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Regulatory Affairs\Cost of Service\2021 Rebasing\IRs\Backup\Gabe - Follow-Up\9-Staff-113 - 1588 UFE losses\"/>
    </mc:Choice>
  </mc:AlternateContent>
  <bookViews>
    <workbookView xWindow="0" yWindow="0" windowWidth="18560" windowHeight="5600" tabRatio="808" firstSheet="6" activeTab="8"/>
  </bookViews>
  <sheets>
    <sheet name="Table 1" sheetId="2" r:id="rId1"/>
    <sheet name="Table 2" sheetId="7" r:id="rId2"/>
    <sheet name="Table 3" sheetId="9" r:id="rId3"/>
    <sheet name="Cl B Non-RPP GA" sheetId="8" r:id="rId4"/>
    <sheet name="RPP GA Est &amp; True-Up" sheetId="6" r:id="rId5"/>
    <sheet name="December 2015" sheetId="10" r:id="rId6"/>
    <sheet name="Cl B Non-RPP kWh" sheetId="11" r:id="rId7"/>
    <sheet name="RPP kWh" sheetId="13" r:id="rId8"/>
    <sheet name="UFE Analysis" sheetId="12" r:id="rId9"/>
    <sheet name="App 2-R" sheetId="14" r:id="rId10"/>
  </sheets>
  <definedNames>
    <definedName name="_Dec08">'Cl B Non-RPP GA'!#REF!</definedName>
    <definedName name="Check">'Cl B Non-RPP GA'!#REF!</definedName>
    <definedName name="cumulative">'Cl B Non-RPP GA'!#REF!</definedName>
    <definedName name="_xlnm.Print_Area" localSheetId="3">'Cl B Non-RPP GA'!$A$1:$BB$129</definedName>
    <definedName name="_xlnm.Print_Titles" localSheetId="3">'Cl B Non-RPP GA'!$A:$A,'Cl B Non-RPP GA'!$1:$1</definedName>
    <definedName name="rtend">'Cl B Non-RPP GA'!$BB$1</definedName>
    <definedName name="sum">'Cl B Non-RPP GA'!#REF!</definedName>
    <definedName name="total">'Cl B Non-RPP GA'!#REF!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3" i="12" l="1"/>
  <c r="AB7" i="13" l="1"/>
  <c r="AA7" i="13"/>
  <c r="Z7" i="13"/>
  <c r="Y7" i="13"/>
  <c r="X7" i="13"/>
  <c r="W7" i="13"/>
  <c r="V7" i="13"/>
  <c r="U7" i="13"/>
  <c r="T7" i="13"/>
  <c r="S7" i="13"/>
  <c r="R7" i="13"/>
  <c r="Q7" i="13"/>
  <c r="P7" i="13"/>
  <c r="O7" i="13"/>
  <c r="N7" i="13"/>
  <c r="M7" i="13"/>
  <c r="L7" i="13"/>
  <c r="K7" i="13"/>
  <c r="J7" i="13"/>
  <c r="I7" i="13"/>
  <c r="H7" i="13"/>
  <c r="G7" i="13"/>
  <c r="F7" i="13"/>
  <c r="E7" i="13"/>
  <c r="D7" i="13"/>
  <c r="C7" i="13"/>
  <c r="AB6" i="13"/>
  <c r="AA6" i="13"/>
  <c r="Z6" i="13"/>
  <c r="Y6" i="13"/>
  <c r="X6" i="13"/>
  <c r="W6" i="13"/>
  <c r="V6" i="13"/>
  <c r="U6" i="13"/>
  <c r="T6" i="13"/>
  <c r="S6" i="13"/>
  <c r="R6" i="13"/>
  <c r="Q6" i="13"/>
  <c r="P6" i="13"/>
  <c r="O6" i="13"/>
  <c r="N6" i="13"/>
  <c r="M6" i="13"/>
  <c r="L6" i="13"/>
  <c r="K6" i="13"/>
  <c r="J6" i="13"/>
  <c r="I6" i="13"/>
  <c r="H6" i="13"/>
  <c r="G6" i="13"/>
  <c r="F6" i="13"/>
  <c r="E6" i="13"/>
  <c r="D6" i="13"/>
  <c r="C6" i="13"/>
  <c r="AB5" i="13"/>
  <c r="AA5" i="13"/>
  <c r="Z5" i="13"/>
  <c r="Y5" i="13"/>
  <c r="X5" i="13"/>
  <c r="W5" i="13"/>
  <c r="V5" i="13"/>
  <c r="U5" i="13"/>
  <c r="T5" i="13"/>
  <c r="S5" i="13"/>
  <c r="R5" i="13"/>
  <c r="Q5" i="13"/>
  <c r="P5" i="13"/>
  <c r="O5" i="13"/>
  <c r="N5" i="13"/>
  <c r="M5" i="13"/>
  <c r="L5" i="13"/>
  <c r="K5" i="13"/>
  <c r="J5" i="13"/>
  <c r="I5" i="13"/>
  <c r="H5" i="13"/>
  <c r="G5" i="13"/>
  <c r="F5" i="13"/>
  <c r="E5" i="13"/>
  <c r="D5" i="13"/>
  <c r="C5" i="13"/>
  <c r="AB4" i="13"/>
  <c r="AA4" i="13"/>
  <c r="Z4" i="13"/>
  <c r="Y4" i="13"/>
  <c r="X4" i="13"/>
  <c r="W4" i="13"/>
  <c r="V4" i="13"/>
  <c r="U4" i="13"/>
  <c r="T4" i="13"/>
  <c r="S4" i="13"/>
  <c r="R4" i="13"/>
  <c r="Q4" i="13"/>
  <c r="P4" i="13"/>
  <c r="O4" i="13"/>
  <c r="N4" i="13"/>
  <c r="M4" i="13"/>
  <c r="L4" i="13"/>
  <c r="K4" i="13"/>
  <c r="J4" i="13"/>
  <c r="I4" i="13"/>
  <c r="H4" i="13"/>
  <c r="G4" i="13"/>
  <c r="F4" i="13"/>
  <c r="E4" i="13"/>
  <c r="D4" i="13"/>
  <c r="C4" i="13"/>
  <c r="AB3" i="13"/>
  <c r="AA3" i="13"/>
  <c r="Z3" i="13"/>
  <c r="Y3" i="13"/>
  <c r="X3" i="13"/>
  <c r="W3" i="13"/>
  <c r="V3" i="13"/>
  <c r="U3" i="13"/>
  <c r="T3" i="13"/>
  <c r="S3" i="13"/>
  <c r="R3" i="13"/>
  <c r="Q3" i="13"/>
  <c r="P3" i="13"/>
  <c r="O3" i="13"/>
  <c r="N3" i="13"/>
  <c r="M3" i="13"/>
  <c r="L3" i="13"/>
  <c r="K3" i="13"/>
  <c r="J3" i="13"/>
  <c r="I3" i="13"/>
  <c r="H3" i="13"/>
  <c r="G3" i="13"/>
  <c r="F3" i="13"/>
  <c r="E3" i="13"/>
  <c r="D3" i="13"/>
  <c r="C3" i="13"/>
  <c r="B4" i="13"/>
  <c r="B3" i="13"/>
  <c r="AW44" i="13"/>
  <c r="AW85" i="13" l="1"/>
  <c r="AV85" i="13"/>
  <c r="AU85" i="13"/>
  <c r="AT85" i="13"/>
  <c r="AS85" i="13"/>
  <c r="AR85" i="13"/>
  <c r="AQ85" i="13"/>
  <c r="AP85" i="13"/>
  <c r="AO85" i="13"/>
  <c r="AN85" i="13"/>
  <c r="AM85" i="13"/>
  <c r="AL85" i="13"/>
  <c r="AK85" i="13"/>
  <c r="AJ85" i="13"/>
  <c r="AI85" i="13"/>
  <c r="AH85" i="13"/>
  <c r="AG85" i="13"/>
  <c r="AF85" i="13"/>
  <c r="AE85" i="13"/>
  <c r="AD85" i="13"/>
  <c r="AC85" i="13"/>
  <c r="AB85" i="13"/>
  <c r="AA85" i="13"/>
  <c r="Z85" i="13"/>
  <c r="Y85" i="13"/>
  <c r="X85" i="13"/>
  <c r="W85" i="13"/>
  <c r="V85" i="13"/>
  <c r="U85" i="13"/>
  <c r="T85" i="13"/>
  <c r="S85" i="13"/>
  <c r="R85" i="13"/>
  <c r="Q85" i="13"/>
  <c r="P85" i="13"/>
  <c r="O85" i="13"/>
  <c r="N85" i="13"/>
  <c r="M85" i="13"/>
  <c r="L85" i="13"/>
  <c r="K85" i="13"/>
  <c r="J85" i="13"/>
  <c r="I85" i="13"/>
  <c r="H85" i="13"/>
  <c r="G85" i="13"/>
  <c r="F85" i="13"/>
  <c r="E85" i="13"/>
  <c r="D85" i="13"/>
  <c r="C85" i="13"/>
  <c r="AW84" i="13"/>
  <c r="AV84" i="13"/>
  <c r="AU84" i="13"/>
  <c r="AT84" i="13"/>
  <c r="AS84" i="13"/>
  <c r="AR84" i="13"/>
  <c r="AQ84" i="13"/>
  <c r="AP84" i="13"/>
  <c r="AO84" i="13"/>
  <c r="AN84" i="13"/>
  <c r="AM84" i="13"/>
  <c r="AL84" i="13"/>
  <c r="AK84" i="13"/>
  <c r="AJ84" i="13"/>
  <c r="AI84" i="13"/>
  <c r="AH84" i="13"/>
  <c r="AG84" i="13"/>
  <c r="AF84" i="13"/>
  <c r="AE84" i="13"/>
  <c r="AD84" i="13"/>
  <c r="AC84" i="13"/>
  <c r="AB84" i="13"/>
  <c r="AA84" i="13"/>
  <c r="Z84" i="13"/>
  <c r="Y84" i="13"/>
  <c r="X84" i="13"/>
  <c r="W84" i="13"/>
  <c r="V84" i="13"/>
  <c r="U84" i="13"/>
  <c r="T84" i="13"/>
  <c r="S84" i="13"/>
  <c r="R84" i="13"/>
  <c r="Q84" i="13"/>
  <c r="P84" i="13"/>
  <c r="O84" i="13"/>
  <c r="N84" i="13"/>
  <c r="M84" i="13"/>
  <c r="L84" i="13"/>
  <c r="K84" i="13"/>
  <c r="J84" i="13"/>
  <c r="I84" i="13"/>
  <c r="H84" i="13"/>
  <c r="G84" i="13"/>
  <c r="F84" i="13"/>
  <c r="E84" i="13"/>
  <c r="D84" i="13"/>
  <c r="C84" i="13"/>
  <c r="AW83" i="13"/>
  <c r="AV83" i="13"/>
  <c r="AU83" i="13"/>
  <c r="AT83" i="13"/>
  <c r="AS83" i="13"/>
  <c r="AR83" i="13"/>
  <c r="AQ83" i="13"/>
  <c r="AP83" i="13"/>
  <c r="AO83" i="13"/>
  <c r="AN83" i="13"/>
  <c r="AM83" i="13"/>
  <c r="AL83" i="13"/>
  <c r="AK83" i="13"/>
  <c r="AJ83" i="13"/>
  <c r="AI83" i="13"/>
  <c r="AH83" i="13"/>
  <c r="AG83" i="13"/>
  <c r="AF83" i="13"/>
  <c r="AE83" i="13"/>
  <c r="AD83" i="13"/>
  <c r="AC83" i="13"/>
  <c r="AB83" i="13"/>
  <c r="AA83" i="13"/>
  <c r="Z83" i="13"/>
  <c r="Y83" i="13"/>
  <c r="X83" i="13"/>
  <c r="W83" i="13"/>
  <c r="V83" i="13"/>
  <c r="U83" i="13"/>
  <c r="T83" i="13"/>
  <c r="S83" i="13"/>
  <c r="R83" i="13"/>
  <c r="Q83" i="13"/>
  <c r="P83" i="13"/>
  <c r="O83" i="13"/>
  <c r="N83" i="13"/>
  <c r="M83" i="13"/>
  <c r="L83" i="13"/>
  <c r="K83" i="13"/>
  <c r="J83" i="13"/>
  <c r="I83" i="13"/>
  <c r="H83" i="13"/>
  <c r="G83" i="13"/>
  <c r="F83" i="13"/>
  <c r="E83" i="13"/>
  <c r="D83" i="13"/>
  <c r="C83" i="13"/>
  <c r="AW82" i="13"/>
  <c r="AV82" i="13"/>
  <c r="AU82" i="13"/>
  <c r="AT82" i="13"/>
  <c r="AT86" i="13" s="1"/>
  <c r="AS82" i="13"/>
  <c r="AR82" i="13"/>
  <c r="AQ82" i="13"/>
  <c r="AP82" i="13"/>
  <c r="AP86" i="13" s="1"/>
  <c r="AO82" i="13"/>
  <c r="AN82" i="13"/>
  <c r="AM82" i="13"/>
  <c r="AL82" i="13"/>
  <c r="AL86" i="13" s="1"/>
  <c r="AK82" i="13"/>
  <c r="AJ82" i="13"/>
  <c r="AI82" i="13"/>
  <c r="AH82" i="13"/>
  <c r="AH86" i="13" s="1"/>
  <c r="AG82" i="13"/>
  <c r="AF82" i="13"/>
  <c r="AE82" i="13"/>
  <c r="AD82" i="13"/>
  <c r="AD86" i="13" s="1"/>
  <c r="AC82" i="13"/>
  <c r="AB82" i="13"/>
  <c r="AA82" i="13"/>
  <c r="Z82" i="13"/>
  <c r="Z86" i="13" s="1"/>
  <c r="Y82" i="13"/>
  <c r="X82" i="13"/>
  <c r="W82" i="13"/>
  <c r="V82" i="13"/>
  <c r="V86" i="13" s="1"/>
  <c r="U82" i="13"/>
  <c r="T82" i="13"/>
  <c r="S82" i="13"/>
  <c r="R82" i="13"/>
  <c r="R86" i="13" s="1"/>
  <c r="Q82" i="13"/>
  <c r="P82" i="13"/>
  <c r="O82" i="13"/>
  <c r="N82" i="13"/>
  <c r="N86" i="13" s="1"/>
  <c r="M82" i="13"/>
  <c r="L82" i="13"/>
  <c r="K82" i="13"/>
  <c r="J82" i="13"/>
  <c r="J86" i="13" s="1"/>
  <c r="I82" i="13"/>
  <c r="H82" i="13"/>
  <c r="G82" i="13"/>
  <c r="F82" i="13"/>
  <c r="F86" i="13" s="1"/>
  <c r="E82" i="13"/>
  <c r="D82" i="13"/>
  <c r="C82" i="13"/>
  <c r="AW81" i="13"/>
  <c r="AW86" i="13" s="1"/>
  <c r="AV81" i="13"/>
  <c r="AV86" i="13" s="1"/>
  <c r="AU81" i="13"/>
  <c r="AU86" i="13" s="1"/>
  <c r="AT81" i="13"/>
  <c r="AS81" i="13"/>
  <c r="AS86" i="13" s="1"/>
  <c r="AR81" i="13"/>
  <c r="AR86" i="13" s="1"/>
  <c r="AQ81" i="13"/>
  <c r="AQ86" i="13" s="1"/>
  <c r="AP81" i="13"/>
  <c r="AO81" i="13"/>
  <c r="AO86" i="13" s="1"/>
  <c r="AN81" i="13"/>
  <c r="AN86" i="13" s="1"/>
  <c r="AM81" i="13"/>
  <c r="AM86" i="13" s="1"/>
  <c r="AL81" i="13"/>
  <c r="AK81" i="13"/>
  <c r="AK86" i="13" s="1"/>
  <c r="AJ81" i="13"/>
  <c r="AJ86" i="13" s="1"/>
  <c r="AI81" i="13"/>
  <c r="AI86" i="13" s="1"/>
  <c r="AH81" i="13"/>
  <c r="AG81" i="13"/>
  <c r="AG86" i="13" s="1"/>
  <c r="AF81" i="13"/>
  <c r="AF86" i="13" s="1"/>
  <c r="AE81" i="13"/>
  <c r="AE86" i="13" s="1"/>
  <c r="AD81" i="13"/>
  <c r="AC81" i="13"/>
  <c r="AC86" i="13" s="1"/>
  <c r="AB81" i="13"/>
  <c r="AB86" i="13" s="1"/>
  <c r="AA81" i="13"/>
  <c r="AA86" i="13" s="1"/>
  <c r="Z81" i="13"/>
  <c r="Y81" i="13"/>
  <c r="Y86" i="13" s="1"/>
  <c r="X81" i="13"/>
  <c r="X86" i="13" s="1"/>
  <c r="W81" i="13"/>
  <c r="W86" i="13" s="1"/>
  <c r="V81" i="13"/>
  <c r="U81" i="13"/>
  <c r="U86" i="13" s="1"/>
  <c r="T81" i="13"/>
  <c r="T86" i="13" s="1"/>
  <c r="S81" i="13"/>
  <c r="S86" i="13" s="1"/>
  <c r="R81" i="13"/>
  <c r="Q81" i="13"/>
  <c r="Q86" i="13" s="1"/>
  <c r="P81" i="13"/>
  <c r="P86" i="13" s="1"/>
  <c r="O81" i="13"/>
  <c r="O86" i="13" s="1"/>
  <c r="N81" i="13"/>
  <c r="M81" i="13"/>
  <c r="M86" i="13" s="1"/>
  <c r="L81" i="13"/>
  <c r="L86" i="13" s="1"/>
  <c r="K81" i="13"/>
  <c r="K86" i="13" s="1"/>
  <c r="J81" i="13"/>
  <c r="I81" i="13"/>
  <c r="I86" i="13" s="1"/>
  <c r="H81" i="13"/>
  <c r="H86" i="13" s="1"/>
  <c r="G81" i="13"/>
  <c r="G86" i="13" s="1"/>
  <c r="F81" i="13"/>
  <c r="E81" i="13"/>
  <c r="E86" i="13" s="1"/>
  <c r="D81" i="13"/>
  <c r="D86" i="13" s="1"/>
  <c r="C81" i="13"/>
  <c r="C86" i="13" s="1"/>
  <c r="B86" i="13"/>
  <c r="B82" i="13"/>
  <c r="B83" i="13"/>
  <c r="B84" i="13"/>
  <c r="B85" i="13"/>
  <c r="B81" i="13"/>
  <c r="AW40" i="13" l="1"/>
  <c r="AV40" i="13"/>
  <c r="AU40" i="13"/>
  <c r="AT40" i="13"/>
  <c r="AS40" i="13"/>
  <c r="AR40" i="13"/>
  <c r="AQ40" i="13"/>
  <c r="AP40" i="13"/>
  <c r="AO40" i="13"/>
  <c r="AN40" i="13"/>
  <c r="AM40" i="13"/>
  <c r="AL40" i="13"/>
  <c r="AK40" i="13"/>
  <c r="AJ40" i="13"/>
  <c r="AI40" i="13"/>
  <c r="AH40" i="13"/>
  <c r="AG40" i="13"/>
  <c r="AF40"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F40" i="13"/>
  <c r="E40" i="13"/>
  <c r="D40" i="13"/>
  <c r="C40" i="13"/>
  <c r="B40" i="13"/>
  <c r="AL89" i="13" l="1"/>
  <c r="AM89" i="13"/>
  <c r="AN89" i="13"/>
  <c r="AO89" i="13"/>
  <c r="AP89" i="13"/>
  <c r="AQ89" i="13"/>
  <c r="AR89" i="13"/>
  <c r="AS89" i="13"/>
  <c r="AT89" i="13"/>
  <c r="AU89" i="13"/>
  <c r="AV89" i="13"/>
  <c r="AL90" i="13"/>
  <c r="AM90" i="13"/>
  <c r="AN90" i="13"/>
  <c r="AO90" i="13"/>
  <c r="AP90" i="13"/>
  <c r="AQ90" i="13"/>
  <c r="AR90" i="13"/>
  <c r="AS90" i="13"/>
  <c r="AT90" i="13"/>
  <c r="AU90" i="13"/>
  <c r="AV90" i="13"/>
  <c r="AL91" i="13"/>
  <c r="AM91" i="13"/>
  <c r="AN91" i="13"/>
  <c r="AO91" i="13"/>
  <c r="AP91" i="13"/>
  <c r="AQ91" i="13"/>
  <c r="AR91" i="13"/>
  <c r="AS91" i="13"/>
  <c r="AT91" i="13"/>
  <c r="AU91" i="13"/>
  <c r="AV91" i="13"/>
  <c r="AL92" i="13"/>
  <c r="AM92" i="13"/>
  <c r="AN92" i="13"/>
  <c r="AO92" i="13"/>
  <c r="AP92" i="13"/>
  <c r="AQ92" i="13"/>
  <c r="AR92" i="13"/>
  <c r="AS92" i="13"/>
  <c r="AT92" i="13"/>
  <c r="AU92" i="13"/>
  <c r="AV92" i="13"/>
  <c r="AL93" i="13"/>
  <c r="AM93" i="13"/>
  <c r="AN93" i="13"/>
  <c r="AO93" i="13"/>
  <c r="AP93" i="13"/>
  <c r="AQ93" i="13"/>
  <c r="AR93" i="13"/>
  <c r="AS93" i="13"/>
  <c r="AT93" i="13"/>
  <c r="AU93" i="13"/>
  <c r="AV93" i="13"/>
  <c r="AW91" i="13"/>
  <c r="AW90" i="13"/>
  <c r="AW89" i="13"/>
  <c r="AW92" i="13"/>
  <c r="AW93" i="13"/>
  <c r="AW50" i="13" l="1"/>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V50" i="13"/>
  <c r="U50" i="13"/>
  <c r="T50" i="13"/>
  <c r="S50" i="13"/>
  <c r="R50" i="13"/>
  <c r="Q50" i="13"/>
  <c r="P50" i="13"/>
  <c r="O50" i="13"/>
  <c r="N50" i="13"/>
  <c r="M50" i="13"/>
  <c r="L50" i="13"/>
  <c r="K50" i="13"/>
  <c r="J50" i="13"/>
  <c r="I50" i="13"/>
  <c r="H50" i="13"/>
  <c r="G50" i="13"/>
  <c r="F50" i="13"/>
  <c r="E50" i="13"/>
  <c r="D50" i="13"/>
  <c r="C50" i="13"/>
  <c r="B50" i="13"/>
  <c r="F23" i="12" l="1" a="1"/>
  <c r="F26" i="12" s="1"/>
  <c r="F35" i="12"/>
  <c r="F34" i="12"/>
  <c r="F28" i="12"/>
  <c r="F30" i="12"/>
  <c r="F24" i="12"/>
  <c r="F32" i="12"/>
  <c r="F23" i="12"/>
  <c r="B74" i="13"/>
  <c r="B75" i="13"/>
  <c r="B76" i="13"/>
  <c r="B77" i="13"/>
  <c r="B78" i="13"/>
  <c r="BB64" i="13"/>
  <c r="BA64" i="13"/>
  <c r="AZ64" i="13"/>
  <c r="AY64" i="13"/>
  <c r="BB63" i="13"/>
  <c r="BA63" i="13"/>
  <c r="AZ63" i="13"/>
  <c r="AY63" i="13"/>
  <c r="BB62" i="13"/>
  <c r="BA62" i="13"/>
  <c r="AZ62" i="13"/>
  <c r="AY62" i="13"/>
  <c r="BB61" i="13"/>
  <c r="BA61" i="13"/>
  <c r="AZ61" i="13"/>
  <c r="AY61" i="13"/>
  <c r="BB60" i="13"/>
  <c r="BA60" i="13"/>
  <c r="AZ60" i="13"/>
  <c r="AY60" i="13"/>
  <c r="F59" i="12" l="1"/>
  <c r="F63" i="12"/>
  <c r="F40" i="12"/>
  <c r="F46" i="12"/>
  <c r="F50" i="12"/>
  <c r="F33" i="12"/>
  <c r="F52" i="12"/>
  <c r="F58" i="12"/>
  <c r="F25" i="12"/>
  <c r="F62" i="12"/>
  <c r="F60" i="12"/>
  <c r="F31" i="12"/>
  <c r="F49" i="12"/>
  <c r="F37" i="12"/>
  <c r="F42" i="12"/>
  <c r="F39" i="12"/>
  <c r="F41" i="12"/>
  <c r="F27" i="12"/>
  <c r="F45" i="12"/>
  <c r="F47" i="12"/>
  <c r="F70" i="12"/>
  <c r="F53" i="12"/>
  <c r="F65" i="12"/>
  <c r="F67" i="12"/>
  <c r="F55" i="12"/>
  <c r="F43" i="12"/>
  <c r="F29" i="12"/>
  <c r="F66" i="12"/>
  <c r="F48" i="12"/>
  <c r="F54" i="12"/>
  <c r="F36" i="12"/>
  <c r="F69" i="12"/>
  <c r="F56" i="12"/>
  <c r="F57" i="12"/>
  <c r="F44" i="12"/>
  <c r="F61" i="12"/>
  <c r="F64" i="12"/>
  <c r="F38" i="12"/>
  <c r="F51" i="12"/>
  <c r="F68" i="12"/>
  <c r="AV78" i="13"/>
  <c r="AU78" i="13"/>
  <c r="AT78" i="13"/>
  <c r="AS78" i="13"/>
  <c r="AR78" i="13"/>
  <c r="AQ78" i="13"/>
  <c r="AP78" i="13"/>
  <c r="AO78" i="13"/>
  <c r="AN78" i="13"/>
  <c r="AM78" i="13"/>
  <c r="AL78" i="13"/>
  <c r="AK78" i="13"/>
  <c r="AJ78" i="13"/>
  <c r="AI78" i="13"/>
  <c r="AH78" i="13"/>
  <c r="AG78" i="13"/>
  <c r="AF78" i="13"/>
  <c r="AE78" i="13"/>
  <c r="AD78" i="13"/>
  <c r="AC78" i="13"/>
  <c r="AB78" i="13"/>
  <c r="AA78" i="13"/>
  <c r="Z78" i="13"/>
  <c r="Y78" i="13"/>
  <c r="X78" i="13"/>
  <c r="W78" i="13"/>
  <c r="V78" i="13"/>
  <c r="U78" i="13"/>
  <c r="T78" i="13"/>
  <c r="S78" i="13"/>
  <c r="R78" i="13"/>
  <c r="Q78" i="13"/>
  <c r="P78" i="13"/>
  <c r="O78" i="13"/>
  <c r="N78" i="13"/>
  <c r="M78" i="13"/>
  <c r="L78" i="13"/>
  <c r="K78" i="13"/>
  <c r="J78" i="13"/>
  <c r="I78" i="13"/>
  <c r="H78" i="13"/>
  <c r="G78" i="13"/>
  <c r="F78" i="13"/>
  <c r="E78" i="13"/>
  <c r="D78" i="13"/>
  <c r="C78" i="13"/>
  <c r="AV77" i="13"/>
  <c r="AU77" i="13"/>
  <c r="AT77" i="13"/>
  <c r="AS77" i="13"/>
  <c r="AR77" i="13"/>
  <c r="AQ77" i="13"/>
  <c r="AP77" i="13"/>
  <c r="AO77" i="13"/>
  <c r="AN77" i="13"/>
  <c r="AM77" i="13"/>
  <c r="AL77" i="13"/>
  <c r="AK77" i="13"/>
  <c r="AJ77" i="13"/>
  <c r="AI77" i="13"/>
  <c r="AH77" i="13"/>
  <c r="AG77" i="13"/>
  <c r="AF77" i="13"/>
  <c r="AE77" i="13"/>
  <c r="AD77" i="13"/>
  <c r="AC77" i="13"/>
  <c r="AB77" i="13"/>
  <c r="AA77" i="13"/>
  <c r="Z77" i="13"/>
  <c r="Y77" i="13"/>
  <c r="X77" i="13"/>
  <c r="W77" i="13"/>
  <c r="V77" i="13"/>
  <c r="U77" i="13"/>
  <c r="T77" i="13"/>
  <c r="S77" i="13"/>
  <c r="R77" i="13"/>
  <c r="Q77" i="13"/>
  <c r="P77" i="13"/>
  <c r="O77" i="13"/>
  <c r="N77" i="13"/>
  <c r="M77" i="13"/>
  <c r="L77" i="13"/>
  <c r="K77" i="13"/>
  <c r="J77" i="13"/>
  <c r="I77" i="13"/>
  <c r="H77" i="13"/>
  <c r="G77" i="13"/>
  <c r="F77" i="13"/>
  <c r="E77" i="13"/>
  <c r="D77" i="13"/>
  <c r="C77"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V76" i="13"/>
  <c r="U76" i="13"/>
  <c r="T76" i="13"/>
  <c r="S76" i="13"/>
  <c r="R76" i="13"/>
  <c r="Q76" i="13"/>
  <c r="P76" i="13"/>
  <c r="O76" i="13"/>
  <c r="N76" i="13"/>
  <c r="M76" i="13"/>
  <c r="L76" i="13"/>
  <c r="K76" i="13"/>
  <c r="J76" i="13"/>
  <c r="I76" i="13"/>
  <c r="H76" i="13"/>
  <c r="G76" i="13"/>
  <c r="F76" i="13"/>
  <c r="E76" i="13"/>
  <c r="D76" i="13"/>
  <c r="C76" i="13"/>
  <c r="AV75" i="13"/>
  <c r="AU75" i="13"/>
  <c r="AT75" i="13"/>
  <c r="AS75" i="13"/>
  <c r="AR75" i="13"/>
  <c r="AQ75" i="13"/>
  <c r="AP75" i="13"/>
  <c r="AO75" i="13"/>
  <c r="AN75" i="13"/>
  <c r="AM75" i="13"/>
  <c r="AL75" i="13"/>
  <c r="AK75" i="13"/>
  <c r="AJ75" i="13"/>
  <c r="AI75" i="13"/>
  <c r="AH75" i="13"/>
  <c r="AG75" i="13"/>
  <c r="AF75" i="13"/>
  <c r="AE75" i="13"/>
  <c r="AD75" i="13"/>
  <c r="AC75" i="13"/>
  <c r="AB75" i="13"/>
  <c r="AA75" i="13"/>
  <c r="Z75" i="13"/>
  <c r="Y75" i="13"/>
  <c r="X75" i="13"/>
  <c r="W75" i="13"/>
  <c r="V75" i="13"/>
  <c r="U75" i="13"/>
  <c r="T75" i="13"/>
  <c r="S75" i="13"/>
  <c r="R75" i="13"/>
  <c r="Q75" i="13"/>
  <c r="P75" i="13"/>
  <c r="O75" i="13"/>
  <c r="N75" i="13"/>
  <c r="M75" i="13"/>
  <c r="L75" i="13"/>
  <c r="K75" i="13"/>
  <c r="J75" i="13"/>
  <c r="I75" i="13"/>
  <c r="H75" i="13"/>
  <c r="G75" i="13"/>
  <c r="F75" i="13"/>
  <c r="E75" i="13"/>
  <c r="D75" i="13"/>
  <c r="C75"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V74" i="13"/>
  <c r="U74" i="13"/>
  <c r="T74" i="13"/>
  <c r="S74" i="13"/>
  <c r="R74" i="13"/>
  <c r="Q74" i="13"/>
  <c r="P74" i="13"/>
  <c r="O74" i="13"/>
  <c r="N74" i="13"/>
  <c r="M74" i="13"/>
  <c r="L74" i="13"/>
  <c r="K74" i="13"/>
  <c r="J74" i="13"/>
  <c r="I74" i="13"/>
  <c r="H74" i="13"/>
  <c r="G74" i="13"/>
  <c r="F74" i="13"/>
  <c r="E74" i="13"/>
  <c r="D74" i="13"/>
  <c r="C74" i="13"/>
  <c r="AW74" i="13"/>
  <c r="AW77" i="13"/>
  <c r="AW78" i="13"/>
  <c r="AW75" i="13"/>
  <c r="AW76" i="13"/>
  <c r="AV72" i="13" l="1"/>
  <c r="AU72" i="13"/>
  <c r="AT72" i="13"/>
  <c r="AS72" i="13"/>
  <c r="AR72" i="13"/>
  <c r="AQ72" i="13"/>
  <c r="AP72" i="13"/>
  <c r="AO72" i="13"/>
  <c r="AN72" i="13"/>
  <c r="AM72" i="13"/>
  <c r="AL72" i="13"/>
  <c r="AK72" i="13"/>
  <c r="AJ72" i="13"/>
  <c r="AI72" i="13"/>
  <c r="AH72" i="13"/>
  <c r="AG72" i="13"/>
  <c r="AF72" i="13"/>
  <c r="AE72" i="13"/>
  <c r="AD72" i="13"/>
  <c r="AC72" i="13"/>
  <c r="AB72" i="13"/>
  <c r="AA72" i="13"/>
  <c r="Z72" i="13"/>
  <c r="Y72" i="13"/>
  <c r="X72" i="13"/>
  <c r="W72" i="13"/>
  <c r="V72" i="13"/>
  <c r="U72" i="13"/>
  <c r="T72" i="13"/>
  <c r="S72" i="13"/>
  <c r="R72" i="13"/>
  <c r="Q72" i="13"/>
  <c r="P72" i="13"/>
  <c r="O72" i="13"/>
  <c r="N72" i="13"/>
  <c r="M72" i="13"/>
  <c r="L72" i="13"/>
  <c r="K72" i="13"/>
  <c r="J72" i="13"/>
  <c r="I72" i="13"/>
  <c r="H72" i="13"/>
  <c r="G72" i="13"/>
  <c r="F72" i="13"/>
  <c r="E72" i="13"/>
  <c r="D72" i="13"/>
  <c r="C72" i="13"/>
  <c r="B72" i="13"/>
  <c r="AV65" i="13"/>
  <c r="AU65" i="13"/>
  <c r="AT65" i="13"/>
  <c r="AS65" i="13"/>
  <c r="AR65" i="13"/>
  <c r="AQ65" i="13"/>
  <c r="AP65" i="13"/>
  <c r="AO65" i="13"/>
  <c r="AN65" i="13"/>
  <c r="AM65" i="13"/>
  <c r="AL65" i="13"/>
  <c r="AK65" i="13"/>
  <c r="AJ65" i="13"/>
  <c r="AI65" i="13"/>
  <c r="AH65" i="13"/>
  <c r="AG65" i="13"/>
  <c r="AF65" i="13"/>
  <c r="AE65" i="13"/>
  <c r="AD65" i="13"/>
  <c r="AC65" i="13"/>
  <c r="AB65" i="13"/>
  <c r="AA65" i="13"/>
  <c r="Z65" i="13"/>
  <c r="Y65" i="13"/>
  <c r="X65" i="13"/>
  <c r="W65" i="13"/>
  <c r="V65" i="13"/>
  <c r="U65" i="13"/>
  <c r="T65" i="13"/>
  <c r="S65" i="13"/>
  <c r="R65" i="13"/>
  <c r="Q65" i="13"/>
  <c r="P65" i="13"/>
  <c r="O65" i="13"/>
  <c r="N65" i="13"/>
  <c r="M65" i="13"/>
  <c r="L65" i="13"/>
  <c r="K65" i="13"/>
  <c r="J65" i="13"/>
  <c r="I65" i="13"/>
  <c r="H65" i="13"/>
  <c r="G65" i="13"/>
  <c r="F65" i="13"/>
  <c r="E65" i="13"/>
  <c r="D65" i="13"/>
  <c r="C65" i="13"/>
  <c r="B65" i="13"/>
  <c r="AF89" i="13" l="1"/>
  <c r="AF90" i="13"/>
  <c r="AF91" i="13"/>
  <c r="AF92" i="13"/>
  <c r="AF93" i="13"/>
  <c r="AC89" i="13"/>
  <c r="AC90" i="13"/>
  <c r="AC91" i="13"/>
  <c r="AC92" i="13"/>
  <c r="AC93" i="13"/>
  <c r="AK89" i="13"/>
  <c r="AK90" i="13"/>
  <c r="AK91" i="13"/>
  <c r="AK92" i="13"/>
  <c r="AK93" i="13"/>
  <c r="AD89" i="13"/>
  <c r="AD90" i="13"/>
  <c r="AD91" i="13"/>
  <c r="AD92" i="13"/>
  <c r="AD93" i="13"/>
  <c r="AH89" i="13"/>
  <c r="AH90" i="13"/>
  <c r="AH91" i="13"/>
  <c r="AH92" i="13"/>
  <c r="AH93" i="13"/>
  <c r="AJ90" i="13"/>
  <c r="AJ91" i="13"/>
  <c r="AJ92" i="13"/>
  <c r="AJ93" i="13"/>
  <c r="AJ89" i="13"/>
  <c r="AG89" i="13"/>
  <c r="AG90" i="13"/>
  <c r="AG91" i="13"/>
  <c r="AG92" i="13"/>
  <c r="AG93" i="13"/>
  <c r="AE91" i="13"/>
  <c r="AE92" i="13"/>
  <c r="AE93" i="13"/>
  <c r="AE89" i="13"/>
  <c r="AE90" i="13"/>
  <c r="AI89" i="13"/>
  <c r="AI90" i="13"/>
  <c r="AI91" i="13"/>
  <c r="AI92" i="13"/>
  <c r="AI93" i="13"/>
  <c r="AY65" i="13"/>
  <c r="AZ65" i="13"/>
  <c r="BA65" i="13"/>
  <c r="BB65" i="13"/>
  <c r="AW72" i="13"/>
  <c r="AW65" i="13"/>
  <c r="BF60" i="13" l="1"/>
  <c r="BF64" i="13"/>
  <c r="BF62" i="13"/>
  <c r="BF63" i="13"/>
  <c r="BF61" i="13"/>
  <c r="B58" i="13" a="1"/>
  <c r="B58" i="13" s="1"/>
  <c r="BB32" i="13"/>
  <c r="BA32" i="13"/>
  <c r="AZ32" i="13"/>
  <c r="AY32" i="13"/>
  <c r="BB30" i="13"/>
  <c r="BA30" i="13"/>
  <c r="AZ30" i="13"/>
  <c r="AY30" i="13"/>
  <c r="B53" i="13" a="1"/>
  <c r="B53" i="13" s="1"/>
  <c r="B52" i="13" a="1"/>
  <c r="B52" i="13" s="1"/>
  <c r="B54" i="13" s="1"/>
  <c r="BB3"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V42" i="13"/>
  <c r="U42" i="13"/>
  <c r="T42" i="13"/>
  <c r="S42" i="13"/>
  <c r="R42" i="13"/>
  <c r="Q42" i="13"/>
  <c r="P42" i="13"/>
  <c r="O42" i="13"/>
  <c r="N42" i="13"/>
  <c r="M42" i="13"/>
  <c r="L42" i="13"/>
  <c r="K42" i="13"/>
  <c r="J42" i="13"/>
  <c r="I42" i="13"/>
  <c r="H42" i="13"/>
  <c r="G42" i="13"/>
  <c r="F42" i="13"/>
  <c r="E42" i="13"/>
  <c r="D42" i="13"/>
  <c r="C42" i="13"/>
  <c r="B42" i="13"/>
  <c r="BB4" i="13"/>
  <c r="BB5" i="13"/>
  <c r="BB6" i="13"/>
  <c r="BB7" i="13"/>
  <c r="AC8" i="13"/>
  <c r="AD8" i="13"/>
  <c r="AE8" i="13"/>
  <c r="AF8" i="13"/>
  <c r="AG8" i="13"/>
  <c r="AH8" i="13"/>
  <c r="AI8" i="13"/>
  <c r="AJ8" i="13"/>
  <c r="AK8" i="13"/>
  <c r="AL8" i="13"/>
  <c r="AM8" i="13"/>
  <c r="AN8" i="13"/>
  <c r="AO8" i="13"/>
  <c r="AP8" i="13"/>
  <c r="AQ8" i="13"/>
  <c r="AR8" i="13"/>
  <c r="AS8" i="13"/>
  <c r="AT8" i="13"/>
  <c r="BF65" i="13" l="1"/>
  <c r="AW58" i="13"/>
  <c r="AO58" i="13"/>
  <c r="AG58" i="13"/>
  <c r="AC58" i="13"/>
  <c r="U58" i="13"/>
  <c r="M58" i="13"/>
  <c r="I58" i="13"/>
  <c r="AR58" i="13"/>
  <c r="AJ58" i="13"/>
  <c r="AF58" i="13"/>
  <c r="X58" i="13"/>
  <c r="T58" i="13"/>
  <c r="P58" i="13"/>
  <c r="L58" i="13"/>
  <c r="D58" i="13"/>
  <c r="AU58" i="13"/>
  <c r="AQ58" i="13"/>
  <c r="AM58" i="13"/>
  <c r="AI58" i="13"/>
  <c r="AE58" i="13"/>
  <c r="AA58" i="13"/>
  <c r="W58" i="13"/>
  <c r="S58" i="13"/>
  <c r="O58" i="13"/>
  <c r="K58" i="13"/>
  <c r="G58" i="13"/>
  <c r="C58" i="13"/>
  <c r="AS58" i="13"/>
  <c r="AK58" i="13"/>
  <c r="Y58" i="13"/>
  <c r="Q58" i="13"/>
  <c r="E58" i="13"/>
  <c r="AV58" i="13"/>
  <c r="AN58" i="13"/>
  <c r="AB58" i="13"/>
  <c r="H58" i="13"/>
  <c r="AT58" i="13"/>
  <c r="AP58" i="13"/>
  <c r="AL58" i="13"/>
  <c r="AH58" i="13"/>
  <c r="AD58" i="13"/>
  <c r="Z58" i="13"/>
  <c r="V58" i="13"/>
  <c r="R58" i="13"/>
  <c r="N58" i="13"/>
  <c r="J58" i="13"/>
  <c r="F58" i="13"/>
  <c r="B55" i="13"/>
  <c r="AW53" i="13"/>
  <c r="AO53" i="13"/>
  <c r="AG53" i="13"/>
  <c r="AC53" i="13"/>
  <c r="U53" i="13"/>
  <c r="M53" i="13"/>
  <c r="E53" i="13"/>
  <c r="AV53" i="13"/>
  <c r="AR53" i="13"/>
  <c r="AJ53" i="13"/>
  <c r="AF53" i="13"/>
  <c r="AB53" i="13"/>
  <c r="X53" i="13"/>
  <c r="T53" i="13"/>
  <c r="P53" i="13"/>
  <c r="L53" i="13"/>
  <c r="D53" i="13"/>
  <c r="AU53" i="13"/>
  <c r="AQ53" i="13"/>
  <c r="AM53" i="13"/>
  <c r="AI53" i="13"/>
  <c r="AE53" i="13"/>
  <c r="AA53" i="13"/>
  <c r="W53" i="13"/>
  <c r="S53" i="13"/>
  <c r="O53" i="13"/>
  <c r="K53" i="13"/>
  <c r="G53" i="13"/>
  <c r="C53" i="13"/>
  <c r="AS53" i="13"/>
  <c r="AK53" i="13"/>
  <c r="Y53" i="13"/>
  <c r="Q53" i="13"/>
  <c r="I53" i="13"/>
  <c r="AN53" i="13"/>
  <c r="H53" i="13"/>
  <c r="AT53" i="13"/>
  <c r="AP53" i="13"/>
  <c r="AL53" i="13"/>
  <c r="AH53" i="13"/>
  <c r="AD53" i="13"/>
  <c r="Z53" i="13"/>
  <c r="V53" i="13"/>
  <c r="R53" i="13"/>
  <c r="N53" i="13"/>
  <c r="J53" i="13"/>
  <c r="F53" i="13"/>
  <c r="AS52" i="13"/>
  <c r="AO52" i="13"/>
  <c r="AG52" i="13"/>
  <c r="Y52" i="13"/>
  <c r="U52" i="13"/>
  <c r="M52" i="13"/>
  <c r="E52" i="13"/>
  <c r="AV52" i="13"/>
  <c r="AN52" i="13"/>
  <c r="AF52" i="13"/>
  <c r="AB52" i="13"/>
  <c r="T52" i="13"/>
  <c r="T54" i="13" s="1"/>
  <c r="L52" i="13"/>
  <c r="L54" i="13" s="1"/>
  <c r="H52" i="13"/>
  <c r="AU52" i="13"/>
  <c r="AU54" i="13" s="1"/>
  <c r="AQ52" i="13"/>
  <c r="AQ54" i="13" s="1"/>
  <c r="AM52" i="13"/>
  <c r="AM54" i="13" s="1"/>
  <c r="AI52" i="13"/>
  <c r="AI54" i="13" s="1"/>
  <c r="AE52" i="13"/>
  <c r="AE54" i="13" s="1"/>
  <c r="AA52" i="13"/>
  <c r="AA54" i="13" s="1"/>
  <c r="W52" i="13"/>
  <c r="W54" i="13" s="1"/>
  <c r="S52" i="13"/>
  <c r="S54" i="13" s="1"/>
  <c r="O52" i="13"/>
  <c r="O54" i="13" s="1"/>
  <c r="K52" i="13"/>
  <c r="K54" i="13" s="1"/>
  <c r="G52" i="13"/>
  <c r="G54" i="13" s="1"/>
  <c r="C52" i="13"/>
  <c r="C54" i="13" s="1"/>
  <c r="AW52" i="13"/>
  <c r="AK52" i="13"/>
  <c r="AK54" i="13" s="1"/>
  <c r="AC52" i="13"/>
  <c r="AC54" i="13" s="1"/>
  <c r="Q52" i="13"/>
  <c r="Q54" i="13" s="1"/>
  <c r="I52" i="13"/>
  <c r="I54" i="13" s="1"/>
  <c r="AR52" i="13"/>
  <c r="AJ52" i="13"/>
  <c r="X52" i="13"/>
  <c r="X54" i="13" s="1"/>
  <c r="P52" i="13"/>
  <c r="D52" i="13"/>
  <c r="AT52" i="13"/>
  <c r="AP52" i="13"/>
  <c r="AL52" i="13"/>
  <c r="AH52" i="13"/>
  <c r="AD52" i="13"/>
  <c r="Z52" i="13"/>
  <c r="V52" i="13"/>
  <c r="R52" i="13"/>
  <c r="N52" i="13"/>
  <c r="J52" i="13"/>
  <c r="F52" i="13"/>
  <c r="X55" i="13" l="1"/>
  <c r="C55" i="13"/>
  <c r="S55" i="13"/>
  <c r="AC55" i="13"/>
  <c r="W55" i="13"/>
  <c r="AM55" i="13"/>
  <c r="AR54" i="13"/>
  <c r="K55" i="13"/>
  <c r="AQ55" i="13"/>
  <c r="Q55" i="13"/>
  <c r="AI55" i="13"/>
  <c r="G55" i="13"/>
  <c r="L55" i="13"/>
  <c r="D54" i="13"/>
  <c r="AK55" i="13"/>
  <c r="AA55" i="13"/>
  <c r="T55" i="13"/>
  <c r="I55" i="13"/>
  <c r="O55" i="13"/>
  <c r="AE55" i="13"/>
  <c r="AU55" i="13"/>
  <c r="AJ54" i="13"/>
  <c r="AW54" i="13"/>
  <c r="N54" i="13"/>
  <c r="AD54" i="13"/>
  <c r="AT54" i="13"/>
  <c r="AN54" i="13"/>
  <c r="U54" i="13"/>
  <c r="AS54" i="13"/>
  <c r="R54" i="13"/>
  <c r="Y54" i="13"/>
  <c r="F54" i="13"/>
  <c r="AL54" i="13"/>
  <c r="P54" i="13"/>
  <c r="AB54" i="13"/>
  <c r="E54" i="13"/>
  <c r="AG54" i="13"/>
  <c r="AH54" i="13"/>
  <c r="AV54" i="13"/>
  <c r="V54" i="13"/>
  <c r="J54" i="13"/>
  <c r="Z54" i="13"/>
  <c r="AP54" i="13"/>
  <c r="H54" i="13"/>
  <c r="AF54" i="13"/>
  <c r="M54" i="13"/>
  <c r="AO54" i="13"/>
  <c r="M55" i="13" l="1"/>
  <c r="Z55" i="13"/>
  <c r="AH55" i="13"/>
  <c r="P55" i="13"/>
  <c r="R55" i="13"/>
  <c r="AT55" i="13"/>
  <c r="AJ55" i="13"/>
  <c r="AR55" i="13"/>
  <c r="J55" i="13"/>
  <c r="AG55" i="13"/>
  <c r="AS55" i="13"/>
  <c r="D55" i="13"/>
  <c r="H55" i="13"/>
  <c r="V55" i="13"/>
  <c r="E55" i="13"/>
  <c r="F55" i="13"/>
  <c r="U55" i="13"/>
  <c r="N55" i="13"/>
  <c r="AF55" i="13"/>
  <c r="AL55" i="13"/>
  <c r="AD55" i="13"/>
  <c r="AO55" i="13"/>
  <c r="AP55" i="13"/>
  <c r="AV55" i="13"/>
  <c r="AB55" i="13"/>
  <c r="Y55" i="13"/>
  <c r="AN55" i="13"/>
  <c r="AW55" i="13"/>
  <c r="G13" i="14"/>
  <c r="F13" i="14"/>
  <c r="E13" i="14"/>
  <c r="D13" i="14"/>
  <c r="C13" i="14"/>
  <c r="E11" i="14"/>
  <c r="G10" i="14"/>
  <c r="F10" i="14"/>
  <c r="E10" i="14"/>
  <c r="D10" i="14"/>
  <c r="D11" i="14" s="1"/>
  <c r="C10" i="14"/>
  <c r="H9" i="14"/>
  <c r="H8" i="14"/>
  <c r="H10" i="14" s="1"/>
  <c r="G7" i="14"/>
  <c r="F7" i="14"/>
  <c r="F11" i="14" s="1"/>
  <c r="E7" i="14"/>
  <c r="D7" i="14"/>
  <c r="C7" i="14"/>
  <c r="H6" i="14"/>
  <c r="H5" i="14"/>
  <c r="H7" i="14" s="1"/>
  <c r="H4" i="14"/>
  <c r="E15" i="14" l="1"/>
  <c r="AD38" i="13"/>
  <c r="AH38" i="13"/>
  <c r="Z38" i="13"/>
  <c r="AB38" i="13"/>
  <c r="AJ38" i="13"/>
  <c r="AG38" i="13"/>
  <c r="AA38" i="13"/>
  <c r="AE38" i="13"/>
  <c r="AI38" i="13"/>
  <c r="AF38" i="13"/>
  <c r="AC38" i="13"/>
  <c r="AK38" i="13"/>
  <c r="H13" i="14"/>
  <c r="D15" i="14"/>
  <c r="R38" i="13"/>
  <c r="V38" i="13"/>
  <c r="N38" i="13"/>
  <c r="T38" i="13"/>
  <c r="Q38" i="13"/>
  <c r="Y38" i="13"/>
  <c r="O38" i="13"/>
  <c r="S38" i="13"/>
  <c r="W38" i="13"/>
  <c r="P38" i="13"/>
  <c r="X38" i="13"/>
  <c r="U38" i="13"/>
  <c r="F15" i="14"/>
  <c r="AP38" i="13"/>
  <c r="AT38" i="13"/>
  <c r="AL38" i="13"/>
  <c r="AN38" i="13"/>
  <c r="AO38" i="13"/>
  <c r="AW38" i="13"/>
  <c r="AM38" i="13"/>
  <c r="AQ38" i="13"/>
  <c r="AU38" i="13"/>
  <c r="AR38" i="13"/>
  <c r="AV38" i="13"/>
  <c r="AS38" i="13"/>
  <c r="C11" i="14"/>
  <c r="G11" i="14"/>
  <c r="G15" i="14" s="1"/>
  <c r="H11" i="14"/>
  <c r="H15" i="14" s="1"/>
  <c r="C15" i="14" l="1"/>
  <c r="F38" i="13"/>
  <c r="J38" i="13"/>
  <c r="B38" i="13"/>
  <c r="D38" i="13"/>
  <c r="M38" i="13"/>
  <c r="C38" i="13"/>
  <c r="G38" i="13"/>
  <c r="K38" i="13"/>
  <c r="H38" i="13"/>
  <c r="L38" i="13"/>
  <c r="E38" i="13"/>
  <c r="I38" i="13"/>
  <c r="N20" i="12"/>
  <c r="C31" i="13" l="1"/>
  <c r="C33" i="13" s="1"/>
  <c r="D31" i="13"/>
  <c r="D33" i="13" s="1"/>
  <c r="E31" i="13"/>
  <c r="E33" i="13" s="1"/>
  <c r="F31" i="13"/>
  <c r="F33" i="13" s="1"/>
  <c r="G31" i="13"/>
  <c r="G33" i="13" s="1"/>
  <c r="H31" i="13"/>
  <c r="H33" i="13" s="1"/>
  <c r="I31" i="13"/>
  <c r="I33" i="13" s="1"/>
  <c r="J31" i="13"/>
  <c r="J33" i="13" s="1"/>
  <c r="K31" i="13"/>
  <c r="K33" i="13" s="1"/>
  <c r="L31" i="13"/>
  <c r="L33" i="13" s="1"/>
  <c r="M31" i="13"/>
  <c r="M33" i="13" s="1"/>
  <c r="N31" i="13"/>
  <c r="O31" i="13"/>
  <c r="O33" i="13" s="1"/>
  <c r="P31" i="13"/>
  <c r="P33" i="13" s="1"/>
  <c r="Q31" i="13"/>
  <c r="Q33" i="13" s="1"/>
  <c r="R31" i="13"/>
  <c r="R33" i="13" s="1"/>
  <c r="S31" i="13"/>
  <c r="S33" i="13" s="1"/>
  <c r="T31" i="13"/>
  <c r="T33" i="13" s="1"/>
  <c r="U31" i="13"/>
  <c r="U33" i="13" s="1"/>
  <c r="V31" i="13"/>
  <c r="V33" i="13" s="1"/>
  <c r="W31" i="13"/>
  <c r="W33" i="13" s="1"/>
  <c r="X31" i="13"/>
  <c r="X33" i="13" s="1"/>
  <c r="Y31" i="13"/>
  <c r="Y33" i="13" s="1"/>
  <c r="Z31" i="13"/>
  <c r="AA31" i="13"/>
  <c r="AA33" i="13" s="1"/>
  <c r="AB31" i="13"/>
  <c r="AB33" i="13" s="1"/>
  <c r="AC31" i="13"/>
  <c r="AC33" i="13" s="1"/>
  <c r="AC34" i="13" s="1"/>
  <c r="AD31" i="13"/>
  <c r="AD33" i="13" s="1"/>
  <c r="AD34" i="13" s="1"/>
  <c r="AE31" i="13"/>
  <c r="AE33" i="13" s="1"/>
  <c r="AE34" i="13" s="1"/>
  <c r="AF31" i="13"/>
  <c r="AF33" i="13" s="1"/>
  <c r="AF34" i="13" s="1"/>
  <c r="AG31" i="13"/>
  <c r="AG33" i="13" s="1"/>
  <c r="AG34" i="13" s="1"/>
  <c r="AH31" i="13"/>
  <c r="AH33" i="13" s="1"/>
  <c r="AH34" i="13" s="1"/>
  <c r="AI31" i="13"/>
  <c r="AI33" i="13" s="1"/>
  <c r="AI34" i="13" s="1"/>
  <c r="AJ31" i="13"/>
  <c r="AJ33" i="13" s="1"/>
  <c r="AJ34" i="13" s="1"/>
  <c r="AK31" i="13"/>
  <c r="AK33" i="13" s="1"/>
  <c r="AK34" i="13" s="1"/>
  <c r="AL31" i="13"/>
  <c r="AM31" i="13"/>
  <c r="AM33" i="13" s="1"/>
  <c r="AM34" i="13" s="1"/>
  <c r="AN31" i="13"/>
  <c r="AN33" i="13" s="1"/>
  <c r="AN34" i="13" s="1"/>
  <c r="AO31" i="13"/>
  <c r="AO33" i="13" s="1"/>
  <c r="AO34" i="13" s="1"/>
  <c r="AP31" i="13"/>
  <c r="AP33" i="13" s="1"/>
  <c r="AP34" i="13" s="1"/>
  <c r="AQ31" i="13"/>
  <c r="AQ33" i="13" s="1"/>
  <c r="AQ34" i="13" s="1"/>
  <c r="AR31" i="13"/>
  <c r="AR33" i="13" s="1"/>
  <c r="AR34" i="13" s="1"/>
  <c r="AS31" i="13"/>
  <c r="AS33" i="13" s="1"/>
  <c r="AS34" i="13" s="1"/>
  <c r="AT31" i="13"/>
  <c r="AT33" i="13" s="1"/>
  <c r="AT34" i="13" s="1"/>
  <c r="AU31" i="13"/>
  <c r="AU33" i="13" s="1"/>
  <c r="AV31" i="13"/>
  <c r="AV33" i="13" s="1"/>
  <c r="AW31" i="13"/>
  <c r="AW33" i="13" s="1"/>
  <c r="B31" i="13"/>
  <c r="AY31" i="13" s="1"/>
  <c r="AZ31" i="13" l="1"/>
  <c r="BB31" i="13"/>
  <c r="BA31" i="13"/>
  <c r="AL33" i="13"/>
  <c r="BB33" i="13" s="1"/>
  <c r="Z33" i="13"/>
  <c r="BA33" i="13" s="1"/>
  <c r="N33" i="13"/>
  <c r="AZ33" i="13" s="1"/>
  <c r="B33" i="13"/>
  <c r="AY33" i="13" s="1"/>
  <c r="AL34" i="13" l="1"/>
  <c r="I15" i="12" l="1"/>
  <c r="J5" i="12" l="1"/>
  <c r="J10" i="12"/>
  <c r="J15" i="12"/>
  <c r="J20" i="12"/>
  <c r="K70" i="12" l="1"/>
  <c r="K23" i="12"/>
  <c r="AZ131" i="8" l="1"/>
  <c r="AY131" i="8"/>
  <c r="AX131" i="8"/>
  <c r="AW131" i="8"/>
  <c r="AV131" i="8"/>
  <c r="AU131" i="8"/>
  <c r="AT131" i="8"/>
  <c r="AS131" i="8"/>
  <c r="AR131" i="8"/>
  <c r="AQ131" i="8"/>
  <c r="AP131"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P23" i="12" s="1" a="1"/>
  <c r="H131" i="8"/>
  <c r="G131" i="8"/>
  <c r="F131" i="8"/>
  <c r="E131" i="8"/>
  <c r="P63" i="12" l="1"/>
  <c r="P24" i="12"/>
  <c r="P28" i="12"/>
  <c r="P32" i="12"/>
  <c r="P70" i="12"/>
  <c r="P65" i="12"/>
  <c r="P56" i="12"/>
  <c r="P52" i="12"/>
  <c r="P48" i="12"/>
  <c r="P44" i="12"/>
  <c r="P40" i="12"/>
  <c r="P36" i="12"/>
  <c r="P69" i="12"/>
  <c r="P64" i="12"/>
  <c r="P59" i="12"/>
  <c r="P55" i="12"/>
  <c r="P51" i="12"/>
  <c r="P47" i="12"/>
  <c r="P43" i="12"/>
  <c r="P39" i="12"/>
  <c r="P35" i="12"/>
  <c r="P31" i="12"/>
  <c r="P27" i="12"/>
  <c r="P23" i="12"/>
  <c r="P60" i="12"/>
  <c r="P68" i="12"/>
  <c r="P62" i="12"/>
  <c r="P58" i="12"/>
  <c r="P54" i="12"/>
  <c r="P50" i="12"/>
  <c r="P46" i="12"/>
  <c r="P42" i="12"/>
  <c r="P38" i="12"/>
  <c r="P34" i="12"/>
  <c r="P30" i="12"/>
  <c r="P26" i="12"/>
  <c r="P66" i="12"/>
  <c r="P61" i="12"/>
  <c r="P57" i="12"/>
  <c r="P53" i="12"/>
  <c r="P49" i="12"/>
  <c r="P45" i="12"/>
  <c r="P41" i="12"/>
  <c r="P37" i="12"/>
  <c r="P33" i="12"/>
  <c r="P29" i="12"/>
  <c r="P25" i="12"/>
  <c r="P67" i="12"/>
  <c r="K26" i="12"/>
  <c r="K30" i="12"/>
  <c r="K66" i="12"/>
  <c r="K62" i="12"/>
  <c r="K58" i="12"/>
  <c r="K54" i="12"/>
  <c r="K50" i="12"/>
  <c r="K46" i="12"/>
  <c r="K42" i="12"/>
  <c r="K38" i="12"/>
  <c r="K34" i="12"/>
  <c r="K69" i="12"/>
  <c r="K65" i="12"/>
  <c r="K61" i="12"/>
  <c r="K57" i="12"/>
  <c r="K53" i="12"/>
  <c r="K49" i="12"/>
  <c r="K45" i="12"/>
  <c r="K41" i="12"/>
  <c r="K37" i="12"/>
  <c r="K33" i="12"/>
  <c r="K29" i="12"/>
  <c r="K25" i="12"/>
  <c r="K68" i="12"/>
  <c r="K64" i="12"/>
  <c r="K60" i="12"/>
  <c r="K56" i="12"/>
  <c r="K52" i="12"/>
  <c r="K48" i="12"/>
  <c r="K44" i="12"/>
  <c r="K40" i="12"/>
  <c r="K36" i="12"/>
  <c r="K32" i="12"/>
  <c r="K28" i="12"/>
  <c r="K24" i="12"/>
  <c r="K67" i="12"/>
  <c r="K63" i="12"/>
  <c r="K59" i="12"/>
  <c r="K55" i="12"/>
  <c r="K51" i="12"/>
  <c r="K47" i="12"/>
  <c r="K43" i="12"/>
  <c r="K39" i="12"/>
  <c r="K35" i="12"/>
  <c r="K31" i="12"/>
  <c r="K27" i="12"/>
  <c r="AC20" i="13"/>
  <c r="AD20" i="13"/>
  <c r="AE20" i="13"/>
  <c r="AF20" i="13"/>
  <c r="AG20" i="13"/>
  <c r="AH20" i="13"/>
  <c r="AI20" i="13"/>
  <c r="AJ20" i="13"/>
  <c r="AK20" i="13"/>
  <c r="AL20" i="13"/>
  <c r="AM20" i="13"/>
  <c r="AN20" i="13"/>
  <c r="AO20" i="13"/>
  <c r="AP20" i="13"/>
  <c r="AQ20" i="13"/>
  <c r="AR20" i="13"/>
  <c r="AS20" i="13"/>
  <c r="AT20" i="13"/>
  <c r="AU20" i="13"/>
  <c r="AV20" i="13"/>
  <c r="AC21" i="13"/>
  <c r="AD21" i="13"/>
  <c r="AE21" i="13"/>
  <c r="AF21" i="13"/>
  <c r="AG21" i="13"/>
  <c r="AH21" i="13"/>
  <c r="AI21" i="13"/>
  <c r="AJ21" i="13"/>
  <c r="AK21" i="13"/>
  <c r="AL21" i="13"/>
  <c r="AM21" i="13"/>
  <c r="AN21" i="13"/>
  <c r="AO21" i="13"/>
  <c r="AP21" i="13"/>
  <c r="AQ21" i="13"/>
  <c r="AR21" i="13"/>
  <c r="AS21" i="13"/>
  <c r="AT21" i="13"/>
  <c r="AU21" i="13"/>
  <c r="AV21" i="13"/>
  <c r="AC22" i="13"/>
  <c r="AD22" i="13"/>
  <c r="AE22" i="13"/>
  <c r="AF22" i="13"/>
  <c r="AG22" i="13"/>
  <c r="AH22" i="13"/>
  <c r="AI22" i="13"/>
  <c r="AJ22" i="13"/>
  <c r="AK22" i="13"/>
  <c r="AL22" i="13"/>
  <c r="AM22" i="13"/>
  <c r="AN22" i="13"/>
  <c r="AO22" i="13"/>
  <c r="AP22" i="13"/>
  <c r="AQ22" i="13"/>
  <c r="AR22" i="13"/>
  <c r="AS22" i="13"/>
  <c r="AT22" i="13"/>
  <c r="AU22" i="13"/>
  <c r="AV22" i="13"/>
  <c r="AC23" i="13"/>
  <c r="AD23" i="13"/>
  <c r="AE23" i="13"/>
  <c r="AF23" i="13"/>
  <c r="AG23" i="13"/>
  <c r="AH23" i="13"/>
  <c r="AI23" i="13"/>
  <c r="AJ23" i="13"/>
  <c r="AK23" i="13"/>
  <c r="AL23" i="13"/>
  <c r="AM23" i="13"/>
  <c r="AN23" i="13"/>
  <c r="AO23" i="13"/>
  <c r="AP23" i="13"/>
  <c r="AQ23" i="13"/>
  <c r="AR23" i="13"/>
  <c r="AS23" i="13"/>
  <c r="AT23" i="13"/>
  <c r="AU23" i="13"/>
  <c r="AV23" i="13"/>
  <c r="AC24" i="13"/>
  <c r="AD24" i="13"/>
  <c r="AE24" i="13"/>
  <c r="AF24" i="13"/>
  <c r="AG24" i="13"/>
  <c r="AH24" i="13"/>
  <c r="AI24" i="13"/>
  <c r="AJ24" i="13"/>
  <c r="AK24" i="13"/>
  <c r="AL24" i="13"/>
  <c r="AM24" i="13"/>
  <c r="AN24" i="13"/>
  <c r="AO24" i="13"/>
  <c r="AP24" i="13"/>
  <c r="AQ24" i="13"/>
  <c r="AR24" i="13"/>
  <c r="AS24" i="13"/>
  <c r="AT24" i="13"/>
  <c r="AU24" i="13"/>
  <c r="AV24" i="13"/>
  <c r="AW21" i="13"/>
  <c r="AW22" i="13"/>
  <c r="AW23" i="13"/>
  <c r="AW24" i="13"/>
  <c r="AW20" i="13"/>
  <c r="C19" i="13"/>
  <c r="D19" i="13" s="1"/>
  <c r="E19" i="13" s="1"/>
  <c r="F19" i="13" s="1"/>
  <c r="G19" i="13" s="1"/>
  <c r="H19" i="13" s="1"/>
  <c r="I19" i="13" s="1"/>
  <c r="J19" i="13" s="1"/>
  <c r="K19" i="13" s="1"/>
  <c r="L19" i="13" s="1"/>
  <c r="M19" i="13" s="1"/>
  <c r="N19" i="13" s="1"/>
  <c r="O19" i="13" s="1"/>
  <c r="P19" i="13" s="1"/>
  <c r="Q19" i="13" s="1"/>
  <c r="R19" i="13" s="1"/>
  <c r="S19" i="13" s="1"/>
  <c r="T19" i="13" s="1"/>
  <c r="U19" i="13" s="1"/>
  <c r="V19" i="13" s="1"/>
  <c r="W19" i="13" s="1"/>
  <c r="X19" i="13" s="1"/>
  <c r="Y19" i="13" s="1"/>
  <c r="Z19" i="13" s="1"/>
  <c r="AA19" i="13" s="1"/>
  <c r="AB19" i="13" s="1"/>
  <c r="AC19" i="13" s="1"/>
  <c r="AD19" i="13" s="1"/>
  <c r="AE19" i="13" s="1"/>
  <c r="AF19" i="13" s="1"/>
  <c r="AG19" i="13" s="1"/>
  <c r="AH19" i="13" s="1"/>
  <c r="AI19" i="13" s="1"/>
  <c r="AJ19" i="13" s="1"/>
  <c r="AK19" i="13" s="1"/>
  <c r="AL19" i="13" s="1"/>
  <c r="AM19" i="13" s="1"/>
  <c r="AN19" i="13" s="1"/>
  <c r="AO19" i="13" s="1"/>
  <c r="AP19" i="13" s="1"/>
  <c r="AQ19" i="13" s="1"/>
  <c r="AR19" i="13" s="1"/>
  <c r="AS19" i="13" s="1"/>
  <c r="AT19" i="13" s="1"/>
  <c r="AU19" i="13" s="1"/>
  <c r="AV19" i="13" s="1"/>
  <c r="AW19" i="13" s="1"/>
  <c r="C11" i="13"/>
  <c r="D11" i="13" s="1"/>
  <c r="E11" i="13" s="1"/>
  <c r="F11" i="13" s="1"/>
  <c r="G11" i="13" s="1"/>
  <c r="H11" i="13" s="1"/>
  <c r="I11" i="13" s="1"/>
  <c r="J11" i="13" s="1"/>
  <c r="K11" i="13" s="1"/>
  <c r="L11" i="13" s="1"/>
  <c r="M11" i="13" s="1"/>
  <c r="N11" i="13" s="1"/>
  <c r="O11" i="13" s="1"/>
  <c r="P11" i="13" s="1"/>
  <c r="Q11" i="13" s="1"/>
  <c r="R11" i="13" s="1"/>
  <c r="S11" i="13" s="1"/>
  <c r="T11" i="13" s="1"/>
  <c r="U11" i="13" s="1"/>
  <c r="V11" i="13" s="1"/>
  <c r="W11" i="13" s="1"/>
  <c r="X11" i="13" s="1"/>
  <c r="Y11" i="13" s="1"/>
  <c r="Z11" i="13" s="1"/>
  <c r="AA11" i="13" s="1"/>
  <c r="AB11" i="13" s="1"/>
  <c r="AC11" i="13" s="1"/>
  <c r="AD11" i="13" s="1"/>
  <c r="AE11" i="13" s="1"/>
  <c r="AF11" i="13" s="1"/>
  <c r="AG11" i="13" s="1"/>
  <c r="AH11" i="13" s="1"/>
  <c r="AI11" i="13" s="1"/>
  <c r="AJ11" i="13" s="1"/>
  <c r="AK11" i="13" s="1"/>
  <c r="AT25" i="13" l="1"/>
  <c r="AP25" i="13"/>
  <c r="AL25" i="13"/>
  <c r="AL26" i="13" s="1"/>
  <c r="AH25" i="13"/>
  <c r="AH26" i="13" s="1"/>
  <c r="AD25" i="13"/>
  <c r="AM25" i="13"/>
  <c r="AM26" i="13" s="1"/>
  <c r="AI25" i="13"/>
  <c r="AI26" i="13" s="1"/>
  <c r="AS25" i="13"/>
  <c r="AS26" i="13" s="1"/>
  <c r="AO25" i="13"/>
  <c r="AO26" i="13" s="1"/>
  <c r="AK25" i="13"/>
  <c r="AG25" i="13"/>
  <c r="AC25" i="13"/>
  <c r="AC26" i="13" s="1"/>
  <c r="AQ25" i="13"/>
  <c r="AQ26" i="13" s="1"/>
  <c r="AE25" i="13"/>
  <c r="AE26" i="13" s="1"/>
  <c r="AR25" i="13"/>
  <c r="AR26" i="13" s="1"/>
  <c r="AN25" i="13"/>
  <c r="AN26" i="13" s="1"/>
  <c r="AJ25" i="13"/>
  <c r="AJ26" i="13" s="1"/>
  <c r="AF25" i="13"/>
  <c r="AF26" i="13" s="1"/>
  <c r="AU25" i="13"/>
  <c r="AV25" i="13"/>
  <c r="AL11" i="13"/>
  <c r="AM11" i="13" s="1"/>
  <c r="AN11" i="13" s="1"/>
  <c r="AO11" i="13" s="1"/>
  <c r="AP11" i="13" s="1"/>
  <c r="AQ11" i="13" s="1"/>
  <c r="AR11" i="13" s="1"/>
  <c r="AS11" i="13" s="1"/>
  <c r="AT11" i="13" s="1"/>
  <c r="AU11" i="13" s="1"/>
  <c r="AV11" i="13" s="1"/>
  <c r="AW11" i="13" s="1"/>
  <c r="P72" i="12"/>
  <c r="P73" i="12"/>
  <c r="P75" i="12"/>
  <c r="P74" i="12"/>
  <c r="AW25" i="13"/>
  <c r="AV8" i="13"/>
  <c r="AU8" i="13"/>
  <c r="AT26" i="13"/>
  <c r="AP26" i="13"/>
  <c r="AK26" i="13"/>
  <c r="AG26" i="13"/>
  <c r="AD26" i="13"/>
  <c r="B37" i="13" l="1" a="1"/>
  <c r="AV34" i="13"/>
  <c r="AV26" i="13"/>
  <c r="AU26" i="13"/>
  <c r="AU34" i="13"/>
  <c r="F75" i="12"/>
  <c r="F74" i="12"/>
  <c r="F73" i="12"/>
  <c r="F72" i="12"/>
  <c r="AW8" i="13"/>
  <c r="C2" i="13"/>
  <c r="D2" i="13" s="1"/>
  <c r="E2" i="13" s="1"/>
  <c r="F2" i="13" s="1"/>
  <c r="G2" i="13" s="1"/>
  <c r="H2" i="13" s="1"/>
  <c r="I2" i="13" s="1"/>
  <c r="J2" i="13" s="1"/>
  <c r="K2" i="13" s="1"/>
  <c r="L2" i="13" s="1"/>
  <c r="M2" i="13" s="1"/>
  <c r="N2" i="13" s="1"/>
  <c r="O2" i="13" s="1"/>
  <c r="P2" i="13" s="1"/>
  <c r="Q2" i="13" s="1"/>
  <c r="R2" i="13" s="1"/>
  <c r="S2" i="13" s="1"/>
  <c r="T2" i="13" s="1"/>
  <c r="U2" i="13" s="1"/>
  <c r="V2" i="13" s="1"/>
  <c r="W2" i="13" s="1"/>
  <c r="X2" i="13" s="1"/>
  <c r="Y2" i="13" s="1"/>
  <c r="Z2" i="13" s="1"/>
  <c r="AA2" i="13" s="1"/>
  <c r="AB2" i="13" s="1"/>
  <c r="AC2" i="13" s="1"/>
  <c r="AD2" i="13" s="1"/>
  <c r="AE2" i="13" s="1"/>
  <c r="AF2" i="13" s="1"/>
  <c r="AG2" i="13" s="1"/>
  <c r="AH2" i="13" s="1"/>
  <c r="AI2" i="13" s="1"/>
  <c r="AJ2" i="13" s="1"/>
  <c r="AK2" i="13" s="1"/>
  <c r="AL2" i="13" s="1"/>
  <c r="AM2" i="13" s="1"/>
  <c r="AN2" i="13" s="1"/>
  <c r="AO2" i="13" s="1"/>
  <c r="AP2" i="13" s="1"/>
  <c r="AQ2" i="13" s="1"/>
  <c r="AR2" i="13" s="1"/>
  <c r="AS2" i="13" s="1"/>
  <c r="AT2" i="13" s="1"/>
  <c r="AU2" i="13" s="1"/>
  <c r="AV2" i="13" s="1"/>
  <c r="AW2" i="13" s="1"/>
  <c r="A24" i="12"/>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W26" i="13" l="1"/>
  <c r="AW34" i="13"/>
  <c r="BB34" i="13" s="1"/>
  <c r="BB35" i="13" s="1"/>
  <c r="BB8" i="13"/>
  <c r="C18" i="14"/>
  <c r="C19" i="14" s="1"/>
  <c r="C21" i="14" s="1"/>
  <c r="U6" i="12" s="1"/>
  <c r="U3" i="12" s="1"/>
  <c r="T6" i="12"/>
  <c r="D18" i="14"/>
  <c r="D19" i="14" s="1"/>
  <c r="D21" i="14" s="1"/>
  <c r="U11" i="12" s="1"/>
  <c r="T11" i="12"/>
  <c r="T16" i="12"/>
  <c r="E18" i="14"/>
  <c r="B37" i="13"/>
  <c r="B39" i="13" s="1"/>
  <c r="B41" i="13" s="1"/>
  <c r="B43" i="13" s="1"/>
  <c r="AK37" i="13"/>
  <c r="AK39" i="13" s="1"/>
  <c r="AK41" i="13" s="1"/>
  <c r="AK43" i="13" s="1"/>
  <c r="AK44" i="13" s="1"/>
  <c r="U37" i="13"/>
  <c r="U39" i="13" s="1"/>
  <c r="U41" i="13" s="1"/>
  <c r="U43" i="13" s="1"/>
  <c r="E37" i="13"/>
  <c r="E39" i="13" s="1"/>
  <c r="E41" i="13" s="1"/>
  <c r="E43" i="13" s="1"/>
  <c r="AJ37" i="13"/>
  <c r="AJ39" i="13" s="1"/>
  <c r="AJ41" i="13" s="1"/>
  <c r="AJ43" i="13" s="1"/>
  <c r="AJ44" i="13" s="1"/>
  <c r="T37" i="13"/>
  <c r="T39" i="13" s="1"/>
  <c r="T41" i="13" s="1"/>
  <c r="T43" i="13" s="1"/>
  <c r="D37" i="13"/>
  <c r="D39" i="13" s="1"/>
  <c r="D41" i="13" s="1"/>
  <c r="D43" i="13" s="1"/>
  <c r="AI37" i="13"/>
  <c r="AI39" i="13" s="1"/>
  <c r="AI41" i="13" s="1"/>
  <c r="AI43" i="13" s="1"/>
  <c r="AI44" i="13" s="1"/>
  <c r="S37" i="13"/>
  <c r="S39" i="13" s="1"/>
  <c r="S41" i="13" s="1"/>
  <c r="S43" i="13" s="1"/>
  <c r="C37" i="13"/>
  <c r="C39" i="13" s="1"/>
  <c r="C41" i="13" s="1"/>
  <c r="C43" i="13" s="1"/>
  <c r="AH37" i="13"/>
  <c r="AH39" i="13" s="1"/>
  <c r="AH41" i="13" s="1"/>
  <c r="AH43" i="13" s="1"/>
  <c r="AH44" i="13" s="1"/>
  <c r="R37" i="13"/>
  <c r="R39" i="13" s="1"/>
  <c r="R41" i="13" s="1"/>
  <c r="R43" i="13" s="1"/>
  <c r="AW37" i="13"/>
  <c r="AW39" i="13" s="1"/>
  <c r="AW41" i="13" s="1"/>
  <c r="AW43" i="13" s="1"/>
  <c r="AG37" i="13"/>
  <c r="AG39" i="13" s="1"/>
  <c r="AG41" i="13" s="1"/>
  <c r="AG43" i="13" s="1"/>
  <c r="AG44" i="13" s="1"/>
  <c r="Q37" i="13"/>
  <c r="Q39" i="13" s="1"/>
  <c r="Q41" i="13" s="1"/>
  <c r="Q43" i="13" s="1"/>
  <c r="AV37" i="13"/>
  <c r="AV39" i="13" s="1"/>
  <c r="AV41" i="13" s="1"/>
  <c r="AV43" i="13" s="1"/>
  <c r="AV44" i="13" s="1"/>
  <c r="AF37" i="13"/>
  <c r="AF39" i="13" s="1"/>
  <c r="AF41" i="13" s="1"/>
  <c r="AF43" i="13" s="1"/>
  <c r="AF44" i="13" s="1"/>
  <c r="P37" i="13"/>
  <c r="P39" i="13" s="1"/>
  <c r="P41" i="13" s="1"/>
  <c r="P43" i="13" s="1"/>
  <c r="AU37" i="13"/>
  <c r="AU39" i="13" s="1"/>
  <c r="AU41" i="13" s="1"/>
  <c r="AU43" i="13" s="1"/>
  <c r="AU44" i="13" s="1"/>
  <c r="AE37" i="13"/>
  <c r="AE39" i="13" s="1"/>
  <c r="AE41" i="13" s="1"/>
  <c r="AE43" i="13" s="1"/>
  <c r="AE44" i="13" s="1"/>
  <c r="O37" i="13"/>
  <c r="O39" i="13" s="1"/>
  <c r="O41" i="13" s="1"/>
  <c r="O43" i="13" s="1"/>
  <c r="AT37" i="13"/>
  <c r="AT39" i="13" s="1"/>
  <c r="AT41" i="13" s="1"/>
  <c r="AT43" i="13" s="1"/>
  <c r="AT44" i="13" s="1"/>
  <c r="AD37" i="13"/>
  <c r="AD39" i="13" s="1"/>
  <c r="AD41" i="13" s="1"/>
  <c r="AD43" i="13" s="1"/>
  <c r="AD44" i="13" s="1"/>
  <c r="N37" i="13"/>
  <c r="N39" i="13" s="1"/>
  <c r="N41" i="13" s="1"/>
  <c r="N43" i="13" s="1"/>
  <c r="AS37" i="13"/>
  <c r="AS39" i="13" s="1"/>
  <c r="AS41" i="13" s="1"/>
  <c r="AS43" i="13" s="1"/>
  <c r="AS44" i="13" s="1"/>
  <c r="AC37" i="13"/>
  <c r="AC39" i="13" s="1"/>
  <c r="AC41" i="13" s="1"/>
  <c r="AC43" i="13" s="1"/>
  <c r="AC44" i="13" s="1"/>
  <c r="M37" i="13"/>
  <c r="M39" i="13" s="1"/>
  <c r="M41" i="13" s="1"/>
  <c r="M43" i="13" s="1"/>
  <c r="AR37" i="13"/>
  <c r="AR39" i="13" s="1"/>
  <c r="AR41" i="13" s="1"/>
  <c r="AR43" i="13" s="1"/>
  <c r="AR44" i="13" s="1"/>
  <c r="AB37" i="13"/>
  <c r="AB39" i="13" s="1"/>
  <c r="AB41" i="13" s="1"/>
  <c r="AB43" i="13" s="1"/>
  <c r="L37" i="13"/>
  <c r="L39" i="13" s="1"/>
  <c r="L41" i="13" s="1"/>
  <c r="L43" i="13" s="1"/>
  <c r="AQ37" i="13"/>
  <c r="AQ39" i="13" s="1"/>
  <c r="AQ41" i="13" s="1"/>
  <c r="AQ43" i="13" s="1"/>
  <c r="AQ44" i="13" s="1"/>
  <c r="AA37" i="13"/>
  <c r="AA39" i="13" s="1"/>
  <c r="AA41" i="13" s="1"/>
  <c r="AA43" i="13" s="1"/>
  <c r="K37" i="13"/>
  <c r="K39" i="13" s="1"/>
  <c r="K41" i="13" s="1"/>
  <c r="K43" i="13" s="1"/>
  <c r="AP37" i="13"/>
  <c r="AP39" i="13" s="1"/>
  <c r="AP41" i="13" s="1"/>
  <c r="AP43" i="13" s="1"/>
  <c r="AP44" i="13" s="1"/>
  <c r="Z37" i="13"/>
  <c r="Z39" i="13" s="1"/>
  <c r="Z41" i="13" s="1"/>
  <c r="Z43" i="13" s="1"/>
  <c r="J37" i="13"/>
  <c r="J39" i="13" s="1"/>
  <c r="J41" i="13" s="1"/>
  <c r="J43" i="13" s="1"/>
  <c r="AO37" i="13"/>
  <c r="AO39" i="13" s="1"/>
  <c r="AO41" i="13" s="1"/>
  <c r="AO43" i="13" s="1"/>
  <c r="AO44" i="13" s="1"/>
  <c r="Y37" i="13"/>
  <c r="Y39" i="13" s="1"/>
  <c r="Y41" i="13" s="1"/>
  <c r="Y43" i="13" s="1"/>
  <c r="I37" i="13"/>
  <c r="I39" i="13" s="1"/>
  <c r="I41" i="13" s="1"/>
  <c r="I43" i="13" s="1"/>
  <c r="AN37" i="13"/>
  <c r="AN39" i="13" s="1"/>
  <c r="AN41" i="13" s="1"/>
  <c r="AN43" i="13" s="1"/>
  <c r="AN44" i="13" s="1"/>
  <c r="X37" i="13"/>
  <c r="X39" i="13" s="1"/>
  <c r="X41" i="13" s="1"/>
  <c r="X43" i="13" s="1"/>
  <c r="H37" i="13"/>
  <c r="H39" i="13" s="1"/>
  <c r="H41" i="13" s="1"/>
  <c r="H43" i="13" s="1"/>
  <c r="AM37" i="13"/>
  <c r="AM39" i="13" s="1"/>
  <c r="AM41" i="13" s="1"/>
  <c r="AM43" i="13" s="1"/>
  <c r="AM44" i="13" s="1"/>
  <c r="W37" i="13"/>
  <c r="W39" i="13" s="1"/>
  <c r="W41" i="13" s="1"/>
  <c r="W43" i="13" s="1"/>
  <c r="G37" i="13"/>
  <c r="G39" i="13" s="1"/>
  <c r="G41" i="13" s="1"/>
  <c r="G43" i="13" s="1"/>
  <c r="AL37" i="13"/>
  <c r="AL39" i="13" s="1"/>
  <c r="AL41" i="13" s="1"/>
  <c r="AL43" i="13" s="1"/>
  <c r="AL44" i="13" s="1"/>
  <c r="V37" i="13"/>
  <c r="V39" i="13" s="1"/>
  <c r="V41" i="13" s="1"/>
  <c r="V43" i="13" s="1"/>
  <c r="F37" i="13"/>
  <c r="F39" i="13" s="1"/>
  <c r="F41" i="13" s="1"/>
  <c r="F43" i="13" s="1"/>
  <c r="T21" i="12"/>
  <c r="F18" i="14"/>
  <c r="F19" i="14" s="1"/>
  <c r="F21" i="14" s="1"/>
  <c r="U21" i="12" s="1"/>
  <c r="AW57" i="11"/>
  <c r="AV57" i="11"/>
  <c r="AU57" i="11"/>
  <c r="AT57" i="11"/>
  <c r="AS57" i="11"/>
  <c r="AR57" i="11"/>
  <c r="AQ57" i="11"/>
  <c r="AP57" i="11"/>
  <c r="AO57" i="11"/>
  <c r="AN57" i="11"/>
  <c r="AM57" i="11"/>
  <c r="AL57" i="11"/>
  <c r="AK57" i="11"/>
  <c r="AJ57" i="11"/>
  <c r="AI57" i="11"/>
  <c r="AH57" i="11"/>
  <c r="AG57" i="11"/>
  <c r="AF57" i="11"/>
  <c r="AE57" i="11"/>
  <c r="AD57" i="11"/>
  <c r="AC57" i="11"/>
  <c r="AB57" i="11"/>
  <c r="AA57" i="11"/>
  <c r="Z57" i="11"/>
  <c r="Y57" i="11"/>
  <c r="X57" i="11"/>
  <c r="W57" i="11"/>
  <c r="V57" i="11"/>
  <c r="U57" i="11"/>
  <c r="T57" i="11"/>
  <c r="S57" i="11"/>
  <c r="R57" i="11"/>
  <c r="Q57" i="11"/>
  <c r="P57" i="11"/>
  <c r="O57" i="11"/>
  <c r="N57" i="11"/>
  <c r="M57" i="11"/>
  <c r="L57" i="11"/>
  <c r="K57" i="11"/>
  <c r="J57" i="11"/>
  <c r="I57" i="11"/>
  <c r="H57" i="11"/>
  <c r="G57" i="11"/>
  <c r="F57" i="11"/>
  <c r="E57" i="11"/>
  <c r="D57" i="11"/>
  <c r="C57" i="11"/>
  <c r="AX57" i="11"/>
  <c r="U8" i="13" l="1"/>
  <c r="K8" i="13"/>
  <c r="B5" i="13"/>
  <c r="B6" i="13"/>
  <c r="B7" i="13"/>
  <c r="L8" i="13"/>
  <c r="F8" i="13"/>
  <c r="W8" i="13"/>
  <c r="BF3" i="13"/>
  <c r="BG3" i="13" s="1"/>
  <c r="BF7" i="13"/>
  <c r="BG7" i="13" s="1"/>
  <c r="BF4" i="13"/>
  <c r="BG4" i="13" s="1"/>
  <c r="BF6" i="13"/>
  <c r="BG6" i="13" s="1"/>
  <c r="BF5" i="13"/>
  <c r="BB44" i="13"/>
  <c r="E19" i="14"/>
  <c r="E21" i="14" s="1"/>
  <c r="U16" i="12" s="1"/>
  <c r="C23" i="12" a="1"/>
  <c r="A5" i="1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C2" i="11"/>
  <c r="D2" i="11" s="1"/>
  <c r="E2" i="11" s="1"/>
  <c r="F2" i="11" s="1"/>
  <c r="G2" i="11" s="1"/>
  <c r="H2" i="11" s="1"/>
  <c r="I2" i="11" s="1"/>
  <c r="J2" i="11" s="1"/>
  <c r="K2" i="11" s="1"/>
  <c r="L2" i="11" s="1"/>
  <c r="M2" i="11" s="1"/>
  <c r="N2" i="11" s="1"/>
  <c r="O2" i="11" s="1"/>
  <c r="P2" i="11" s="1"/>
  <c r="Q2" i="11" s="1"/>
  <c r="R2" i="11" s="1"/>
  <c r="S2" i="11" s="1"/>
  <c r="T2" i="11" s="1"/>
  <c r="U2" i="11" s="1"/>
  <c r="V2" i="11" s="1"/>
  <c r="W2" i="11" s="1"/>
  <c r="X2" i="11" s="1"/>
  <c r="Y2" i="11" s="1"/>
  <c r="Z2" i="11" s="1"/>
  <c r="AA2" i="11" s="1"/>
  <c r="AB2" i="11" s="1"/>
  <c r="AC2" i="11" s="1"/>
  <c r="AD2" i="11" s="1"/>
  <c r="AE2" i="11" s="1"/>
  <c r="AF2" i="11" s="1"/>
  <c r="AG2" i="11" s="1"/>
  <c r="AH2" i="11" s="1"/>
  <c r="AI2" i="11" s="1"/>
  <c r="AJ2" i="11" s="1"/>
  <c r="AK2" i="11" s="1"/>
  <c r="AL2" i="11" s="1"/>
  <c r="AM2" i="11" s="1"/>
  <c r="AN2" i="11" s="1"/>
  <c r="AO2" i="11" s="1"/>
  <c r="AP2" i="11" s="1"/>
  <c r="AQ2" i="11" s="1"/>
  <c r="AR2" i="11" s="1"/>
  <c r="AS2" i="11" s="1"/>
  <c r="AT2" i="11" s="1"/>
  <c r="AU2" i="11" s="1"/>
  <c r="AV2" i="11" s="1"/>
  <c r="AW2" i="11" s="1"/>
  <c r="AX2" i="11" s="1"/>
  <c r="J8" i="13" l="1"/>
  <c r="Q8" i="13"/>
  <c r="Q34" i="13" s="1"/>
  <c r="V8" i="13"/>
  <c r="V44" i="13" s="1"/>
  <c r="S8" i="13"/>
  <c r="S44" i="13" s="1"/>
  <c r="X8" i="13"/>
  <c r="H8" i="13"/>
  <c r="H34" i="13" s="1"/>
  <c r="R8" i="13"/>
  <c r="R44" i="13" s="1"/>
  <c r="AA8" i="13"/>
  <c r="AA34" i="13" s="1"/>
  <c r="C8" i="13"/>
  <c r="B8" i="13"/>
  <c r="B89" i="13" s="1"/>
  <c r="O8" i="13"/>
  <c r="O44" i="13" s="1"/>
  <c r="G8" i="13"/>
  <c r="G44" i="13" s="1"/>
  <c r="E8" i="13"/>
  <c r="E44" i="13" s="1"/>
  <c r="I8" i="13"/>
  <c r="I34" i="13" s="1"/>
  <c r="N8" i="13"/>
  <c r="N91" i="13" s="1"/>
  <c r="P8" i="13"/>
  <c r="P34" i="13" s="1"/>
  <c r="AB8" i="13"/>
  <c r="AB44" i="13" s="1"/>
  <c r="T8" i="13"/>
  <c r="T44" i="13" s="1"/>
  <c r="Y8" i="13"/>
  <c r="Y34" i="13" s="1"/>
  <c r="D8" i="13"/>
  <c r="D44" i="13" s="1"/>
  <c r="M8" i="13"/>
  <c r="M44" i="13" s="1"/>
  <c r="Z8" i="13"/>
  <c r="Z93" i="13" s="1"/>
  <c r="J44" i="13"/>
  <c r="N44" i="13"/>
  <c r="F44" i="13"/>
  <c r="X44" i="13"/>
  <c r="L44" i="13"/>
  <c r="K44" i="13"/>
  <c r="C44" i="13"/>
  <c r="B21" i="13"/>
  <c r="BF8" i="13"/>
  <c r="BG5" i="13"/>
  <c r="W34" i="13"/>
  <c r="W44" i="13"/>
  <c r="B24" i="13"/>
  <c r="B23" i="13"/>
  <c r="Z92" i="13"/>
  <c r="Z34" i="13"/>
  <c r="Z44" i="13"/>
  <c r="AB34" i="13"/>
  <c r="X34" i="13"/>
  <c r="T34" i="13"/>
  <c r="Q44" i="13"/>
  <c r="U34" i="13"/>
  <c r="U44" i="13"/>
  <c r="M34" i="13"/>
  <c r="E34" i="13"/>
  <c r="J34" i="13"/>
  <c r="F34" i="13"/>
  <c r="K34" i="13"/>
  <c r="C34" i="13"/>
  <c r="L34" i="13"/>
  <c r="C23" i="12"/>
  <c r="C66" i="12"/>
  <c r="Q66" i="12" s="1"/>
  <c r="R66" i="12" s="1"/>
  <c r="C50" i="12"/>
  <c r="Q50" i="12" s="1"/>
  <c r="R50" i="12" s="1"/>
  <c r="C34" i="12"/>
  <c r="Q34" i="12" s="1"/>
  <c r="R34" i="12" s="1"/>
  <c r="C65" i="12"/>
  <c r="Q65" i="12" s="1"/>
  <c r="R65" i="12" s="1"/>
  <c r="C49" i="12"/>
  <c r="Q49" i="12" s="1"/>
  <c r="R49" i="12" s="1"/>
  <c r="C33" i="12"/>
  <c r="Q33" i="12" s="1"/>
  <c r="R33" i="12" s="1"/>
  <c r="C68" i="12"/>
  <c r="Q68" i="12" s="1"/>
  <c r="R68" i="12" s="1"/>
  <c r="C52" i="12"/>
  <c r="Q52" i="12" s="1"/>
  <c r="R52" i="12" s="1"/>
  <c r="C36" i="12"/>
  <c r="Q36" i="12" s="1"/>
  <c r="R36" i="12" s="1"/>
  <c r="C63" i="12"/>
  <c r="Q63" i="12" s="1"/>
  <c r="R63" i="12" s="1"/>
  <c r="C47" i="12"/>
  <c r="Q47" i="12" s="1"/>
  <c r="C31" i="12"/>
  <c r="Q31" i="12" s="1"/>
  <c r="R31" i="12" s="1"/>
  <c r="C62" i="12"/>
  <c r="Q62" i="12" s="1"/>
  <c r="R62" i="12" s="1"/>
  <c r="C46" i="12"/>
  <c r="Q46" i="12" s="1"/>
  <c r="R46" i="12" s="1"/>
  <c r="C30" i="12"/>
  <c r="Q30" i="12" s="1"/>
  <c r="R30" i="12" s="1"/>
  <c r="C61" i="12"/>
  <c r="Q61" i="12" s="1"/>
  <c r="R61" i="12" s="1"/>
  <c r="C45" i="12"/>
  <c r="Q45" i="12" s="1"/>
  <c r="R45" i="12" s="1"/>
  <c r="C29" i="12"/>
  <c r="Q29" i="12" s="1"/>
  <c r="R29" i="12" s="1"/>
  <c r="C64" i="12"/>
  <c r="Q64" i="12" s="1"/>
  <c r="R64" i="12" s="1"/>
  <c r="C48" i="12"/>
  <c r="Q48" i="12" s="1"/>
  <c r="R48" i="12" s="1"/>
  <c r="C32" i="12"/>
  <c r="Q32" i="12" s="1"/>
  <c r="R32" i="12" s="1"/>
  <c r="C59" i="12"/>
  <c r="Q59" i="12" s="1"/>
  <c r="C43" i="12"/>
  <c r="Q43" i="12" s="1"/>
  <c r="R43" i="12" s="1"/>
  <c r="C27" i="12"/>
  <c r="Q27" i="12" s="1"/>
  <c r="R27" i="12" s="1"/>
  <c r="C70" i="12"/>
  <c r="Q70" i="12" s="1"/>
  <c r="R70" i="12" s="1"/>
  <c r="C54" i="12"/>
  <c r="Q54" i="12" s="1"/>
  <c r="R54" i="12" s="1"/>
  <c r="C38" i="12"/>
  <c r="Q38" i="12" s="1"/>
  <c r="R38" i="12" s="1"/>
  <c r="C69" i="12"/>
  <c r="Q69" i="12" s="1"/>
  <c r="R69" i="12" s="1"/>
  <c r="C53" i="12"/>
  <c r="Q53" i="12" s="1"/>
  <c r="R53" i="12" s="1"/>
  <c r="C37" i="12"/>
  <c r="Q37" i="12" s="1"/>
  <c r="R37" i="12" s="1"/>
  <c r="C24" i="12"/>
  <c r="Q24" i="12" s="1"/>
  <c r="R24" i="12" s="1"/>
  <c r="C56" i="12"/>
  <c r="Q56" i="12" s="1"/>
  <c r="R56" i="12" s="1"/>
  <c r="C40" i="12"/>
  <c r="Q40" i="12" s="1"/>
  <c r="R40" i="12" s="1"/>
  <c r="C67" i="12"/>
  <c r="Q67" i="12" s="1"/>
  <c r="R67" i="12" s="1"/>
  <c r="C51" i="12"/>
  <c r="Q51" i="12" s="1"/>
  <c r="R51" i="12" s="1"/>
  <c r="C35" i="12"/>
  <c r="Q35" i="12" s="1"/>
  <c r="C58" i="12"/>
  <c r="Q58" i="12" s="1"/>
  <c r="R58" i="12" s="1"/>
  <c r="C42" i="12"/>
  <c r="Q42" i="12" s="1"/>
  <c r="R42" i="12" s="1"/>
  <c r="C26" i="12"/>
  <c r="Q26" i="12" s="1"/>
  <c r="R26" i="12" s="1"/>
  <c r="C57" i="12"/>
  <c r="Q57" i="12" s="1"/>
  <c r="R57" i="12" s="1"/>
  <c r="C41" i="12"/>
  <c r="Q41" i="12" s="1"/>
  <c r="R41" i="12" s="1"/>
  <c r="C25" i="12"/>
  <c r="Q25" i="12" s="1"/>
  <c r="R25" i="12" s="1"/>
  <c r="C60" i="12"/>
  <c r="Q60" i="12" s="1"/>
  <c r="R60" i="12" s="1"/>
  <c r="C44" i="12"/>
  <c r="Q44" i="12" s="1"/>
  <c r="R44" i="12" s="1"/>
  <c r="C28" i="12"/>
  <c r="Q28" i="12" s="1"/>
  <c r="R28" i="12" s="1"/>
  <c r="C55" i="12"/>
  <c r="Q55" i="12" s="1"/>
  <c r="R55" i="12" s="1"/>
  <c r="C39" i="12"/>
  <c r="Q39" i="12" s="1"/>
  <c r="R39" i="12" s="1"/>
  <c r="D34" i="13" l="1"/>
  <c r="N89" i="13"/>
  <c r="AZ8" i="13"/>
  <c r="BD64" i="13" s="1"/>
  <c r="O34" i="13"/>
  <c r="V34" i="13"/>
  <c r="P44" i="13"/>
  <c r="R34" i="13"/>
  <c r="I44" i="13"/>
  <c r="S34" i="13"/>
  <c r="AY8" i="13"/>
  <c r="AA44" i="13"/>
  <c r="BA8" i="13"/>
  <c r="BE61" i="13" s="1"/>
  <c r="G34" i="13"/>
  <c r="N93" i="13"/>
  <c r="B34" i="13"/>
  <c r="B44" i="13"/>
  <c r="B93" i="13"/>
  <c r="N92" i="13"/>
  <c r="Z91" i="13"/>
  <c r="Z89" i="13"/>
  <c r="H44" i="13"/>
  <c r="Y44" i="13"/>
  <c r="N34" i="13"/>
  <c r="B23" i="12" a="1"/>
  <c r="B31" i="12" s="1"/>
  <c r="H31" i="12" s="1"/>
  <c r="O31" i="12" s="1"/>
  <c r="B92" i="13"/>
  <c r="W23" i="13"/>
  <c r="W92" i="13"/>
  <c r="H24" i="13"/>
  <c r="H93" i="13"/>
  <c r="L21" i="13"/>
  <c r="L89" i="13"/>
  <c r="C23" i="13"/>
  <c r="C92" i="13"/>
  <c r="K23" i="13"/>
  <c r="K92" i="13"/>
  <c r="F22" i="13"/>
  <c r="F91" i="13"/>
  <c r="F24" i="13"/>
  <c r="F93" i="13"/>
  <c r="J24" i="13"/>
  <c r="J93" i="13"/>
  <c r="E23" i="13"/>
  <c r="E92" i="13"/>
  <c r="E22" i="13"/>
  <c r="E91" i="13"/>
  <c r="I23" i="13"/>
  <c r="I92" i="13"/>
  <c r="M21" i="13"/>
  <c r="M89" i="13"/>
  <c r="D23" i="13"/>
  <c r="D92" i="13"/>
  <c r="U22" i="13"/>
  <c r="U91" i="13"/>
  <c r="R22" i="13"/>
  <c r="R91" i="13"/>
  <c r="Q23" i="13"/>
  <c r="Q92" i="13"/>
  <c r="Q21" i="13"/>
  <c r="Q89" i="13"/>
  <c r="T24" i="13"/>
  <c r="T93" i="13"/>
  <c r="X22" i="13"/>
  <c r="X91" i="13"/>
  <c r="S23" i="13"/>
  <c r="S92" i="13"/>
  <c r="S24" i="13"/>
  <c r="S93" i="13"/>
  <c r="AA21" i="13"/>
  <c r="AA89" i="13"/>
  <c r="W24" i="13"/>
  <c r="W93" i="13"/>
  <c r="V24" i="13"/>
  <c r="V93" i="13"/>
  <c r="C21" i="13"/>
  <c r="C89" i="13"/>
  <c r="G21" i="13"/>
  <c r="G89" i="13"/>
  <c r="K24" i="13"/>
  <c r="K93" i="13"/>
  <c r="O21" i="13"/>
  <c r="O89" i="13"/>
  <c r="J23" i="13"/>
  <c r="J92" i="13"/>
  <c r="E21" i="13"/>
  <c r="E89" i="13"/>
  <c r="I24" i="13"/>
  <c r="I93" i="13"/>
  <c r="M23" i="13"/>
  <c r="M92" i="13"/>
  <c r="D24" i="13"/>
  <c r="D93" i="13"/>
  <c r="U24" i="13"/>
  <c r="U93" i="13"/>
  <c r="R21" i="13"/>
  <c r="R89" i="13"/>
  <c r="R23" i="13"/>
  <c r="R92" i="13"/>
  <c r="Q24" i="13"/>
  <c r="Q93" i="13"/>
  <c r="Y24" i="13"/>
  <c r="Y93" i="13"/>
  <c r="P24" i="13"/>
  <c r="P93" i="13"/>
  <c r="P23" i="13"/>
  <c r="P92" i="13"/>
  <c r="T21" i="13"/>
  <c r="T89" i="13"/>
  <c r="X24" i="13"/>
  <c r="X93" i="13"/>
  <c r="AB21" i="13"/>
  <c r="AB89" i="13"/>
  <c r="S22" i="13"/>
  <c r="S91" i="13"/>
  <c r="AA23" i="13"/>
  <c r="AA92" i="13"/>
  <c r="AA22" i="13"/>
  <c r="AA91" i="13"/>
  <c r="W22" i="13"/>
  <c r="W91" i="13"/>
  <c r="V23" i="13"/>
  <c r="V92" i="13"/>
  <c r="H21" i="13"/>
  <c r="H89" i="13"/>
  <c r="L22" i="13"/>
  <c r="L91" i="13"/>
  <c r="L24" i="13"/>
  <c r="L93" i="13"/>
  <c r="C24" i="13"/>
  <c r="C93" i="13"/>
  <c r="G22" i="13"/>
  <c r="G91" i="13"/>
  <c r="K22" i="13"/>
  <c r="K91" i="13"/>
  <c r="O24" i="13"/>
  <c r="O93" i="13"/>
  <c r="O22" i="13"/>
  <c r="O91" i="13"/>
  <c r="F21" i="13"/>
  <c r="F89" i="13"/>
  <c r="M24" i="13"/>
  <c r="M93" i="13"/>
  <c r="D22" i="13"/>
  <c r="D91" i="13"/>
  <c r="U21" i="13"/>
  <c r="U89" i="13"/>
  <c r="R24" i="13"/>
  <c r="R93" i="13"/>
  <c r="Q22" i="13"/>
  <c r="Q91" i="13"/>
  <c r="Y21" i="13"/>
  <c r="Y89" i="13"/>
  <c r="P22" i="13"/>
  <c r="P91" i="13"/>
  <c r="T23" i="13"/>
  <c r="T92" i="13"/>
  <c r="X23" i="13"/>
  <c r="X92" i="13"/>
  <c r="AB24" i="13"/>
  <c r="AB93" i="13"/>
  <c r="AA24" i="13"/>
  <c r="AA93" i="13"/>
  <c r="V21" i="13"/>
  <c r="V89" i="13"/>
  <c r="H23" i="13"/>
  <c r="H92" i="13"/>
  <c r="L23" i="13"/>
  <c r="L92" i="13"/>
  <c r="C22" i="13"/>
  <c r="C91" i="13"/>
  <c r="G23" i="13"/>
  <c r="G92" i="13"/>
  <c r="G24" i="13"/>
  <c r="G93" i="13"/>
  <c r="K21" i="13"/>
  <c r="K89" i="13"/>
  <c r="O23" i="13"/>
  <c r="O92" i="13"/>
  <c r="F23" i="13"/>
  <c r="F92" i="13"/>
  <c r="J22" i="13"/>
  <c r="J91" i="13"/>
  <c r="J21" i="13"/>
  <c r="J89" i="13"/>
  <c r="E24" i="13"/>
  <c r="E93" i="13"/>
  <c r="I21" i="13"/>
  <c r="I89" i="13"/>
  <c r="M22" i="13"/>
  <c r="M91" i="13"/>
  <c r="D21" i="13"/>
  <c r="D89" i="13"/>
  <c r="U23" i="13"/>
  <c r="U92" i="13"/>
  <c r="Y22" i="13"/>
  <c r="Y91" i="13"/>
  <c r="Y23" i="13"/>
  <c r="Y92" i="13"/>
  <c r="P21" i="13"/>
  <c r="P89" i="13"/>
  <c r="X21" i="13"/>
  <c r="X89" i="13"/>
  <c r="AB23" i="13"/>
  <c r="AB92" i="13"/>
  <c r="S21" i="13"/>
  <c r="S89" i="13"/>
  <c r="W21" i="13"/>
  <c r="W89" i="13"/>
  <c r="B22" i="13"/>
  <c r="B91" i="13"/>
  <c r="AZ44" i="13"/>
  <c r="BC61" i="13"/>
  <c r="BC62" i="13"/>
  <c r="BC63" i="13"/>
  <c r="BC60" i="13"/>
  <c r="BC64" i="13"/>
  <c r="BE64" i="13"/>
  <c r="BD61" i="13"/>
  <c r="BD60" i="13"/>
  <c r="BD62" i="13"/>
  <c r="BA44" i="13"/>
  <c r="AZ34" i="13"/>
  <c r="AZ35" i="13" s="1"/>
  <c r="BA34" i="13"/>
  <c r="BA35" i="13" s="1"/>
  <c r="N22" i="13"/>
  <c r="BA6" i="13"/>
  <c r="BE6" i="13" s="1"/>
  <c r="Z23" i="13"/>
  <c r="Q74" i="12"/>
  <c r="R47" i="12"/>
  <c r="R74" i="12" s="1"/>
  <c r="AZ6" i="13"/>
  <c r="BD6" i="13" s="1"/>
  <c r="N23" i="13"/>
  <c r="Q73" i="12"/>
  <c r="R35" i="12"/>
  <c r="R73" i="12" s="1"/>
  <c r="AY6" i="13"/>
  <c r="BC6" i="13" s="1"/>
  <c r="AY4" i="13"/>
  <c r="BC4" i="13" s="1"/>
  <c r="AZ4" i="13"/>
  <c r="N21" i="13"/>
  <c r="BA7" i="13"/>
  <c r="BE7" i="13" s="1"/>
  <c r="Z24" i="13"/>
  <c r="Q75" i="12"/>
  <c r="R59" i="12"/>
  <c r="R75" i="12" s="1"/>
  <c r="AZ7" i="13"/>
  <c r="BD7" i="13" s="1"/>
  <c r="N24" i="13"/>
  <c r="BA5" i="13"/>
  <c r="Z22" i="13"/>
  <c r="BA4" i="13"/>
  <c r="Z21" i="13"/>
  <c r="AY7" i="13"/>
  <c r="BC7" i="13" s="1"/>
  <c r="C75" i="12"/>
  <c r="C74" i="12"/>
  <c r="C73" i="12"/>
  <c r="C72" i="12"/>
  <c r="F29" i="10"/>
  <c r="D29" i="10"/>
  <c r="D27" i="10"/>
  <c r="D28" i="10" s="1"/>
  <c r="F27" i="10"/>
  <c r="F28" i="10" s="1"/>
  <c r="F22" i="10"/>
  <c r="F23" i="10" s="1"/>
  <c r="D22" i="10"/>
  <c r="D23" i="10" s="1"/>
  <c r="X15" i="7"/>
  <c r="F12" i="10"/>
  <c r="F11" i="10"/>
  <c r="F10" i="10"/>
  <c r="F4" i="10"/>
  <c r="F7" i="10" s="1"/>
  <c r="BD4" i="13" l="1"/>
  <c r="BD63" i="13"/>
  <c r="BE63" i="13"/>
  <c r="AY34" i="13"/>
  <c r="AY35" i="13" s="1"/>
  <c r="B47" i="12"/>
  <c r="G47" i="12" s="1"/>
  <c r="B24" i="12"/>
  <c r="G24" i="12" s="1"/>
  <c r="B38" i="12"/>
  <c r="G38" i="12" s="1"/>
  <c r="B53" i="12"/>
  <c r="G53" i="12" s="1"/>
  <c r="AY44" i="13"/>
  <c r="BE4" i="13"/>
  <c r="B26" i="12"/>
  <c r="G26" i="12" s="1"/>
  <c r="B40" i="12"/>
  <c r="H40" i="12" s="1"/>
  <c r="O40" i="12" s="1"/>
  <c r="B27" i="12"/>
  <c r="H27" i="12" s="1"/>
  <c r="O27" i="12" s="1"/>
  <c r="B39" i="12"/>
  <c r="G39" i="12" s="1"/>
  <c r="B32" i="12"/>
  <c r="G32" i="12" s="1"/>
  <c r="B62" i="12"/>
  <c r="G62" i="12" s="1"/>
  <c r="B65" i="12"/>
  <c r="H65" i="12" s="1"/>
  <c r="O65" i="12" s="1"/>
  <c r="B55" i="12"/>
  <c r="G55" i="12" s="1"/>
  <c r="BE60" i="13"/>
  <c r="BE5" i="13"/>
  <c r="B51" i="12"/>
  <c r="G51" i="12" s="1"/>
  <c r="B37" i="12"/>
  <c r="H37" i="12" s="1"/>
  <c r="O37" i="12" s="1"/>
  <c r="B60" i="12"/>
  <c r="H60" i="12" s="1"/>
  <c r="O60" i="12" s="1"/>
  <c r="B25" i="12"/>
  <c r="G25" i="12" s="1"/>
  <c r="B59" i="12"/>
  <c r="G59" i="12" s="1"/>
  <c r="B68" i="12"/>
  <c r="G68" i="12" s="1"/>
  <c r="BE62" i="13"/>
  <c r="B66" i="12"/>
  <c r="G66" i="12" s="1"/>
  <c r="B61" i="12"/>
  <c r="H61" i="12" s="1"/>
  <c r="O61" i="12" s="1"/>
  <c r="B67" i="12"/>
  <c r="G67" i="12" s="1"/>
  <c r="B52" i="12"/>
  <c r="G52" i="12" s="1"/>
  <c r="B46" i="12"/>
  <c r="H46" i="12" s="1"/>
  <c r="O46" i="12" s="1"/>
  <c r="B50" i="12"/>
  <c r="G50" i="12" s="1"/>
  <c r="B44" i="12"/>
  <c r="G44" i="12" s="1"/>
  <c r="B49" i="12"/>
  <c r="H49" i="12" s="1"/>
  <c r="O49" i="12" s="1"/>
  <c r="B54" i="12"/>
  <c r="G54" i="12" s="1"/>
  <c r="B57" i="12"/>
  <c r="G57" i="12" s="1"/>
  <c r="B36" i="12"/>
  <c r="H36" i="12" s="1"/>
  <c r="O36" i="12" s="1"/>
  <c r="B56" i="12"/>
  <c r="H56" i="12" s="1"/>
  <c r="O56" i="12" s="1"/>
  <c r="B45" i="12"/>
  <c r="H45" i="12" s="1"/>
  <c r="O45" i="12" s="1"/>
  <c r="B42" i="12"/>
  <c r="G42" i="12" s="1"/>
  <c r="B34" i="12"/>
  <c r="H34" i="12" s="1"/>
  <c r="O34" i="12" s="1"/>
  <c r="B29" i="12"/>
  <c r="G29" i="12" s="1"/>
  <c r="B41" i="12"/>
  <c r="H41" i="12" s="1"/>
  <c r="O41" i="12" s="1"/>
  <c r="B64" i="12"/>
  <c r="G64" i="12" s="1"/>
  <c r="B69" i="12"/>
  <c r="G69" i="12" s="1"/>
  <c r="B30" i="12"/>
  <c r="H30" i="12" s="1"/>
  <c r="O30" i="12" s="1"/>
  <c r="B33" i="12"/>
  <c r="G33" i="12" s="1"/>
  <c r="B23" i="12"/>
  <c r="H23" i="12" s="1"/>
  <c r="O23" i="12" s="1"/>
  <c r="B43" i="12"/>
  <c r="G43" i="12" s="1"/>
  <c r="B63" i="12"/>
  <c r="G63" i="12" s="1"/>
  <c r="B28" i="12"/>
  <c r="G28" i="12" s="1"/>
  <c r="B35" i="12"/>
  <c r="H35" i="12" s="1"/>
  <c r="O35" i="12" s="1"/>
  <c r="B48" i="12"/>
  <c r="G48" i="12" s="1"/>
  <c r="B58" i="12"/>
  <c r="G58" i="12" s="1"/>
  <c r="B70" i="12"/>
  <c r="G70" i="12" s="1"/>
  <c r="I22" i="13"/>
  <c r="I91" i="13"/>
  <c r="V22" i="13"/>
  <c r="V91" i="13"/>
  <c r="H22" i="13"/>
  <c r="H91" i="13"/>
  <c r="T22" i="13"/>
  <c r="T91" i="13"/>
  <c r="AB22" i="13"/>
  <c r="AB91" i="13"/>
  <c r="AZ5" i="13"/>
  <c r="BD5" i="13" s="1"/>
  <c r="BC65" i="13"/>
  <c r="AY5" i="13"/>
  <c r="BC5" i="13" s="1"/>
  <c r="BD65" i="13"/>
  <c r="H24" i="12"/>
  <c r="O24" i="12" s="1"/>
  <c r="G40" i="12"/>
  <c r="H59" i="12"/>
  <c r="O59" i="12" s="1"/>
  <c r="H47" i="12"/>
  <c r="O47" i="12" s="1"/>
  <c r="G60" i="12"/>
  <c r="H38" i="12"/>
  <c r="O38" i="12" s="1"/>
  <c r="H51" i="12"/>
  <c r="O51" i="12" s="1"/>
  <c r="G31" i="12"/>
  <c r="H39" i="12"/>
  <c r="O39" i="12" s="1"/>
  <c r="G34" i="12"/>
  <c r="H42" i="12"/>
  <c r="O42" i="12" s="1"/>
  <c r="H69" i="12"/>
  <c r="O69" i="12" s="1"/>
  <c r="G36" i="12"/>
  <c r="G61" i="12"/>
  <c r="G27" i="12"/>
  <c r="H50" i="12"/>
  <c r="O50" i="12" s="1"/>
  <c r="Q72" i="12"/>
  <c r="R23" i="12"/>
  <c r="R72" i="12" s="1"/>
  <c r="C4" i="12"/>
  <c r="U4" i="12"/>
  <c r="H57" i="12"/>
  <c r="O57" i="12" s="1"/>
  <c r="H67" i="12"/>
  <c r="O67" i="12" s="1"/>
  <c r="H55" i="12"/>
  <c r="O55" i="12" s="1"/>
  <c r="C9" i="12"/>
  <c r="U9" i="12"/>
  <c r="U8" i="12" s="1"/>
  <c r="C19" i="12"/>
  <c r="U19" i="12"/>
  <c r="C14" i="12"/>
  <c r="U14" i="12"/>
  <c r="U13" i="12" s="1"/>
  <c r="M65" i="12"/>
  <c r="M31" i="12"/>
  <c r="N31" i="12"/>
  <c r="M37" i="12"/>
  <c r="N23" i="12"/>
  <c r="M34" i="12"/>
  <c r="N34" i="12"/>
  <c r="N61" i="12"/>
  <c r="M27" i="12"/>
  <c r="N27" i="12"/>
  <c r="D30" i="10"/>
  <c r="D16" i="10" s="1"/>
  <c r="G23" i="10"/>
  <c r="G29" i="10"/>
  <c r="G28" i="10"/>
  <c r="G22" i="10"/>
  <c r="G27" i="10"/>
  <c r="F30" i="10"/>
  <c r="F16" i="10" s="1"/>
  <c r="F17" i="10" s="1"/>
  <c r="F37" i="10" s="1"/>
  <c r="F15" i="10"/>
  <c r="BE65" i="13" l="1"/>
  <c r="M60" i="12"/>
  <c r="G30" i="12"/>
  <c r="M40" i="12"/>
  <c r="H53" i="12"/>
  <c r="O53" i="12" s="1"/>
  <c r="N40" i="12"/>
  <c r="N30" i="12"/>
  <c r="H32" i="12"/>
  <c r="O32" i="12" s="1"/>
  <c r="N49" i="12"/>
  <c r="M30" i="12"/>
  <c r="H58" i="12"/>
  <c r="O58" i="12" s="1"/>
  <c r="H26" i="12"/>
  <c r="O26" i="12" s="1"/>
  <c r="M49" i="12"/>
  <c r="N36" i="12"/>
  <c r="N56" i="12"/>
  <c r="G49" i="12"/>
  <c r="H43" i="12"/>
  <c r="O43" i="12" s="1"/>
  <c r="H44" i="12"/>
  <c r="O44" i="12" s="1"/>
  <c r="O73" i="12" s="1"/>
  <c r="G56" i="12"/>
  <c r="N60" i="12"/>
  <c r="M38" i="12"/>
  <c r="M36" i="12"/>
  <c r="M56" i="12"/>
  <c r="M61" i="12"/>
  <c r="N37" i="12"/>
  <c r="N65" i="12"/>
  <c r="B72" i="12"/>
  <c r="C3" i="12" s="1"/>
  <c r="C5" i="12" s="1"/>
  <c r="H52" i="12"/>
  <c r="O52" i="12" s="1"/>
  <c r="H48" i="12"/>
  <c r="O48" i="12" s="1"/>
  <c r="H63" i="12"/>
  <c r="O63" i="12" s="1"/>
  <c r="G65" i="12"/>
  <c r="G75" i="12" s="1"/>
  <c r="B18" i="12" s="1"/>
  <c r="G37" i="12"/>
  <c r="H68" i="12"/>
  <c r="O68" i="12" s="1"/>
  <c r="H29" i="12"/>
  <c r="O29" i="12" s="1"/>
  <c r="H33" i="12"/>
  <c r="O33" i="12" s="1"/>
  <c r="H25" i="12"/>
  <c r="O25" i="12" s="1"/>
  <c r="G41" i="12"/>
  <c r="H62" i="12"/>
  <c r="O62" i="12" s="1"/>
  <c r="H54" i="12"/>
  <c r="O54" i="12" s="1"/>
  <c r="N46" i="12"/>
  <c r="M45" i="12"/>
  <c r="M46" i="12"/>
  <c r="M41" i="12"/>
  <c r="H66" i="12"/>
  <c r="O66" i="12" s="1"/>
  <c r="H28" i="12"/>
  <c r="O28" i="12" s="1"/>
  <c r="G46" i="12"/>
  <c r="G23" i="12"/>
  <c r="G72" i="12" s="1"/>
  <c r="B3" i="12" s="1"/>
  <c r="M35" i="12"/>
  <c r="G35" i="12"/>
  <c r="H64" i="12"/>
  <c r="O64" i="12" s="1"/>
  <c r="H70" i="12"/>
  <c r="O70" i="12" s="1"/>
  <c r="N35" i="12"/>
  <c r="B75" i="12"/>
  <c r="C18" i="12" s="1"/>
  <c r="N41" i="12"/>
  <c r="N45" i="12"/>
  <c r="M23" i="12"/>
  <c r="B73" i="12"/>
  <c r="C8" i="12" s="1"/>
  <c r="C10" i="12" s="1"/>
  <c r="B74" i="12"/>
  <c r="C13" i="12" s="1"/>
  <c r="C15" i="12" s="1"/>
  <c r="G45" i="12"/>
  <c r="N59" i="12"/>
  <c r="M53" i="12"/>
  <c r="N24" i="12"/>
  <c r="M59" i="12"/>
  <c r="N29" i="12"/>
  <c r="M55" i="12"/>
  <c r="M24" i="12"/>
  <c r="N67" i="12"/>
  <c r="M69" i="12"/>
  <c r="N38" i="12"/>
  <c r="M68" i="12"/>
  <c r="N70" i="12"/>
  <c r="N51" i="12"/>
  <c r="N47" i="12"/>
  <c r="M51" i="12"/>
  <c r="M47" i="12"/>
  <c r="M50" i="12"/>
  <c r="M39" i="12"/>
  <c r="N43" i="12"/>
  <c r="M57" i="12"/>
  <c r="N33" i="12"/>
  <c r="N39" i="12"/>
  <c r="N42" i="12"/>
  <c r="M42" i="12"/>
  <c r="G73" i="12"/>
  <c r="B8" i="12" s="1"/>
  <c r="D8" i="12" s="1"/>
  <c r="M28" i="12"/>
  <c r="N69" i="12"/>
  <c r="N50" i="12"/>
  <c r="M67" i="12"/>
  <c r="U5" i="12"/>
  <c r="N55" i="12"/>
  <c r="N57" i="12"/>
  <c r="E4" i="12"/>
  <c r="W4" i="12"/>
  <c r="U18" i="12"/>
  <c r="C20" i="12"/>
  <c r="E19" i="12"/>
  <c r="W19" i="12"/>
  <c r="U15" i="12"/>
  <c r="T14" i="12" s="1"/>
  <c r="V14" i="12" s="1"/>
  <c r="U10" i="12"/>
  <c r="T9" i="12" s="1"/>
  <c r="V9" i="12" s="1"/>
  <c r="W14" i="12"/>
  <c r="E14" i="12"/>
  <c r="E9" i="12"/>
  <c r="W9" i="12"/>
  <c r="F18" i="10"/>
  <c r="F33" i="10" s="1"/>
  <c r="D17" i="10"/>
  <c r="G16" i="10"/>
  <c r="G30" i="10"/>
  <c r="F31" i="10"/>
  <c r="F35" i="10" s="1"/>
  <c r="D31" i="10"/>
  <c r="D35" i="10" s="1"/>
  <c r="M32" i="12" l="1"/>
  <c r="N25" i="12"/>
  <c r="N54" i="12"/>
  <c r="N32" i="12"/>
  <c r="M44" i="12"/>
  <c r="N44" i="12"/>
  <c r="N73" i="12" s="1"/>
  <c r="O10" i="12" s="1"/>
  <c r="P10" i="12" s="1"/>
  <c r="N63" i="12"/>
  <c r="M48" i="12"/>
  <c r="N48" i="12"/>
  <c r="N68" i="12"/>
  <c r="N53" i="12"/>
  <c r="N28" i="12"/>
  <c r="M43" i="12"/>
  <c r="M29" i="12"/>
  <c r="D18" i="12"/>
  <c r="H73" i="12"/>
  <c r="B9" i="12" s="1"/>
  <c r="D9" i="12" s="1"/>
  <c r="F9" i="12" s="1"/>
  <c r="O72" i="12"/>
  <c r="O74" i="12"/>
  <c r="G74" i="12"/>
  <c r="B13" i="12" s="1"/>
  <c r="D13" i="12" s="1"/>
  <c r="D15" i="12" s="1"/>
  <c r="N52" i="12"/>
  <c r="N74" i="12" s="1"/>
  <c r="O15" i="12" s="1"/>
  <c r="P15" i="12" s="1"/>
  <c r="H74" i="12"/>
  <c r="B14" i="12" s="1"/>
  <c r="D14" i="12" s="1"/>
  <c r="F14" i="12" s="1"/>
  <c r="M52" i="12"/>
  <c r="N26" i="12"/>
  <c r="M66" i="12"/>
  <c r="H72" i="12"/>
  <c r="B4" i="12" s="1"/>
  <c r="D4" i="12" s="1"/>
  <c r="F4" i="12" s="1"/>
  <c r="M70" i="12"/>
  <c r="O75" i="12"/>
  <c r="M58" i="12"/>
  <c r="M54" i="12"/>
  <c r="N66" i="12"/>
  <c r="M26" i="12"/>
  <c r="M33" i="12"/>
  <c r="M25" i="12"/>
  <c r="M63" i="12"/>
  <c r="N58" i="12"/>
  <c r="M62" i="12"/>
  <c r="N62" i="12"/>
  <c r="M64" i="12"/>
  <c r="H75" i="12"/>
  <c r="B19" i="12" s="1"/>
  <c r="D19" i="12" s="1"/>
  <c r="F19" i="12" s="1"/>
  <c r="N64" i="12"/>
  <c r="T4" i="12"/>
  <c r="V4" i="12" s="1"/>
  <c r="T3" i="12"/>
  <c r="V3" i="12" s="1"/>
  <c r="T8" i="12"/>
  <c r="V8" i="12" s="1"/>
  <c r="M73" i="12"/>
  <c r="D3" i="12"/>
  <c r="D5" i="12" s="1"/>
  <c r="T13" i="12"/>
  <c r="V13" i="12" s="1"/>
  <c r="X4" i="12"/>
  <c r="T10" i="12"/>
  <c r="X14" i="12"/>
  <c r="X9" i="12"/>
  <c r="U20" i="12"/>
  <c r="T19" i="12" s="1"/>
  <c r="V19" i="12" s="1"/>
  <c r="X19" i="12" s="1"/>
  <c r="G35" i="10"/>
  <c r="G17" i="10"/>
  <c r="D37" i="10"/>
  <c r="G37" i="10"/>
  <c r="G31" i="10"/>
  <c r="D10" i="12" l="1"/>
  <c r="B10" i="12"/>
  <c r="M72" i="12"/>
  <c r="N72" i="12"/>
  <c r="O5" i="12" s="1"/>
  <c r="P5" i="12" s="1"/>
  <c r="Q20" i="12" s="1"/>
  <c r="M75" i="12"/>
  <c r="M74" i="12"/>
  <c r="N75" i="12"/>
  <c r="O20" i="12" s="1"/>
  <c r="P20" i="12" s="1"/>
  <c r="B15" i="12"/>
  <c r="B5" i="12"/>
  <c r="B20" i="12"/>
  <c r="D20" i="12"/>
  <c r="T5" i="12"/>
  <c r="T15" i="12"/>
  <c r="T18" i="12"/>
  <c r="V18" i="12" s="1"/>
  <c r="V5" i="12"/>
  <c r="V15" i="12"/>
  <c r="V10" i="12"/>
  <c r="D12" i="10"/>
  <c r="G12" i="10" s="1"/>
  <c r="D11" i="10"/>
  <c r="G11" i="10" s="1"/>
  <c r="D10" i="10"/>
  <c r="G10" i="10" s="1"/>
  <c r="D4" i="10"/>
  <c r="T20" i="12" l="1"/>
  <c r="V20" i="12"/>
  <c r="D7" i="10"/>
  <c r="G4" i="10"/>
  <c r="D15" i="10"/>
  <c r="D18" i="10" s="1"/>
  <c r="G18" i="10" s="1"/>
  <c r="AA15" i="7"/>
  <c r="Q15" i="6"/>
  <c r="R15" i="6"/>
  <c r="S16" i="6"/>
  <c r="G7" i="10" l="1"/>
  <c r="D33" i="10"/>
  <c r="G33" i="10" s="1"/>
  <c r="G15" i="10"/>
  <c r="X7" i="7"/>
  <c r="G16" i="6"/>
  <c r="N16" i="6"/>
  <c r="R15" i="7"/>
  <c r="G15" i="6"/>
  <c r="K15" i="6"/>
  <c r="J15" i="6"/>
  <c r="Q16" i="6"/>
  <c r="R16" i="6"/>
  <c r="E16" i="6"/>
  <c r="H17" i="9" l="1"/>
  <c r="H16" i="9"/>
  <c r="H15" i="9"/>
  <c r="H14" i="9"/>
  <c r="H8" i="9"/>
  <c r="H7" i="9"/>
  <c r="H6" i="9"/>
  <c r="H5" i="9"/>
  <c r="AB5" i="7" l="1"/>
  <c r="AB6" i="7"/>
  <c r="AB7" i="7"/>
  <c r="AB8" i="7"/>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4" i="7"/>
  <c r="Y53" i="7"/>
  <c r="F5" i="9" s="1"/>
  <c r="Y54" i="7"/>
  <c r="F6" i="9" s="1"/>
  <c r="E7" i="9" s="1"/>
  <c r="G7" i="9" s="1"/>
  <c r="Y55" i="7"/>
  <c r="F7" i="9" s="1"/>
  <c r="E8" i="9" s="1"/>
  <c r="Y56" i="7"/>
  <c r="F8" i="9" s="1"/>
  <c r="G8" i="9" l="1"/>
  <c r="E6" i="9"/>
  <c r="G6" i="9" s="1"/>
  <c r="G5" i="9"/>
  <c r="AB56" i="7" l="1"/>
  <c r="AB55" i="7"/>
  <c r="AB54" i="7"/>
  <c r="AB53" i="7"/>
  <c r="F17" i="9" l="1"/>
  <c r="F15" i="9"/>
  <c r="E16" i="9" s="1"/>
  <c r="G16" i="9" s="1"/>
  <c r="F16" i="9"/>
  <c r="E17" i="9" s="1"/>
  <c r="G17" i="9" s="1"/>
  <c r="F14" i="9"/>
  <c r="S6" i="6"/>
  <c r="S7" i="6"/>
  <c r="S8" i="6"/>
  <c r="S9" i="6"/>
  <c r="S10" i="6"/>
  <c r="S11" i="6"/>
  <c r="S12" i="6"/>
  <c r="S13" i="6"/>
  <c r="S14" i="6"/>
  <c r="S15"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 i="6"/>
  <c r="R6" i="6"/>
  <c r="R7" i="6"/>
  <c r="R8" i="6"/>
  <c r="R9" i="6"/>
  <c r="R10" i="6"/>
  <c r="R11" i="6"/>
  <c r="R12" i="6"/>
  <c r="R13" i="6"/>
  <c r="R14"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 i="6"/>
  <c r="Q5" i="6"/>
  <c r="E15" i="9" l="1"/>
  <c r="G15" i="9" s="1"/>
  <c r="G14" i="9"/>
  <c r="J5" i="6"/>
  <c r="J6" i="6"/>
  <c r="J7" i="6"/>
  <c r="J8" i="6"/>
  <c r="J10" i="6"/>
  <c r="J11" i="6"/>
  <c r="J12" i="6"/>
  <c r="J13" i="6"/>
  <c r="J14" i="6"/>
  <c r="J16" i="6"/>
  <c r="J17" i="6"/>
  <c r="J18" i="6"/>
  <c r="J19" i="6"/>
  <c r="J20" i="6"/>
  <c r="J21" i="6"/>
  <c r="J22" i="6"/>
  <c r="J23" i="6"/>
  <c r="J24" i="6"/>
  <c r="J25" i="6"/>
  <c r="J26" i="6"/>
  <c r="J27" i="6"/>
  <c r="J28" i="6"/>
  <c r="J33" i="6"/>
  <c r="J34" i="6"/>
  <c r="J35" i="6"/>
  <c r="J36" i="6"/>
  <c r="J37" i="6"/>
  <c r="J38" i="6"/>
  <c r="J39" i="6"/>
  <c r="J40" i="6"/>
  <c r="J41" i="6"/>
  <c r="J42" i="6"/>
  <c r="J43" i="6"/>
  <c r="J44" i="6"/>
  <c r="J45" i="6"/>
  <c r="J46" i="6"/>
  <c r="J47" i="6"/>
  <c r="J48" i="6"/>
  <c r="J49" i="6"/>
  <c r="J50" i="6"/>
  <c r="J51" i="6"/>
  <c r="J52" i="6"/>
  <c r="BB127" i="8" l="1"/>
  <c r="BB126" i="8"/>
  <c r="BB125" i="8"/>
  <c r="BB124" i="8"/>
  <c r="BB123" i="8"/>
  <c r="BB122" i="8"/>
  <c r="BB121" i="8"/>
  <c r="BB120" i="8"/>
  <c r="BB119" i="8"/>
  <c r="BB118" i="8"/>
  <c r="BB117" i="8"/>
  <c r="BB116" i="8"/>
  <c r="BB115" i="8"/>
  <c r="BB114" i="8"/>
  <c r="BB113" i="8"/>
  <c r="BB112" i="8"/>
  <c r="BB111" i="8"/>
  <c r="BB110" i="8"/>
  <c r="BB109" i="8"/>
  <c r="BB108" i="8"/>
  <c r="BB107" i="8"/>
  <c r="BB106" i="8"/>
  <c r="BB105" i="8"/>
  <c r="BB104" i="8"/>
  <c r="BB103" i="8"/>
  <c r="BB102" i="8"/>
  <c r="BB101" i="8"/>
  <c r="BB100" i="8"/>
  <c r="BB99" i="8"/>
  <c r="BB98" i="8"/>
  <c r="BB97" i="8"/>
  <c r="BB96" i="8"/>
  <c r="BB95" i="8"/>
  <c r="BB94" i="8"/>
  <c r="BB93" i="8"/>
  <c r="BB92" i="8"/>
  <c r="BB91" i="8"/>
  <c r="BB90" i="8"/>
  <c r="BB89" i="8"/>
  <c r="BB88" i="8"/>
  <c r="BB87" i="8"/>
  <c r="BB86" i="8"/>
  <c r="BB85" i="8"/>
  <c r="BB84" i="8"/>
  <c r="BB83" i="8"/>
  <c r="BB82" i="8"/>
  <c r="BB81" i="8"/>
  <c r="BB80" i="8"/>
  <c r="BB79" i="8"/>
  <c r="BB78" i="8"/>
  <c r="BB77" i="8"/>
  <c r="BB76" i="8"/>
  <c r="BB75" i="8"/>
  <c r="BB74" i="8"/>
  <c r="BB73" i="8"/>
  <c r="BB72" i="8"/>
  <c r="BB71" i="8"/>
  <c r="BB70" i="8"/>
  <c r="BB69" i="8"/>
  <c r="BB68" i="8"/>
  <c r="BB63" i="8"/>
  <c r="BB62" i="8"/>
  <c r="BB61" i="8"/>
  <c r="BB60" i="8"/>
  <c r="BB59" i="8"/>
  <c r="BB58" i="8"/>
  <c r="BB57" i="8"/>
  <c r="BB56" i="8"/>
  <c r="BB55" i="8"/>
  <c r="BB54" i="8"/>
  <c r="BB53" i="8"/>
  <c r="BB52" i="8"/>
  <c r="BB51" i="8"/>
  <c r="BB50" i="8"/>
  <c r="BB49" i="8"/>
  <c r="BB48" i="8"/>
  <c r="BB47" i="8"/>
  <c r="BB46" i="8"/>
  <c r="BB45" i="8"/>
  <c r="BB44" i="8"/>
  <c r="BB43" i="8"/>
  <c r="BB42" i="8"/>
  <c r="BB41" i="8"/>
  <c r="BB40" i="8"/>
  <c r="BB39" i="8"/>
  <c r="BB38" i="8"/>
  <c r="BB37" i="8"/>
  <c r="BB36" i="8"/>
  <c r="BB35" i="8"/>
  <c r="BB34" i="8"/>
  <c r="BB33" i="8"/>
  <c r="BB32" i="8"/>
  <c r="BB31" i="8"/>
  <c r="BB30" i="8"/>
  <c r="BB29" i="8"/>
  <c r="BB28" i="8"/>
  <c r="BB27" i="8"/>
  <c r="BB26" i="8"/>
  <c r="BB25" i="8"/>
  <c r="BB24" i="8"/>
  <c r="BB23" i="8"/>
  <c r="BB22" i="8"/>
  <c r="BB21" i="8"/>
  <c r="BB20" i="8"/>
  <c r="BB19" i="8"/>
  <c r="BB18" i="8"/>
  <c r="BB17" i="8"/>
  <c r="BB16" i="8"/>
  <c r="BB15" i="8"/>
  <c r="BB14" i="8"/>
  <c r="BB13" i="8"/>
  <c r="BB12" i="8"/>
  <c r="BB11" i="8"/>
  <c r="BB10" i="8"/>
  <c r="BB9" i="8"/>
  <c r="BB8" i="8"/>
  <c r="BB7" i="8"/>
  <c r="BB6" i="8"/>
  <c r="BB5" i="8"/>
  <c r="BB4" i="8"/>
  <c r="BB3" i="8"/>
  <c r="I9" i="6" l="1"/>
  <c r="J9" i="6" s="1"/>
  <c r="E5" i="6"/>
  <c r="G5" i="6" s="1"/>
  <c r="N5" i="6" s="1"/>
  <c r="Q4" i="7" s="1"/>
  <c r="R4" i="7" l="1"/>
  <c r="X4" i="7"/>
  <c r="K5" i="6"/>
  <c r="P56" i="7" l="1"/>
  <c r="O56" i="7"/>
  <c r="P55" i="7"/>
  <c r="O55" i="7"/>
  <c r="P54" i="7"/>
  <c r="O54" i="7"/>
  <c r="P53" i="7"/>
  <c r="O53" i="7"/>
  <c r="H56" i="7"/>
  <c r="G56" i="7"/>
  <c r="F56" i="7"/>
  <c r="E56" i="7"/>
  <c r="D56" i="7"/>
  <c r="H55" i="7"/>
  <c r="G55" i="7"/>
  <c r="F55" i="7"/>
  <c r="E55" i="7"/>
  <c r="D55" i="7"/>
  <c r="H54" i="7"/>
  <c r="G54" i="7"/>
  <c r="F54" i="7"/>
  <c r="E54" i="7"/>
  <c r="D54" i="7"/>
  <c r="H53" i="7"/>
  <c r="G53" i="7"/>
  <c r="F53" i="7"/>
  <c r="E53" i="7"/>
  <c r="D53" i="7"/>
  <c r="M4" i="7" l="1"/>
  <c r="M9" i="7"/>
  <c r="M10" i="7"/>
  <c r="M11" i="7"/>
  <c r="M12" i="7"/>
  <c r="M13" i="7"/>
  <c r="M14" i="7"/>
  <c r="M15" i="7"/>
  <c r="M16" i="7"/>
  <c r="M17" i="7"/>
  <c r="M18" i="7"/>
  <c r="M19" i="7"/>
  <c r="M20" i="7"/>
  <c r="M21" i="7"/>
  <c r="M22" i="7"/>
  <c r="M23" i="7"/>
  <c r="M24" i="7"/>
  <c r="M25" i="7"/>
  <c r="M26" i="7"/>
  <c r="M27" i="7"/>
  <c r="M32" i="7"/>
  <c r="M33" i="7"/>
  <c r="M34" i="7"/>
  <c r="M35" i="7"/>
  <c r="M36" i="7"/>
  <c r="M37" i="7"/>
  <c r="M38" i="7"/>
  <c r="M39" i="7"/>
  <c r="M40" i="7"/>
  <c r="M41" i="7"/>
  <c r="M42" i="7"/>
  <c r="M43" i="7"/>
  <c r="M44" i="7"/>
  <c r="M45" i="7"/>
  <c r="M46" i="7"/>
  <c r="M47" i="7"/>
  <c r="M48" i="7"/>
  <c r="M49" i="7"/>
  <c r="M50" i="7"/>
  <c r="M51" i="7"/>
  <c r="M5" i="7"/>
  <c r="M6" i="7"/>
  <c r="M7" i="7"/>
  <c r="M56" i="7" l="1"/>
  <c r="M54" i="7"/>
  <c r="AZ129" i="8"/>
  <c r="AY129" i="8"/>
  <c r="AX129" i="8"/>
  <c r="AW129" i="8"/>
  <c r="AV129" i="8"/>
  <c r="AU129" i="8"/>
  <c r="AT129" i="8"/>
  <c r="AS129" i="8"/>
  <c r="AR129" i="8"/>
  <c r="AQ129" i="8"/>
  <c r="AP129"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BA64" i="8"/>
  <c r="AZ64" i="8"/>
  <c r="AY64" i="8"/>
  <c r="AX64" i="8"/>
  <c r="AW64" i="8"/>
  <c r="AV64" i="8"/>
  <c r="AU64" i="8"/>
  <c r="AT64" i="8"/>
  <c r="AS64" i="8"/>
  <c r="AR64" i="8"/>
  <c r="AQ64" i="8"/>
  <c r="AP64"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P5" i="6" s="1" a="1"/>
  <c r="P5" i="6" l="1"/>
  <c r="P48" i="6"/>
  <c r="Q48" i="6" s="1"/>
  <c r="P8" i="6"/>
  <c r="Q8" i="6" s="1"/>
  <c r="P39" i="6"/>
  <c r="Q39" i="6" s="1"/>
  <c r="P23" i="6"/>
  <c r="Q23" i="6" s="1"/>
  <c r="P7" i="6"/>
  <c r="Q7" i="6" s="1"/>
  <c r="P50" i="6"/>
  <c r="Q50" i="6" s="1"/>
  <c r="P34" i="6"/>
  <c r="Q34" i="6" s="1"/>
  <c r="P18" i="6"/>
  <c r="Q18" i="6" s="1"/>
  <c r="P52" i="6"/>
  <c r="Q52" i="6" s="1"/>
  <c r="P49" i="6"/>
  <c r="Q49" i="6" s="1"/>
  <c r="P33" i="6"/>
  <c r="Q33" i="6" s="1"/>
  <c r="P17" i="6"/>
  <c r="Q17" i="6" s="1"/>
  <c r="P42" i="6"/>
  <c r="Q42" i="6" s="1"/>
  <c r="P10" i="6"/>
  <c r="Q10" i="6" s="1"/>
  <c r="P41" i="6"/>
  <c r="Q41" i="6" s="1"/>
  <c r="P9" i="6"/>
  <c r="Q9" i="6" s="1"/>
  <c r="P27" i="6"/>
  <c r="Q27" i="6" s="1"/>
  <c r="P12" i="6"/>
  <c r="Q12" i="6" s="1"/>
  <c r="P22" i="6"/>
  <c r="Q22" i="6" s="1"/>
  <c r="P16" i="6"/>
  <c r="P21" i="6"/>
  <c r="Q21" i="6" s="1"/>
  <c r="P36" i="6"/>
  <c r="Q36" i="6" s="1"/>
  <c r="P51" i="6"/>
  <c r="Q51" i="6" s="1"/>
  <c r="P35" i="6"/>
  <c r="Q35" i="6" s="1"/>
  <c r="P19" i="6"/>
  <c r="Q19" i="6" s="1"/>
  <c r="P44" i="6"/>
  <c r="Q44" i="6" s="1"/>
  <c r="P46" i="6"/>
  <c r="Q46" i="6" s="1"/>
  <c r="P30" i="6"/>
  <c r="Q30" i="6" s="1"/>
  <c r="P14" i="6"/>
  <c r="Q14" i="6" s="1"/>
  <c r="P40" i="6"/>
  <c r="Q40" i="6" s="1"/>
  <c r="P45" i="6"/>
  <c r="Q45" i="6" s="1"/>
  <c r="P29" i="6"/>
  <c r="Q29" i="6" s="1"/>
  <c r="P13" i="6"/>
  <c r="Q13" i="6" s="1"/>
  <c r="P24" i="6"/>
  <c r="Q24" i="6" s="1"/>
  <c r="P47" i="6"/>
  <c r="Q47" i="6" s="1"/>
  <c r="P31" i="6"/>
  <c r="Q31" i="6" s="1"/>
  <c r="P15" i="6"/>
  <c r="P32" i="6"/>
  <c r="Q32" i="6" s="1"/>
  <c r="P26" i="6"/>
  <c r="Q26" i="6" s="1"/>
  <c r="P28" i="6"/>
  <c r="Q28" i="6" s="1"/>
  <c r="P25" i="6"/>
  <c r="Q25" i="6" s="1"/>
  <c r="P20" i="6"/>
  <c r="Q20" i="6" s="1"/>
  <c r="P43" i="6"/>
  <c r="Q43" i="6" s="1"/>
  <c r="P11" i="6"/>
  <c r="Q11" i="6" s="1"/>
  <c r="P38" i="6"/>
  <c r="Q38" i="6" s="1"/>
  <c r="P6" i="6"/>
  <c r="Q6" i="6" s="1"/>
  <c r="P37" i="6"/>
  <c r="Q37" i="6" s="1"/>
  <c r="L4" i="7" a="1"/>
  <c r="K4" i="7" a="1"/>
  <c r="BB129" i="8"/>
  <c r="BB64" i="8"/>
  <c r="K4" i="7" l="1"/>
  <c r="K43" i="7"/>
  <c r="K11" i="7"/>
  <c r="K47" i="7"/>
  <c r="K15" i="7"/>
  <c r="K34" i="7"/>
  <c r="K18" i="7"/>
  <c r="K49" i="7"/>
  <c r="K29" i="7"/>
  <c r="K13" i="7"/>
  <c r="K44" i="7"/>
  <c r="K28" i="7"/>
  <c r="K12" i="7"/>
  <c r="K46" i="7"/>
  <c r="K31" i="7"/>
  <c r="K26" i="7"/>
  <c r="K21" i="7"/>
  <c r="K36" i="7"/>
  <c r="K41" i="7"/>
  <c r="K23" i="7"/>
  <c r="K6" i="7"/>
  <c r="K48" i="7"/>
  <c r="K16" i="7"/>
  <c r="K35" i="7"/>
  <c r="K7" i="7"/>
  <c r="K39" i="7"/>
  <c r="K50" i="7"/>
  <c r="K30" i="7"/>
  <c r="K14" i="7"/>
  <c r="K45" i="7"/>
  <c r="K25" i="7"/>
  <c r="K9" i="7"/>
  <c r="K40" i="7"/>
  <c r="K24" i="7"/>
  <c r="K8" i="7"/>
  <c r="K37" i="7"/>
  <c r="K51" i="7"/>
  <c r="K38" i="7"/>
  <c r="K33" i="7"/>
  <c r="K32" i="7"/>
  <c r="K27" i="7"/>
  <c r="K42" i="7"/>
  <c r="K10" i="7"/>
  <c r="K5" i="7"/>
  <c r="K20" i="7"/>
  <c r="K19" i="7"/>
  <c r="K22" i="7"/>
  <c r="K17" i="7"/>
  <c r="L4" i="7"/>
  <c r="L47" i="7"/>
  <c r="L15" i="7"/>
  <c r="L30" i="7"/>
  <c r="L29" i="7"/>
  <c r="L5" i="7"/>
  <c r="L27" i="7"/>
  <c r="L42" i="7"/>
  <c r="L14" i="7"/>
  <c r="L41" i="7"/>
  <c r="L48" i="7"/>
  <c r="L32" i="7"/>
  <c r="L16" i="7"/>
  <c r="L49" i="7"/>
  <c r="L6" i="7"/>
  <c r="L24" i="7"/>
  <c r="L35" i="7"/>
  <c r="L45" i="7"/>
  <c r="L20" i="7"/>
  <c r="L39" i="7"/>
  <c r="L7" i="7"/>
  <c r="L18" i="7"/>
  <c r="L21" i="7"/>
  <c r="L51" i="7"/>
  <c r="L19" i="7"/>
  <c r="L34" i="7"/>
  <c r="L10" i="7"/>
  <c r="L33" i="7"/>
  <c r="L44" i="7"/>
  <c r="L28" i="7"/>
  <c r="L12" i="7"/>
  <c r="L46" i="7"/>
  <c r="L43" i="7"/>
  <c r="L26" i="7"/>
  <c r="L40" i="7"/>
  <c r="L23" i="7"/>
  <c r="L37" i="7"/>
  <c r="L9" i="7"/>
  <c r="L22" i="7"/>
  <c r="L17" i="7"/>
  <c r="L31" i="7"/>
  <c r="L13" i="7"/>
  <c r="L11" i="7"/>
  <c r="L25" i="7"/>
  <c r="L8" i="7"/>
  <c r="L38" i="7"/>
  <c r="L50" i="7"/>
  <c r="L36" i="7"/>
  <c r="L56" i="7" l="1"/>
  <c r="K54" i="7"/>
  <c r="L55" i="7"/>
  <c r="K55" i="7"/>
  <c r="L54" i="7"/>
  <c r="L53" i="7"/>
  <c r="K56" i="7"/>
  <c r="K53" i="7"/>
  <c r="I34" i="7" l="1"/>
  <c r="I37" i="7"/>
  <c r="I4" i="7"/>
  <c r="I16" i="7"/>
  <c r="I21" i="7"/>
  <c r="I28" i="7"/>
  <c r="I31" i="7"/>
  <c r="I40" i="7"/>
  <c r="I43" i="7"/>
  <c r="I7" i="7" l="1"/>
  <c r="I38" i="7"/>
  <c r="I9" i="7"/>
  <c r="I36" i="7"/>
  <c r="I35" i="7"/>
  <c r="I42" i="7"/>
  <c r="I50" i="7"/>
  <c r="I22" i="7"/>
  <c r="I39" i="7"/>
  <c r="I17" i="7"/>
  <c r="I46" i="7"/>
  <c r="I32" i="7"/>
  <c r="I18" i="7"/>
  <c r="I26" i="7"/>
  <c r="I5" i="7"/>
  <c r="I27" i="7"/>
  <c r="I20" i="7"/>
  <c r="I47" i="7"/>
  <c r="I8" i="7"/>
  <c r="I44" i="7"/>
  <c r="I41" i="7"/>
  <c r="I51" i="7"/>
  <c r="I30" i="7"/>
  <c r="I33" i="7"/>
  <c r="I10" i="7"/>
  <c r="I11" i="7"/>
  <c r="I12" i="7"/>
  <c r="I13" i="7"/>
  <c r="I6" i="7"/>
  <c r="I14" i="7"/>
  <c r="I15" i="7"/>
  <c r="I19" i="7"/>
  <c r="I24" i="7"/>
  <c r="I23" i="7"/>
  <c r="I25" i="7"/>
  <c r="I29" i="7"/>
  <c r="I49" i="7"/>
  <c r="I48" i="7"/>
  <c r="I45" i="7"/>
  <c r="I53" i="7" l="1"/>
  <c r="I56" i="7"/>
  <c r="I55" i="7"/>
  <c r="I54" i="7"/>
  <c r="M8" i="7" l="1"/>
  <c r="M53" i="7" s="1"/>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4" i="7"/>
  <c r="E52" i="6" l="1"/>
  <c r="G52" i="6" s="1"/>
  <c r="E51" i="6"/>
  <c r="G51" i="6" s="1"/>
  <c r="E50" i="6"/>
  <c r="G50" i="6" s="1"/>
  <c r="E49" i="6"/>
  <c r="G49" i="6" s="1"/>
  <c r="E48" i="6"/>
  <c r="G48" i="6" s="1"/>
  <c r="E47" i="6"/>
  <c r="G47" i="6" s="1"/>
  <c r="E46" i="6"/>
  <c r="G46" i="6" s="1"/>
  <c r="E45" i="6"/>
  <c r="G45" i="6" s="1"/>
  <c r="E44" i="6"/>
  <c r="G44" i="6" s="1"/>
  <c r="E43" i="6"/>
  <c r="G43" i="6" s="1"/>
  <c r="E42" i="6"/>
  <c r="G42" i="6" s="1"/>
  <c r="E41" i="6"/>
  <c r="G41" i="6" s="1"/>
  <c r="E40" i="6"/>
  <c r="G40" i="6" s="1"/>
  <c r="E39" i="6"/>
  <c r="G39" i="6" s="1"/>
  <c r="E38" i="6"/>
  <c r="G38" i="6" s="1"/>
  <c r="K38" i="6"/>
  <c r="E37" i="6"/>
  <c r="G37" i="6" s="1"/>
  <c r="K37" i="6" s="1"/>
  <c r="E36" i="6"/>
  <c r="G36" i="6" s="1"/>
  <c r="K36" i="6"/>
  <c r="E35" i="6"/>
  <c r="G35" i="6" s="1"/>
  <c r="K35" i="6" s="1"/>
  <c r="E34" i="6"/>
  <c r="G34" i="6" s="1"/>
  <c r="E33" i="6"/>
  <c r="G33" i="6" s="1"/>
  <c r="E32" i="6"/>
  <c r="G32" i="6" s="1"/>
  <c r="I32" i="6"/>
  <c r="E31" i="6"/>
  <c r="G31" i="6" s="1"/>
  <c r="I31" i="6"/>
  <c r="E30" i="6"/>
  <c r="G30" i="6" s="1"/>
  <c r="I30" i="6"/>
  <c r="E29" i="6"/>
  <c r="G29" i="6" s="1"/>
  <c r="I29" i="6"/>
  <c r="E28" i="6"/>
  <c r="G28" i="6" s="1"/>
  <c r="E27" i="6"/>
  <c r="G27" i="6" s="1"/>
  <c r="E26" i="6"/>
  <c r="G26" i="6" s="1"/>
  <c r="E25" i="6"/>
  <c r="G25" i="6" s="1"/>
  <c r="E24" i="6"/>
  <c r="G24" i="6" s="1"/>
  <c r="E23" i="6"/>
  <c r="G23" i="6" s="1"/>
  <c r="E22" i="6"/>
  <c r="G22" i="6" s="1"/>
  <c r="E21" i="6"/>
  <c r="G21" i="6" s="1"/>
  <c r="E20" i="6"/>
  <c r="G20" i="6" s="1"/>
  <c r="E19" i="6"/>
  <c r="G19" i="6" s="1"/>
  <c r="E18" i="6"/>
  <c r="G18" i="6" s="1"/>
  <c r="E17" i="6"/>
  <c r="G17" i="6" s="1"/>
  <c r="E15" i="6"/>
  <c r="E14" i="6"/>
  <c r="G14" i="6" s="1"/>
  <c r="E13" i="6"/>
  <c r="G13" i="6" s="1"/>
  <c r="E12" i="6"/>
  <c r="G12" i="6" s="1"/>
  <c r="E11" i="6"/>
  <c r="G11" i="6" s="1"/>
  <c r="E10" i="6"/>
  <c r="G10" i="6" s="1"/>
  <c r="E9" i="6"/>
  <c r="G9" i="6" s="1"/>
  <c r="E8" i="6"/>
  <c r="G8" i="6" s="1"/>
  <c r="E7" i="6"/>
  <c r="G7" i="6" s="1"/>
  <c r="E6" i="6"/>
  <c r="G6" i="6" s="1"/>
  <c r="N6" i="6" s="1"/>
  <c r="Q5" i="7" s="1"/>
  <c r="X5" i="7" s="1"/>
  <c r="N38" i="6" l="1"/>
  <c r="R5" i="7"/>
  <c r="K17" i="6"/>
  <c r="K41" i="6"/>
  <c r="N42" i="6" s="1"/>
  <c r="K14" i="6"/>
  <c r="N15" i="6" s="1"/>
  <c r="Q14" i="7" s="1"/>
  <c r="X14" i="7" s="1"/>
  <c r="N36" i="6"/>
  <c r="K42" i="6"/>
  <c r="K46" i="6"/>
  <c r="N47" i="6" s="1"/>
  <c r="K50" i="6"/>
  <c r="K9" i="6"/>
  <c r="K21" i="6"/>
  <c r="N22" i="6" s="1"/>
  <c r="K33" i="6"/>
  <c r="K49" i="6"/>
  <c r="N50" i="6" s="1"/>
  <c r="K10" i="6"/>
  <c r="N11" i="6" s="1"/>
  <c r="Q10" i="7" s="1"/>
  <c r="X10" i="7" s="1"/>
  <c r="N10" i="6"/>
  <c r="Q9" i="7" s="1"/>
  <c r="X9" i="7" s="1"/>
  <c r="K22" i="6"/>
  <c r="K7" i="6"/>
  <c r="N8" i="6" s="1"/>
  <c r="Q7" i="7" s="1"/>
  <c r="K11" i="6"/>
  <c r="N12" i="6" s="1"/>
  <c r="Q11" i="7" s="1"/>
  <c r="X11" i="7" s="1"/>
  <c r="K19" i="6"/>
  <c r="N20" i="6" s="1"/>
  <c r="K23" i="6"/>
  <c r="N24" i="6" s="1"/>
  <c r="N23" i="6"/>
  <c r="K27" i="6"/>
  <c r="K39" i="6"/>
  <c r="N40" i="6" s="1"/>
  <c r="N39" i="6"/>
  <c r="K43" i="6"/>
  <c r="N43" i="6"/>
  <c r="K47" i="6"/>
  <c r="N48" i="6" s="1"/>
  <c r="K51" i="6"/>
  <c r="N51" i="6"/>
  <c r="K13" i="6"/>
  <c r="N14" i="6" s="1"/>
  <c r="Q13" i="7" s="1"/>
  <c r="X13" i="7" s="1"/>
  <c r="K25" i="6"/>
  <c r="N26" i="6" s="1"/>
  <c r="K45" i="6"/>
  <c r="N46" i="6" s="1"/>
  <c r="K18" i="6"/>
  <c r="N19" i="6" s="1"/>
  <c r="N18" i="6"/>
  <c r="K26" i="6"/>
  <c r="N27" i="6" s="1"/>
  <c r="K34" i="6"/>
  <c r="N34" i="6"/>
  <c r="K8" i="6"/>
  <c r="N9" i="6" s="1"/>
  <c r="Q8" i="7" s="1"/>
  <c r="X8" i="7" s="1"/>
  <c r="K12" i="6"/>
  <c r="N13" i="6" s="1"/>
  <c r="Q12" i="7" s="1"/>
  <c r="X12" i="7" s="1"/>
  <c r="K16" i="6"/>
  <c r="N17" i="6" s="1"/>
  <c r="K20" i="6"/>
  <c r="N21" i="6" s="1"/>
  <c r="K24" i="6"/>
  <c r="N25" i="6" s="1"/>
  <c r="K28" i="6"/>
  <c r="N29" i="6" s="1"/>
  <c r="N28" i="6"/>
  <c r="N35" i="6"/>
  <c r="N37" i="6"/>
  <c r="K40" i="6"/>
  <c r="N41" i="6" s="1"/>
  <c r="K44" i="6"/>
  <c r="N45" i="6" s="1"/>
  <c r="N44" i="6"/>
  <c r="K48" i="6"/>
  <c r="N49" i="6" s="1"/>
  <c r="K52" i="6"/>
  <c r="N52" i="6"/>
  <c r="K6" i="6"/>
  <c r="N7" i="6" s="1"/>
  <c r="Q6" i="7" s="1"/>
  <c r="X6" i="7" s="1"/>
  <c r="J29" i="6"/>
  <c r="J31" i="6"/>
  <c r="J30" i="6"/>
  <c r="J32" i="6"/>
  <c r="T7" i="7"/>
  <c r="T11" i="7"/>
  <c r="T13" i="7"/>
  <c r="T17" i="7"/>
  <c r="T21" i="7"/>
  <c r="T23" i="7"/>
  <c r="T27" i="7"/>
  <c r="T31" i="7"/>
  <c r="T37" i="7"/>
  <c r="T8" i="7"/>
  <c r="T44" i="7"/>
  <c r="T46" i="7"/>
  <c r="T48" i="7"/>
  <c r="T50" i="7"/>
  <c r="T15" i="7"/>
  <c r="T19" i="7"/>
  <c r="T25" i="7"/>
  <c r="T29" i="7"/>
  <c r="T33" i="7"/>
  <c r="T35" i="7"/>
  <c r="T39" i="7"/>
  <c r="T41" i="7"/>
  <c r="T43" i="7"/>
  <c r="T51" i="7"/>
  <c r="M28" i="7"/>
  <c r="M30" i="7"/>
  <c r="M29" i="7"/>
  <c r="M31" i="7"/>
  <c r="Q15" i="7" l="1"/>
  <c r="U21" i="7"/>
  <c r="V21" i="7" s="1"/>
  <c r="AA21" i="7"/>
  <c r="U37" i="7"/>
  <c r="V37" i="7" s="1"/>
  <c r="AA37" i="7"/>
  <c r="U51" i="7"/>
  <c r="V51" i="7" s="1"/>
  <c r="AA51" i="7"/>
  <c r="U35" i="7"/>
  <c r="V35" i="7" s="1"/>
  <c r="AA35" i="7"/>
  <c r="U19" i="7"/>
  <c r="V19" i="7" s="1"/>
  <c r="AA19" i="7"/>
  <c r="U46" i="7"/>
  <c r="V46" i="7" s="1"/>
  <c r="AA46" i="7"/>
  <c r="U31" i="7"/>
  <c r="V31" i="7" s="1"/>
  <c r="AA31" i="7"/>
  <c r="U17" i="7"/>
  <c r="V17" i="7" s="1"/>
  <c r="AA17" i="7"/>
  <c r="U39" i="7"/>
  <c r="V39" i="7" s="1"/>
  <c r="AA39" i="7"/>
  <c r="U43" i="7"/>
  <c r="V43" i="7" s="1"/>
  <c r="AA43" i="7"/>
  <c r="U33" i="7"/>
  <c r="V33" i="7" s="1"/>
  <c r="AA33" i="7"/>
  <c r="U15" i="7"/>
  <c r="V15" i="7" s="1"/>
  <c r="U44" i="7"/>
  <c r="V44" i="7" s="1"/>
  <c r="AA44" i="7"/>
  <c r="U27" i="7"/>
  <c r="V27" i="7" s="1"/>
  <c r="AA27" i="7"/>
  <c r="U13" i="7"/>
  <c r="V13" i="7" s="1"/>
  <c r="AA13" i="7"/>
  <c r="U25" i="7"/>
  <c r="V25" i="7" s="1"/>
  <c r="AA25" i="7"/>
  <c r="U48" i="7"/>
  <c r="V48" i="7" s="1"/>
  <c r="AA48" i="7"/>
  <c r="U7" i="7"/>
  <c r="V7" i="7" s="1"/>
  <c r="AA7" i="7"/>
  <c r="U41" i="7"/>
  <c r="V41" i="7" s="1"/>
  <c r="AA41" i="7"/>
  <c r="U29" i="7"/>
  <c r="V29" i="7" s="1"/>
  <c r="AA29" i="7"/>
  <c r="U50" i="7"/>
  <c r="V50" i="7" s="1"/>
  <c r="AA50" i="7"/>
  <c r="U8" i="7"/>
  <c r="V8" i="7" s="1"/>
  <c r="AA8" i="7"/>
  <c r="U23" i="7"/>
  <c r="V23" i="7" s="1"/>
  <c r="AA23" i="7"/>
  <c r="U11" i="7"/>
  <c r="V11" i="7" s="1"/>
  <c r="AA11" i="7"/>
  <c r="K32" i="6"/>
  <c r="K30" i="6"/>
  <c r="K29" i="6"/>
  <c r="K31" i="6"/>
  <c r="Q38" i="7"/>
  <c r="X38" i="7" s="1"/>
  <c r="Q43" i="7"/>
  <c r="X43" i="7" s="1"/>
  <c r="Q44" i="7"/>
  <c r="X44" i="7" s="1"/>
  <c r="Q49" i="7"/>
  <c r="X49" i="7" s="1"/>
  <c r="Q41" i="7"/>
  <c r="X41" i="7" s="1"/>
  <c r="Q51" i="7"/>
  <c r="X51" i="7" s="1"/>
  <c r="Q25" i="7"/>
  <c r="X25" i="7" s="1"/>
  <c r="Q17" i="7"/>
  <c r="X17" i="7" s="1"/>
  <c r="Q22" i="7"/>
  <c r="X22" i="7" s="1"/>
  <c r="Q16" i="7"/>
  <c r="X16" i="7" s="1"/>
  <c r="Q21" i="7"/>
  <c r="X21" i="7" s="1"/>
  <c r="Q34" i="7"/>
  <c r="X34" i="7" s="1"/>
  <c r="Q47" i="7"/>
  <c r="X47" i="7" s="1"/>
  <c r="Q39" i="7"/>
  <c r="X39" i="7" s="1"/>
  <c r="Q28" i="7"/>
  <c r="X28" i="7" s="1"/>
  <c r="Q50" i="7"/>
  <c r="X50" i="7" s="1"/>
  <c r="Q46" i="7"/>
  <c r="X46" i="7" s="1"/>
  <c r="Q42" i="7"/>
  <c r="X42" i="7" s="1"/>
  <c r="Q24" i="7"/>
  <c r="X24" i="7" s="1"/>
  <c r="Q27" i="7"/>
  <c r="X27" i="7" s="1"/>
  <c r="Q19" i="7"/>
  <c r="X19" i="7" s="1"/>
  <c r="Q48" i="7"/>
  <c r="X48" i="7" s="1"/>
  <c r="Q40" i="7"/>
  <c r="X40" i="7" s="1"/>
  <c r="X56" i="7" s="1"/>
  <c r="Q45" i="7"/>
  <c r="X45" i="7" s="1"/>
  <c r="Q37" i="7"/>
  <c r="X37" i="7" s="1"/>
  <c r="Q18" i="7"/>
  <c r="X18" i="7" s="1"/>
  <c r="Q35" i="7"/>
  <c r="X35" i="7" s="1"/>
  <c r="Q23" i="7"/>
  <c r="X23" i="7" s="1"/>
  <c r="Q26" i="7"/>
  <c r="X26" i="7" s="1"/>
  <c r="Q20" i="7"/>
  <c r="X20" i="7" s="1"/>
  <c r="T36" i="7"/>
  <c r="T22" i="7"/>
  <c r="T42" i="7"/>
  <c r="T20" i="7"/>
  <c r="T12" i="7"/>
  <c r="T4" i="7"/>
  <c r="Q33" i="7"/>
  <c r="X33" i="7" s="1"/>
  <c r="T49" i="7"/>
  <c r="T40" i="7"/>
  <c r="AA40" i="7" s="1"/>
  <c r="T34" i="7"/>
  <c r="T26" i="7"/>
  <c r="T18" i="7"/>
  <c r="T10" i="7"/>
  <c r="T9" i="7"/>
  <c r="T45" i="7"/>
  <c r="T30" i="7"/>
  <c r="T14" i="7"/>
  <c r="T28" i="7"/>
  <c r="AA28" i="7" s="1"/>
  <c r="T47" i="7"/>
  <c r="T38" i="7"/>
  <c r="T32" i="7"/>
  <c r="T24" i="7"/>
  <c r="T16" i="7"/>
  <c r="AA16" i="7" s="1"/>
  <c r="T6" i="7"/>
  <c r="T5" i="7"/>
  <c r="AA5" i="7" s="1"/>
  <c r="M55" i="7"/>
  <c r="R6" i="7"/>
  <c r="R7" i="7"/>
  <c r="R14" i="7"/>
  <c r="R10" i="7"/>
  <c r="R11" i="7"/>
  <c r="R13" i="7"/>
  <c r="Q36" i="7"/>
  <c r="X36" i="7" s="1"/>
  <c r="R8" i="7"/>
  <c r="R12" i="7"/>
  <c r="R9" i="7"/>
  <c r="X53" i="7" l="1"/>
  <c r="C5" i="9" s="1"/>
  <c r="Q53" i="7"/>
  <c r="R53" i="7"/>
  <c r="B24" i="9" s="1"/>
  <c r="U47" i="7"/>
  <c r="V47" i="7" s="1"/>
  <c r="AA47" i="7"/>
  <c r="U45" i="7"/>
  <c r="V45" i="7" s="1"/>
  <c r="AA45" i="7"/>
  <c r="U26" i="7"/>
  <c r="V26" i="7" s="1"/>
  <c r="AA26" i="7"/>
  <c r="U42" i="7"/>
  <c r="V42" i="7" s="1"/>
  <c r="AA42" i="7"/>
  <c r="U24" i="7"/>
  <c r="V24" i="7" s="1"/>
  <c r="AA24" i="7"/>
  <c r="U9" i="7"/>
  <c r="V9" i="7" s="1"/>
  <c r="AA9" i="7"/>
  <c r="U34" i="7"/>
  <c r="V34" i="7" s="1"/>
  <c r="AA34" i="7"/>
  <c r="AA4" i="7"/>
  <c r="U4" i="7"/>
  <c r="V4" i="7" s="1"/>
  <c r="U22" i="7"/>
  <c r="V22" i="7" s="1"/>
  <c r="AA22" i="7"/>
  <c r="U14" i="7"/>
  <c r="V14" i="7" s="1"/>
  <c r="AA14" i="7"/>
  <c r="U10" i="7"/>
  <c r="V10" i="7" s="1"/>
  <c r="AA10" i="7"/>
  <c r="U12" i="7"/>
  <c r="V12" i="7" s="1"/>
  <c r="AA12" i="7"/>
  <c r="U36" i="7"/>
  <c r="V36" i="7" s="1"/>
  <c r="AA36" i="7"/>
  <c r="C8" i="9"/>
  <c r="U32" i="7"/>
  <c r="V32" i="7" s="1"/>
  <c r="AA32" i="7"/>
  <c r="U6" i="7"/>
  <c r="V6" i="7" s="1"/>
  <c r="AA6" i="7"/>
  <c r="U38" i="7"/>
  <c r="V38" i="7" s="1"/>
  <c r="AA38" i="7"/>
  <c r="U30" i="7"/>
  <c r="V30" i="7" s="1"/>
  <c r="AA30" i="7"/>
  <c r="AA55" i="7" s="1"/>
  <c r="U18" i="7"/>
  <c r="V18" i="7" s="1"/>
  <c r="AA18" i="7"/>
  <c r="AA54" i="7" s="1"/>
  <c r="U49" i="7"/>
  <c r="V49" i="7" s="1"/>
  <c r="AA49" i="7"/>
  <c r="AA56" i="7" s="1"/>
  <c r="U20" i="7"/>
  <c r="V20" i="7" s="1"/>
  <c r="AA20" i="7"/>
  <c r="X54" i="7"/>
  <c r="B6" i="9"/>
  <c r="D5" i="9"/>
  <c r="J5" i="9" s="1"/>
  <c r="N32" i="6"/>
  <c r="Q31" i="7" s="1"/>
  <c r="N30" i="6"/>
  <c r="Q29" i="7" s="1"/>
  <c r="X29" i="7" s="1"/>
  <c r="N31" i="6"/>
  <c r="Q30" i="7" s="1"/>
  <c r="N33" i="6"/>
  <c r="Q32" i="7" s="1"/>
  <c r="R36" i="7"/>
  <c r="R28" i="7"/>
  <c r="R48" i="7"/>
  <c r="R44" i="7"/>
  <c r="R20" i="7"/>
  <c r="R35" i="7"/>
  <c r="R37" i="7"/>
  <c r="R19" i="7"/>
  <c r="R46" i="7"/>
  <c r="R47" i="7"/>
  <c r="R22" i="7"/>
  <c r="R43" i="7"/>
  <c r="R23" i="7"/>
  <c r="R40" i="7"/>
  <c r="R24" i="7"/>
  <c r="R21" i="7"/>
  <c r="R25" i="7"/>
  <c r="R49" i="7"/>
  <c r="R18" i="7"/>
  <c r="R42" i="7"/>
  <c r="R39" i="7"/>
  <c r="R51" i="7"/>
  <c r="R33" i="7"/>
  <c r="R26" i="7"/>
  <c r="R45" i="7"/>
  <c r="R27" i="7"/>
  <c r="R50" i="7"/>
  <c r="R34" i="7"/>
  <c r="R17" i="7"/>
  <c r="R41" i="7"/>
  <c r="R38" i="7"/>
  <c r="Q54" i="7"/>
  <c r="R16" i="7"/>
  <c r="Q56" i="7"/>
  <c r="T56" i="7"/>
  <c r="U40" i="7"/>
  <c r="T54" i="7"/>
  <c r="U16" i="7"/>
  <c r="T55" i="7"/>
  <c r="U28" i="7"/>
  <c r="T53" i="7"/>
  <c r="U5" i="7"/>
  <c r="C17" i="9" l="1"/>
  <c r="C16" i="9"/>
  <c r="B17" i="9" s="1"/>
  <c r="D17" i="9" s="1"/>
  <c r="C15" i="9"/>
  <c r="B16" i="9" s="1"/>
  <c r="R32" i="7"/>
  <c r="X32" i="7"/>
  <c r="E24" i="9"/>
  <c r="I7" i="9"/>
  <c r="R30" i="7"/>
  <c r="X30" i="7"/>
  <c r="C6" i="9"/>
  <c r="B7" i="9" s="1"/>
  <c r="AA53" i="7"/>
  <c r="R31" i="7"/>
  <c r="X31" i="7"/>
  <c r="X55" i="7" s="1"/>
  <c r="R56" i="7"/>
  <c r="B27" i="9" s="1"/>
  <c r="R29" i="7"/>
  <c r="Q55" i="7"/>
  <c r="R54" i="7"/>
  <c r="U56" i="7"/>
  <c r="C27" i="9" s="1"/>
  <c r="D27" i="9" s="1"/>
  <c r="V40" i="7"/>
  <c r="V56" i="7" s="1"/>
  <c r="U55" i="7"/>
  <c r="C26" i="9" s="1"/>
  <c r="V28" i="7"/>
  <c r="V55" i="7" s="1"/>
  <c r="U54" i="7"/>
  <c r="C25" i="9" s="1"/>
  <c r="V16" i="7"/>
  <c r="V54" i="7" s="1"/>
  <c r="U53" i="7"/>
  <c r="C24" i="9" s="1"/>
  <c r="V5" i="7"/>
  <c r="V53" i="7" s="1"/>
  <c r="B61" i="7"/>
  <c r="D6" i="9" l="1"/>
  <c r="J6" i="9" s="1"/>
  <c r="C7" i="9"/>
  <c r="B8" i="9" s="1"/>
  <c r="D8" i="9" s="1"/>
  <c r="C14" i="9"/>
  <c r="B62" i="7"/>
  <c r="B25" i="9"/>
  <c r="I8" i="9"/>
  <c r="E25" i="9"/>
  <c r="C29" i="9"/>
  <c r="D24" i="9"/>
  <c r="R55" i="7"/>
  <c r="B26" i="9" s="1"/>
  <c r="D26" i="9" s="1"/>
  <c r="D7" i="9"/>
  <c r="J7" i="9" s="1"/>
  <c r="E26" i="9" s="1"/>
  <c r="D16" i="9"/>
  <c r="C62" i="7"/>
  <c r="D62" i="7" s="1"/>
  <c r="B63" i="7"/>
  <c r="C61" i="7"/>
  <c r="B29" i="9" l="1"/>
  <c r="B15" i="9"/>
  <c r="D15" i="9" s="1"/>
  <c r="J15" i="9" s="1"/>
  <c r="D14" i="9"/>
  <c r="J14" i="9" s="1"/>
  <c r="D25" i="9"/>
  <c r="D29" i="9" s="1"/>
  <c r="J8" i="9"/>
  <c r="E27" i="9" s="1"/>
  <c r="E29" i="9" s="1"/>
  <c r="C63" i="7"/>
  <c r="D61" i="7"/>
  <c r="D63" i="7" s="1"/>
  <c r="I17" i="9" l="1"/>
  <c r="J17" i="9" s="1"/>
  <c r="F27" i="9" s="1"/>
  <c r="G27" i="9" s="1"/>
  <c r="F25" i="9"/>
  <c r="G25" i="9" s="1"/>
  <c r="H26" i="9" s="1"/>
  <c r="I16" i="9"/>
  <c r="J16" i="9" s="1"/>
  <c r="F26" i="9" s="1"/>
  <c r="G26" i="9" s="1"/>
  <c r="F24" i="9"/>
  <c r="F29" i="9" l="1"/>
  <c r="G24" i="9"/>
  <c r="H27" i="9"/>
  <c r="I27" i="9" s="1"/>
  <c r="J27" i="9" s="1"/>
  <c r="I26" i="9"/>
  <c r="J26" i="9" s="1"/>
  <c r="H28" i="9"/>
  <c r="I28" i="9" s="1"/>
  <c r="J28" i="9" s="1"/>
  <c r="I24" i="9" l="1"/>
  <c r="G29" i="9"/>
  <c r="H25" i="9"/>
  <c r="I25" i="9" l="1"/>
  <c r="J25" i="9" s="1"/>
  <c r="H29" i="9"/>
  <c r="I29" i="9"/>
  <c r="J24" i="9"/>
  <c r="J29" i="9" s="1"/>
  <c r="BG8" i="13" l="1"/>
  <c r="N90" i="13"/>
  <c r="B90" i="13"/>
  <c r="M20" i="13" l="1"/>
  <c r="M25" i="13" s="1"/>
  <c r="M26" i="13" s="1"/>
  <c r="M90" i="13"/>
  <c r="V20" i="13"/>
  <c r="V25" i="13" s="1"/>
  <c r="V26" i="13" s="1"/>
  <c r="V90" i="13"/>
  <c r="K20" i="13"/>
  <c r="K25" i="13" s="1"/>
  <c r="K26" i="13" s="1"/>
  <c r="K90" i="13"/>
  <c r="Y20" i="13"/>
  <c r="Y25" i="13" s="1"/>
  <c r="Y26" i="13" s="1"/>
  <c r="Y90" i="13"/>
  <c r="Q20" i="13"/>
  <c r="Q25" i="13" s="1"/>
  <c r="Q26" i="13" s="1"/>
  <c r="Q90" i="13"/>
  <c r="L20" i="13"/>
  <c r="L25" i="13" s="1"/>
  <c r="L26" i="13" s="1"/>
  <c r="L90" i="13"/>
  <c r="F20" i="13"/>
  <c r="F25" i="13" s="1"/>
  <c r="F26" i="13" s="1"/>
  <c r="F90" i="13"/>
  <c r="P20" i="13"/>
  <c r="P25" i="13" s="1"/>
  <c r="P26" i="13" s="1"/>
  <c r="P90" i="13"/>
  <c r="I20" i="13"/>
  <c r="I25" i="13" s="1"/>
  <c r="I26" i="13" s="1"/>
  <c r="I90" i="13"/>
  <c r="Z20" i="13"/>
  <c r="Z25" i="13" s="1"/>
  <c r="Z26" i="13" s="1"/>
  <c r="Z90" i="13"/>
  <c r="H20" i="13"/>
  <c r="H25" i="13" s="1"/>
  <c r="H26" i="13" s="1"/>
  <c r="H90" i="13"/>
  <c r="R20" i="13"/>
  <c r="R25" i="13" s="1"/>
  <c r="R26" i="13" s="1"/>
  <c r="R90" i="13"/>
  <c r="T20" i="13"/>
  <c r="T25" i="13" s="1"/>
  <c r="T26" i="13" s="1"/>
  <c r="T90" i="13"/>
  <c r="S20" i="13"/>
  <c r="S25" i="13" s="1"/>
  <c r="S26" i="13" s="1"/>
  <c r="S90" i="13"/>
  <c r="D20" i="13"/>
  <c r="D25" i="13" s="1"/>
  <c r="D26" i="13" s="1"/>
  <c r="D90" i="13"/>
  <c r="U20" i="13"/>
  <c r="U25" i="13" s="1"/>
  <c r="U26" i="13" s="1"/>
  <c r="U90" i="13"/>
  <c r="G20" i="13"/>
  <c r="G25" i="13" s="1"/>
  <c r="G26" i="13" s="1"/>
  <c r="G90" i="13"/>
  <c r="O20" i="13"/>
  <c r="O25" i="13" s="1"/>
  <c r="O26" i="13" s="1"/>
  <c r="O90" i="13"/>
  <c r="X20" i="13"/>
  <c r="X25" i="13" s="1"/>
  <c r="X26" i="13" s="1"/>
  <c r="X90" i="13"/>
  <c r="J20" i="13"/>
  <c r="J25" i="13" s="1"/>
  <c r="J26" i="13" s="1"/>
  <c r="J90" i="13"/>
  <c r="AA20" i="13"/>
  <c r="AA25" i="13" s="1"/>
  <c r="AA26" i="13" s="1"/>
  <c r="AA90" i="13"/>
  <c r="E20" i="13"/>
  <c r="E25" i="13" s="1"/>
  <c r="E26" i="13" s="1"/>
  <c r="E90" i="13"/>
  <c r="AB20" i="13"/>
  <c r="AB25" i="13" s="1"/>
  <c r="AB26" i="13" s="1"/>
  <c r="AB90" i="13"/>
  <c r="C20" i="13"/>
  <c r="C25" i="13" s="1"/>
  <c r="C26" i="13" s="1"/>
  <c r="C90" i="13"/>
  <c r="W20" i="13"/>
  <c r="W25" i="13" s="1"/>
  <c r="W26" i="13" s="1"/>
  <c r="W90" i="13"/>
  <c r="AZ3" i="13"/>
  <c r="BD3" i="13" s="1"/>
  <c r="BD8" i="13" s="1"/>
  <c r="AY3" i="13"/>
  <c r="BC3" i="13" s="1"/>
  <c r="BC8" i="13" s="1"/>
  <c r="B20" i="13"/>
  <c r="B25" i="13" s="1"/>
  <c r="B26" i="13" s="1"/>
  <c r="N20" i="13"/>
  <c r="N25" i="13" s="1"/>
  <c r="N26" i="13" s="1"/>
  <c r="BA3" i="13"/>
  <c r="BE3" i="13" s="1"/>
  <c r="BE8" i="13" s="1"/>
  <c r="I23" i="12" l="1" a="1"/>
  <c r="I50" i="12" l="1"/>
  <c r="L50" i="12" s="1"/>
  <c r="I54" i="12"/>
  <c r="L54" i="12" s="1"/>
  <c r="I55" i="12"/>
  <c r="L55" i="12" s="1"/>
  <c r="I56" i="12"/>
  <c r="L56" i="12" s="1"/>
  <c r="I51" i="12"/>
  <c r="L51" i="12" s="1"/>
  <c r="I59" i="12"/>
  <c r="I63" i="12"/>
  <c r="L63" i="12" s="1"/>
  <c r="I67" i="12"/>
  <c r="L67" i="12" s="1"/>
  <c r="I69" i="12"/>
  <c r="L69" i="12" s="1"/>
  <c r="I60" i="12"/>
  <c r="L60" i="12" s="1"/>
  <c r="I62" i="12"/>
  <c r="L62" i="12" s="1"/>
  <c r="I64" i="12"/>
  <c r="L64" i="12" s="1"/>
  <c r="I66" i="12"/>
  <c r="L66" i="12" s="1"/>
  <c r="I68" i="12"/>
  <c r="L68" i="12" s="1"/>
  <c r="I70" i="12"/>
  <c r="L70" i="12" s="1"/>
  <c r="I58" i="12"/>
  <c r="L58" i="12" s="1"/>
  <c r="I52" i="12"/>
  <c r="L52" i="12" s="1"/>
  <c r="I53" i="12"/>
  <c r="L53" i="12" s="1"/>
  <c r="I57" i="12"/>
  <c r="L57" i="12" s="1"/>
  <c r="I61" i="12"/>
  <c r="L61" i="12" s="1"/>
  <c r="I65" i="12"/>
  <c r="L65" i="12" s="1"/>
  <c r="I42" i="12"/>
  <c r="L42" i="12" s="1"/>
  <c r="I31" i="12"/>
  <c r="L31" i="12" s="1"/>
  <c r="I37" i="12"/>
  <c r="L37" i="12" s="1"/>
  <c r="I49" i="12"/>
  <c r="L49" i="12" s="1"/>
  <c r="I46" i="12"/>
  <c r="L46" i="12" s="1"/>
  <c r="I29" i="12"/>
  <c r="L29" i="12" s="1"/>
  <c r="I40" i="12"/>
  <c r="L40" i="12" s="1"/>
  <c r="I41" i="12"/>
  <c r="L41" i="12" s="1"/>
  <c r="I44" i="12"/>
  <c r="L44" i="12" s="1"/>
  <c r="I38" i="12"/>
  <c r="L38" i="12" s="1"/>
  <c r="I39" i="12"/>
  <c r="L39" i="12" s="1"/>
  <c r="I26" i="12"/>
  <c r="L26" i="12" s="1"/>
  <c r="I27" i="12"/>
  <c r="L27" i="12" s="1"/>
  <c r="I30" i="12"/>
  <c r="L30" i="12" s="1"/>
  <c r="I28" i="12"/>
  <c r="L28" i="12" s="1"/>
  <c r="I32" i="12"/>
  <c r="L32" i="12" s="1"/>
  <c r="I47" i="12"/>
  <c r="I43" i="12"/>
  <c r="L43" i="12" s="1"/>
  <c r="I36" i="12"/>
  <c r="L36" i="12" s="1"/>
  <c r="I33" i="12"/>
  <c r="L33" i="12" s="1"/>
  <c r="I25" i="12"/>
  <c r="L25" i="12" s="1"/>
  <c r="I48" i="12"/>
  <c r="L48" i="12" s="1"/>
  <c r="I24" i="12"/>
  <c r="L24" i="12" s="1"/>
  <c r="I45" i="12"/>
  <c r="L45" i="12" s="1"/>
  <c r="I34" i="12"/>
  <c r="L34" i="12" s="1"/>
  <c r="I23" i="12"/>
  <c r="I35" i="12"/>
  <c r="L35" i="12" l="1"/>
  <c r="L73" i="12" s="1"/>
  <c r="E8" i="12"/>
  <c r="F8" i="12" s="1"/>
  <c r="F10" i="12" s="1"/>
  <c r="K10" i="12" s="1"/>
  <c r="W8" i="12"/>
  <c r="X8" i="12" s="1"/>
  <c r="X10" i="12" s="1"/>
  <c r="E13" i="12"/>
  <c r="F13" i="12" s="1"/>
  <c r="F15" i="12" s="1"/>
  <c r="K15" i="12" s="1"/>
  <c r="L47" i="12"/>
  <c r="L74" i="12" s="1"/>
  <c r="W13" i="12"/>
  <c r="X13" i="12" s="1"/>
  <c r="X15" i="12" s="1"/>
  <c r="L59" i="12"/>
  <c r="L75" i="12" s="1"/>
  <c r="E18" i="12"/>
  <c r="F18" i="12" s="1"/>
  <c r="F20" i="12" s="1"/>
  <c r="K20" i="12" s="1"/>
  <c r="W18" i="12"/>
  <c r="X18" i="12" s="1"/>
  <c r="X20" i="12" s="1"/>
  <c r="W3" i="12"/>
  <c r="X3" i="12" s="1"/>
  <c r="X5" i="12" s="1"/>
  <c r="L23" i="12"/>
  <c r="L72" i="12" s="1"/>
  <c r="E3" i="12"/>
  <c r="F3" i="12" s="1"/>
  <c r="F5" i="12" s="1"/>
  <c r="K5" i="12" s="1"/>
  <c r="L20" i="12" s="1"/>
  <c r="R20" i="12" s="1"/>
</calcChain>
</file>

<file path=xl/comments1.xml><?xml version="1.0" encoding="utf-8"?>
<comments xmlns="http://schemas.openxmlformats.org/spreadsheetml/2006/main">
  <authors>
    <author>Gabe Platt</author>
  </authors>
  <commentList>
    <comment ref="G3" authorId="0" shapeId="0">
      <text>
        <r>
          <rPr>
            <b/>
            <sz val="9"/>
            <color indexed="81"/>
            <rFont val="Tahoma"/>
            <family val="2"/>
          </rPr>
          <t>Gabe Platt:</t>
        </r>
        <r>
          <rPr>
            <sz val="9"/>
            <color indexed="81"/>
            <rFont val="Tahoma"/>
            <family val="2"/>
          </rPr>
          <t xml:space="preserve">
June 2017 and prior was under CT 142</t>
        </r>
      </text>
    </comment>
    <comment ref="M3" authorId="0" shapeId="0">
      <text>
        <r>
          <rPr>
            <b/>
            <sz val="9"/>
            <color indexed="81"/>
            <rFont val="Tahoma"/>
            <family val="2"/>
          </rPr>
          <t>Gabe Platt:</t>
        </r>
        <r>
          <rPr>
            <sz val="9"/>
            <color indexed="81"/>
            <rFont val="Tahoma"/>
            <family val="2"/>
          </rPr>
          <t xml:space="preserve">
We used Billed GA from subsequent month as a proxy for consumption</t>
        </r>
      </text>
    </comment>
  </commentList>
</comments>
</file>

<file path=xl/sharedStrings.xml><?xml version="1.0" encoding="utf-8"?>
<sst xmlns="http://schemas.openxmlformats.org/spreadsheetml/2006/main" count="938" uniqueCount="520">
  <si>
    <t>2016</t>
  </si>
  <si>
    <t>2017</t>
  </si>
  <si>
    <t>2018</t>
  </si>
  <si>
    <t>2019</t>
  </si>
  <si>
    <t>2015</t>
  </si>
  <si>
    <t>Total</t>
  </si>
  <si>
    <t>Difference</t>
  </si>
  <si>
    <t>Volume Period</t>
  </si>
  <si>
    <t>Charge Type</t>
  </si>
  <si>
    <t>RPP/non-RPP</t>
  </si>
  <si>
    <t>Class</t>
  </si>
  <si>
    <t>Power/GA</t>
  </si>
  <si>
    <t>Volumes</t>
  </si>
  <si>
    <t>Note</t>
  </si>
  <si>
    <t>Post-Change</t>
  </si>
  <si>
    <t>101</t>
  </si>
  <si>
    <t>Both</t>
  </si>
  <si>
    <t>A&amp;B</t>
  </si>
  <si>
    <t>Power</t>
  </si>
  <si>
    <t>AQEW</t>
  </si>
  <si>
    <t>Calendar Month</t>
  </si>
  <si>
    <t>147</t>
  </si>
  <si>
    <t>non-RPP</t>
  </si>
  <si>
    <t>A</t>
  </si>
  <si>
    <t>GA</t>
  </si>
  <si>
    <t>Class A</t>
  </si>
  <si>
    <t>148</t>
  </si>
  <si>
    <t>B</t>
  </si>
  <si>
    <t>Class B = AQEW+EG-Class A</t>
  </si>
  <si>
    <t>1142</t>
  </si>
  <si>
    <t>RPP</t>
  </si>
  <si>
    <t>Settlement</t>
  </si>
  <si>
    <t>Class B RPP only</t>
  </si>
  <si>
    <t>1412</t>
  </si>
  <si>
    <t>Embedded Generation (EG)</t>
  </si>
  <si>
    <t>Note 1</t>
  </si>
  <si>
    <t>Note 2</t>
  </si>
  <si>
    <t>Class A usage is determined through individual meter point data for all Class A customers multiplied by WNH's Class A loss factor.</t>
  </si>
  <si>
    <t>Note 3</t>
  </si>
  <si>
    <t>Class B volumes are determined by taking AQEW (total wholesale meter points), plus Embedded Generation (internally tracked), less total loss factor adjusted Class A volumes.</t>
  </si>
  <si>
    <t>Note 4</t>
  </si>
  <si>
    <t>Embedded Generation contracts are paid and settled separately. No change to this process.</t>
  </si>
  <si>
    <t>February</t>
  </si>
  <si>
    <t>March</t>
  </si>
  <si>
    <t>April</t>
  </si>
  <si>
    <t>May</t>
  </si>
  <si>
    <t>June</t>
  </si>
  <si>
    <t>July</t>
  </si>
  <si>
    <t>August</t>
  </si>
  <si>
    <t>September</t>
  </si>
  <si>
    <t>October</t>
  </si>
  <si>
    <t>November</t>
  </si>
  <si>
    <t>December</t>
  </si>
  <si>
    <t>Where:</t>
  </si>
  <si>
    <t>Jan/15</t>
  </si>
  <si>
    <t>Feb</t>
  </si>
  <si>
    <t>Mar</t>
  </si>
  <si>
    <t>Apr</t>
  </si>
  <si>
    <t>Jan / 16</t>
  </si>
  <si>
    <t>January/17</t>
  </si>
  <si>
    <t>January/18</t>
  </si>
  <si>
    <t>Settlement Month</t>
  </si>
  <si>
    <t>Submission Month</t>
  </si>
  <si>
    <t>RPP Revenues (RPP rate x kWh billed)</t>
  </si>
  <si>
    <t>RPP Cost of Energy (cost of energy x kWh billed)</t>
  </si>
  <si>
    <t>RPP Settlement</t>
  </si>
  <si>
    <t>CT 101
Cost of Energy</t>
  </si>
  <si>
    <t>CT 1142 - 1
RPP Rev - RPP Energy</t>
  </si>
  <si>
    <t>CT 1142 - 2
RPP GA</t>
  </si>
  <si>
    <t>CT 1142
RPP Settlement</t>
  </si>
  <si>
    <t>PB $ Billed in Year 2015 Jan</t>
  </si>
  <si>
    <t>PB $ Billed in Year 2015 Feb</t>
  </si>
  <si>
    <t>PB $ Billed in Year 2015 Mar</t>
  </si>
  <si>
    <t>PB $ Billed in Year 2015 Apr</t>
  </si>
  <si>
    <t>PB $ Billed in Year 2015 May</t>
  </si>
  <si>
    <t>PB $ Billed in Year 2015 Jun</t>
  </si>
  <si>
    <t>PB $ Billed in Year 2015 Jul</t>
  </si>
  <si>
    <t>PB $ Billed in Year 2015 Aug</t>
  </si>
  <si>
    <t>PB $ Billed in Year 2015 Sep</t>
  </si>
  <si>
    <t>PB $ Billed in Year 2015 Oct</t>
  </si>
  <si>
    <t>PB $ Billed in Year 2015 Nov</t>
  </si>
  <si>
    <t>PB $ Billed in Year 2015 Dec</t>
  </si>
  <si>
    <t>PB $ Billed in Year 2016 Jan</t>
  </si>
  <si>
    <t>PB $ Billed in Year 2016 Feb</t>
  </si>
  <si>
    <t>PB $ Billed in Year 2016 Mar</t>
  </si>
  <si>
    <t>PB $ Billed in Year 2016 Apr</t>
  </si>
  <si>
    <t>PB $ Billed in Year 2016 May</t>
  </si>
  <si>
    <t>PB $ Billed in Year 2016 Jun</t>
  </si>
  <si>
    <t>PB $ Billed in Year 2016 Jul</t>
  </si>
  <si>
    <t>PB $ Billed in Year 2016 Aug</t>
  </si>
  <si>
    <t>PB $ Billed in Year 2016 Sep</t>
  </si>
  <si>
    <t>PB $ Billed in Year 2016 Oct</t>
  </si>
  <si>
    <t>PB $ Billed in Year 2016 Nov</t>
  </si>
  <si>
    <t>PB $ Billed in Year 2016 Dec</t>
  </si>
  <si>
    <t>PB $ Billed in Year 2017 Jan</t>
  </si>
  <si>
    <t>PB $ Billed in Year 2017 Feb</t>
  </si>
  <si>
    <t>PB $ Billed in Year 2017 Mar</t>
  </si>
  <si>
    <t>PB $ Billed in Year 2017 Apr</t>
  </si>
  <si>
    <t>PB $ Billed in Year 2017 May</t>
  </si>
  <si>
    <t>PB $ Billed in Year 2017 June</t>
  </si>
  <si>
    <t>PB $ Billed in Year 2017 July</t>
  </si>
  <si>
    <t>PB $ Billed in Year 2017 Aug</t>
  </si>
  <si>
    <t>PB $ Billed in Year 2017 Sep</t>
  </si>
  <si>
    <t>PB $ Billed in Year 2017 Oct</t>
  </si>
  <si>
    <t>PB $ Billed in Year 2017 Nov</t>
  </si>
  <si>
    <t>PB $ Billed in Year 2017 Dec</t>
  </si>
  <si>
    <t>PB $ Billed in Year 2018 Jan</t>
  </si>
  <si>
    <t>PB $ Billed in Year 2018 Feb</t>
  </si>
  <si>
    <t>PB $ Billed in Year 2018 Mar</t>
  </si>
  <si>
    <t>PB $ Billed in Year 2018 Apr</t>
  </si>
  <si>
    <t>PB $ Billed in Year 2018 May</t>
  </si>
  <si>
    <t>PB $ Billed in Year 2018 Jun</t>
  </si>
  <si>
    <t>PB $ Billed in Year 2018 Jul</t>
  </si>
  <si>
    <t>PB $ Billed in Year 2018 Aug</t>
  </si>
  <si>
    <t>PB $ Billed in Year 2018 Sep</t>
  </si>
  <si>
    <t>PB $ Billed in Year 2018 Oct</t>
  </si>
  <si>
    <t>PB $ Billed in Year 2018 Nov</t>
  </si>
  <si>
    <t>PB $ Billed in Year 2018 Dec</t>
  </si>
  <si>
    <t>PB $ Billed in Year 2019 Jan</t>
  </si>
  <si>
    <t>PB $ Billed in Year 2019 Feb</t>
  </si>
  <si>
    <t>PB $ Billed in Year 2019 Mar</t>
  </si>
  <si>
    <t>PB $ Billed in Year 2019 Apr</t>
  </si>
  <si>
    <t>PB $ Billed in Year 2019 May</t>
  </si>
  <si>
    <t>PB $ Billed in Year 2019 Jun</t>
  </si>
  <si>
    <t>PB $ Billed in Year 2019 Jul</t>
  </si>
  <si>
    <t>PB $ Billed in Year 2019 Aug</t>
  </si>
  <si>
    <t>PB $ Billed in Year 2019 Sep</t>
  </si>
  <si>
    <t>PB $ Billed in Year 2019 Oct</t>
  </si>
  <si>
    <t>PB $ Billed in Year 2019 Nov</t>
  </si>
  <si>
    <t>PB $ Billed in Year 2019 Dec</t>
  </si>
  <si>
    <t>P</t>
  </si>
  <si>
    <t>I</t>
  </si>
  <si>
    <t>Class B GA Consumed @ 1st Estimate (billed)</t>
  </si>
  <si>
    <t>Class B GA Consumed @ Final rate</t>
  </si>
  <si>
    <t>Class B GA Billed used in RPP Settlement Calc</t>
  </si>
  <si>
    <t>CT 147
Class A GA (@ pdf)</t>
  </si>
  <si>
    <t>CT 148
Class B GA (@ final rate)</t>
  </si>
  <si>
    <t>Revised RPP Settlement</t>
  </si>
  <si>
    <t>Settlement Diff</t>
  </si>
  <si>
    <t>Revised RPP GA (est + true-up)</t>
  </si>
  <si>
    <t>Revised</t>
  </si>
  <si>
    <t>Table 1: Commodity Cost of Power:</t>
  </si>
  <si>
    <t>RPP Revenues = RPP kWh billed during month @ RPP rates</t>
  </si>
  <si>
    <t>Settlement = RPP Revenues - (RPP Cost of Energy + RPP GA actual)</t>
  </si>
  <si>
    <t>RPP Cost of Energy = RPP kWh billed during month @ weighted average cost of energy</t>
  </si>
  <si>
    <t>Given the timing of this calculation, the actual invoice would not have been received yet, nor would the Non-RPP kWh billed in the subsequent month be completed. As a result, this amount was estimated and trued-up in the following month.</t>
  </si>
  <si>
    <t>*Former RPP settlement calculation:</t>
  </si>
  <si>
    <t>Mixed*</t>
  </si>
  <si>
    <t>RPP GA (total GA for month less Non-RPP portion billed)</t>
  </si>
  <si>
    <t>Difference $</t>
  </si>
  <si>
    <t>RPP GA Actual = Total Class B GA per CT 148 on IESO Invoice less Non-RPP kWh billed during subsequent month @ final GA rate</t>
  </si>
  <si>
    <t>AQEW is the total net energy (loss adjusted) that WNH pulls from the transmission system. WNH obtains this number from Utilismart which monitors wholesale metering points. The IESO is able to obtain this number through wholesale meter data.</t>
  </si>
  <si>
    <t>Pre-Change</t>
  </si>
  <si>
    <t>App 1.a - IESO Invoice Summary</t>
  </si>
  <si>
    <t>App 1.b - Class B Non-RPP GA</t>
  </si>
  <si>
    <t>App 1.c - Class B - RPP Settlement - Actual Submissions</t>
  </si>
  <si>
    <t>App 1.d - Class B RPP Settlement - Recalc</t>
  </si>
  <si>
    <t>RPP Submitted ($)</t>
  </si>
  <si>
    <t>RPP Recalc ($)</t>
  </si>
  <si>
    <t>Year</t>
  </si>
  <si>
    <t>Table 2 - RPP Recalculation</t>
  </si>
  <si>
    <t>Table 3 - RPP Settlement Error Effect on Account 4705</t>
  </si>
  <si>
    <t>RPP settlement included in 4705</t>
  </si>
  <si>
    <t>GA Reconciliation Accrual to COP included in 4705</t>
  </si>
  <si>
    <t>Total Effect on 4705</t>
  </si>
  <si>
    <t>Submitted</t>
  </si>
  <si>
    <t>Accrued</t>
  </si>
  <si>
    <t>Accr. Diff</t>
  </si>
  <si>
    <t>Rev. in next period</t>
  </si>
  <si>
    <t>C</t>
  </si>
  <si>
    <t>D</t>
  </si>
  <si>
    <t>E</t>
  </si>
  <si>
    <t>F = D + E</t>
  </si>
  <si>
    <t>G</t>
  </si>
  <si>
    <t>H</t>
  </si>
  <si>
    <t>J</t>
  </si>
  <si>
    <t>K</t>
  </si>
  <si>
    <t>M = J - (K + L)</t>
  </si>
  <si>
    <t>N</t>
  </si>
  <si>
    <t>O = J - (K + N)</t>
  </si>
  <si>
    <t>P = O - F</t>
  </si>
  <si>
    <t>Reference:</t>
  </si>
  <si>
    <t>A to E</t>
  </si>
  <si>
    <t>F</t>
  </si>
  <si>
    <t>Calculation</t>
  </si>
  <si>
    <t>Source</t>
  </si>
  <si>
    <t>WNH RPP Settlement submissions to the IESO</t>
  </si>
  <si>
    <t>Reference</t>
  </si>
  <si>
    <t>Cl B Non-RPP GA</t>
  </si>
  <si>
    <t>IESO Price x kWh in Month 2015 Jan Updated Prices</t>
  </si>
  <si>
    <t>IESO Price x kWh in Month 2015 Feb Updated Prices</t>
  </si>
  <si>
    <t>IESO Price x kWh in Month 2015 Mar Updated Prices</t>
  </si>
  <si>
    <t>IESO Price x kWh in Month 2015 Apr Updated Prices</t>
  </si>
  <si>
    <t>IESO Price x kWh in Month 2015 May Updated Prices</t>
  </si>
  <si>
    <t>IESO Price x kWh in Month 2015 June Updated Prices</t>
  </si>
  <si>
    <t xml:space="preserve">IESO Price x kWh in Month 2015 July Update Prices </t>
  </si>
  <si>
    <t xml:space="preserve">IESO Price x kWh in Month 2015 Aug Update Prices </t>
  </si>
  <si>
    <t xml:space="preserve">IESO Price x kWh in Month 2015 Sep Update Prices </t>
  </si>
  <si>
    <t xml:space="preserve">IESO Price x kWh in Month 2015 Oct Update Prices </t>
  </si>
  <si>
    <t>IESO Price x kWh in Month 2015 Nov Update Prices</t>
  </si>
  <si>
    <t>IESO Price x kWh in Month 2015 Dec Update Prices</t>
  </si>
  <si>
    <t>IESO Price x kWh in Month 2016 Jan Update Prices</t>
  </si>
  <si>
    <t>IESO Price x kWh in Month 2016 Feb Updated Prices</t>
  </si>
  <si>
    <t>IESO Price x kWh in Month 2016 Mar Updated Prices</t>
  </si>
  <si>
    <t>IESO Price x kWh in Month 2016 Apr Updated Prices</t>
  </si>
  <si>
    <t>IESO Price x kWh in Month 2016 May Updated Prices</t>
  </si>
  <si>
    <t>IESO Price x kWh in Month 2016 Jun Updated Prices</t>
  </si>
  <si>
    <t>IESO Price x kWh in Month 2016 Jul Updated Prices</t>
  </si>
  <si>
    <t>IESO Price x kWh in Month 2016 Aug Updated Prices</t>
  </si>
  <si>
    <t>IESO Price x kWh in Month 2016 Sep Updated Prices</t>
  </si>
  <si>
    <t>IESO Price x kWh in Month 2016 Oct Updated Prices</t>
  </si>
  <si>
    <t>IESO Price x kWh in Month 2016 Nov Updated Prices</t>
  </si>
  <si>
    <t>IESO Price x kWh in Month 2016 Dec Updated Prices</t>
  </si>
  <si>
    <t>IESO Price x kWh in Month 2017 Jan Updated Prices</t>
  </si>
  <si>
    <t>IESO Price x kWh in Month 2017 Feb Updated Prices</t>
  </si>
  <si>
    <t>IESO Price x kWh in Month 2017 Mar Updated Prices</t>
  </si>
  <si>
    <t>IESO Price x kWh in Month 2017 Apr Updated Prices</t>
  </si>
  <si>
    <t>IESO Price x kWh in Month 2017 May Updated Prices</t>
  </si>
  <si>
    <t>IESO Price x kWh in Month 2017 Jun Updated Prices</t>
  </si>
  <si>
    <t>IESO Price x kWh in Month 2017 Jul Updated Prices</t>
  </si>
  <si>
    <t>IESO Price x kWh in Month 2017 Aug Updated Prices</t>
  </si>
  <si>
    <t>IESO Price x kWh in Month 2017 Sep Updated Prices</t>
  </si>
  <si>
    <t>IESO Price x kWh in Month 2017 Oct Updated Prices</t>
  </si>
  <si>
    <t>IESO Price x kWh in Month 2017 Nov Updated Prices</t>
  </si>
  <si>
    <t>IESO Price x kWh in Month 2017 Dec Updated Prices</t>
  </si>
  <si>
    <t>IESO Price x kWh in Month 2018 Jan Updated Prices</t>
  </si>
  <si>
    <t>IESO Price x kWh in Month 2018 Feb Updated Prices</t>
  </si>
  <si>
    <t>IESO Price x kWh in Month 2018 Mar Updated Prices</t>
  </si>
  <si>
    <t>IESO Price x kWh in Month 2018 Apr Updated Prices</t>
  </si>
  <si>
    <t>IESO Price x kWh in Month 2018 May Updated Prices</t>
  </si>
  <si>
    <t>IESO Price x kWh in Month 2018 June Updated Prices</t>
  </si>
  <si>
    <t>IESO Price x kWh in Month 2018 July Updated Prices</t>
  </si>
  <si>
    <t>IESO Price x kWh in Month 2018 Aug Updated Prices</t>
  </si>
  <si>
    <t>IESO Price x kWh in Month 2018 Sep Updated Prices</t>
  </si>
  <si>
    <t>IESO Price x kWh in Month 2018 Oct Updated Prices</t>
  </si>
  <si>
    <t>IESO Price x kWh in Month 2018 Nov Updated Prices</t>
  </si>
  <si>
    <t>IESO Price x kWh in Month 2018 Dec Updated Prices</t>
  </si>
  <si>
    <t>IESO Price x kWh in Month 2019 Jan Updated Prices</t>
  </si>
  <si>
    <t>IESO Price x kWh in Month 2019 Feb Updated Prices</t>
  </si>
  <si>
    <t>IESO Price x kWh in Month 2019 Mar Updated Prices</t>
  </si>
  <si>
    <t>IESO Price x kWh in Month 2019 Apr Updated Prices</t>
  </si>
  <si>
    <t>IESO Price x kWh in Month 2019 May Updated Prices</t>
  </si>
  <si>
    <t>IESO Price x kWh in Month 2019 Jun Updated Prices</t>
  </si>
  <si>
    <t>IESO Price x kWh in Month 2019 Jul Updated Prices</t>
  </si>
  <si>
    <t>IESO Price x kWh in Month 2019 Aug Updated Prices</t>
  </si>
  <si>
    <t>IESO Price x kWh in Month 2019 Sep Updated Prices</t>
  </si>
  <si>
    <t>IESO Price x kWh in Month 2019 Oct Updated Prices</t>
  </si>
  <si>
    <t>IESO Price x kWh in Month 2019 Nov Updated Prices</t>
  </si>
  <si>
    <t>IESO Price x kWh in Month 2019 Dec Updated Prices</t>
  </si>
  <si>
    <t>Obtained by multiplying Non-RPP kWh per meter data by the final posted GA price for consumption month</t>
  </si>
  <si>
    <t>Obtained by multiplying Non-RPP kWh per meter data by the GA 1st Estimate price for each consumption month</t>
  </si>
  <si>
    <t>G to H</t>
  </si>
  <si>
    <t>Total Non-RPP GA @ 1st Estimate per consumption month</t>
  </si>
  <si>
    <t>Total Non-RPP GA @ Final Price per consumption month</t>
  </si>
  <si>
    <t>L = E</t>
  </si>
  <si>
    <t>J to L</t>
  </si>
  <si>
    <t>M</t>
  </si>
  <si>
    <t>Calculation - Equivalent to Column F</t>
  </si>
  <si>
    <t>O</t>
  </si>
  <si>
    <t xml:space="preserve">RPP GA Est &amp; True-Up - "E" </t>
  </si>
  <si>
    <t>WNH shadow invoice for current month based on total consumption</t>
  </si>
  <si>
    <t>Total Class B GA Estimate</t>
  </si>
  <si>
    <t>Total Class B GA @ Final Rate per IESO Invoice</t>
  </si>
  <si>
    <t>Class B Non-RPP kWh</t>
  </si>
  <si>
    <t>GA 1st Estimate Price</t>
  </si>
  <si>
    <t>Total Class B Non-RPP GA Estimate</t>
  </si>
  <si>
    <t>RPP GA Estimate</t>
  </si>
  <si>
    <t>Wholesale meter data</t>
  </si>
  <si>
    <t>IESO posted GA prices</t>
  </si>
  <si>
    <t>Actual Non-RPP GA Billed in Subsequent Month</t>
  </si>
  <si>
    <t>RPP GA Actual</t>
  </si>
  <si>
    <t>"Actual" for Current Month</t>
  </si>
  <si>
    <t>Estimate Non-RPP GA for Current Month</t>
  </si>
  <si>
    <t>Estimate RPP GA for Current Month</t>
  </si>
  <si>
    <t>C = A*B</t>
  </si>
  <si>
    <t>E = D - C</t>
  </si>
  <si>
    <t>IESO actual invoice for current month (received subsequent to initial settlement)</t>
  </si>
  <si>
    <t>H = F + G</t>
  </si>
  <si>
    <t>I = H - E</t>
  </si>
  <si>
    <t>Total RPP GA Included in Settlement</t>
  </si>
  <si>
    <t>Prior Month True-Up</t>
  </si>
  <si>
    <t>Adjustments</t>
  </si>
  <si>
    <t>K = E (current) + I (prior) + J (current)</t>
  </si>
  <si>
    <t>Change to Current Estimate</t>
  </si>
  <si>
    <t>Calculation = Current Month Estimate + Prior Month True-Up + Change to Current Estimate (Agreed to historical RPP Settlement submissions)</t>
  </si>
  <si>
    <t>WNH RPP Settlement submissions to the IESO - "L" equal to RPP GA Est &amp; True-Up "K"</t>
  </si>
  <si>
    <t>Total Billed Non-RPP GA per tab "Cl B Non-RPP GA" - some exceptions due to bill corrections done post-true-up</t>
  </si>
  <si>
    <t>Per Settlement Submissions</t>
  </si>
  <si>
    <t>Non-RPP GA @ Final Rate (consumption)</t>
  </si>
  <si>
    <t>L</t>
  </si>
  <si>
    <t>Cl B Non-RPP GA - Non-RPP GA @ Final Price per consumption month</t>
  </si>
  <si>
    <t>M = F - L</t>
  </si>
  <si>
    <t>RPP GA Recalculation - Revised</t>
  </si>
  <si>
    <t>N = M - E</t>
  </si>
  <si>
    <t>O = E (current) + N (prior)</t>
  </si>
  <si>
    <t>M to O</t>
  </si>
  <si>
    <t>"M"</t>
  </si>
  <si>
    <t>"O"</t>
  </si>
  <si>
    <t>RPP GA Est &amp; True-Up - "O"</t>
  </si>
  <si>
    <t>Change in estimate if initial kWh read unreliable. Any differences would get trued-up in subsequent month.</t>
  </si>
  <si>
    <t>O - M</t>
  </si>
  <si>
    <t>Non-RPP GA Received/Charged on IESO Invoice</t>
  </si>
  <si>
    <t>Non-RPP GA Paid/Charged per Billing System</t>
  </si>
  <si>
    <t>Q</t>
  </si>
  <si>
    <t>R</t>
  </si>
  <si>
    <t>S = B + C - N</t>
  </si>
  <si>
    <t>Q = B + C - L</t>
  </si>
  <si>
    <t>T = R</t>
  </si>
  <si>
    <t>Initial 4705 GA Accrual Inputs</t>
  </si>
  <si>
    <t>Revised 4705 GA Accrual Inputs</t>
  </si>
  <si>
    <t>Table 2</t>
  </si>
  <si>
    <t>Prior Year</t>
  </si>
  <si>
    <t>Current Year</t>
  </si>
  <si>
    <t>Subtotal</t>
  </si>
  <si>
    <t>C = A + B</t>
  </si>
  <si>
    <t>Other Components</t>
  </si>
  <si>
    <t>Unbilled, Carrying Charges, etc.</t>
  </si>
  <si>
    <t>Transfer to Balance Sheet</t>
  </si>
  <si>
    <t>Total Accrual</t>
  </si>
  <si>
    <t>Original Accrual</t>
  </si>
  <si>
    <t>Revised Accrual</t>
  </si>
  <si>
    <t>I = -(C + F + G + H)</t>
  </si>
  <si>
    <t>L = J + K</t>
  </si>
  <si>
    <t>O = M + N</t>
  </si>
  <si>
    <t>M = D</t>
  </si>
  <si>
    <t>N = E</t>
  </si>
  <si>
    <t>P = G</t>
  </si>
  <si>
    <t>R = -(L + O + P + Q)</t>
  </si>
  <si>
    <t>"I"</t>
  </si>
  <si>
    <t>"R"</t>
  </si>
  <si>
    <t>Calculation - "B" from prior year</t>
  </si>
  <si>
    <t>Table 2 Non-RPP GA Received/Charged on IESO Invoice "Q"</t>
  </si>
  <si>
    <t>Calculation - "E" from prior year</t>
  </si>
  <si>
    <t>Table 2 Non-RPP GA Paid/Charged per Billing System "R"</t>
  </si>
  <si>
    <t>WNH audited historical general ledger</t>
  </si>
  <si>
    <t>Calculation - Transfer of accrual from 2 years prior as part of 1588 &amp; 1589 settlement</t>
  </si>
  <si>
    <t>Calculation - "K" from prior year</t>
  </si>
  <si>
    <t>Table 2 Non-RPP GA Received/Charged on IESO Invoice "S"</t>
  </si>
  <si>
    <t>Calculation - "M" from prior year - Equivalent to "D"</t>
  </si>
  <si>
    <t>Table 2 Non-RPP GA Paid/Charged per Billing System "T" - Equivalent to "E"</t>
  </si>
  <si>
    <t>4006-4055 - Energy sub-accounts</t>
  </si>
  <si>
    <t>Class B - RPP</t>
  </si>
  <si>
    <t>Class A - Non-RPP</t>
  </si>
  <si>
    <t>Class B - Non-RPP</t>
  </si>
  <si>
    <t>Original</t>
  </si>
  <si>
    <t>4705 - Energy Cost</t>
  </si>
  <si>
    <t>Class B - RPP commodity</t>
  </si>
  <si>
    <t>Class B - RPP GA</t>
  </si>
  <si>
    <t>Class B - Final IESO RPP Settlement</t>
  </si>
  <si>
    <t>Class A - Non-RPP commodity</t>
  </si>
  <si>
    <t>Class B - Non-RPP commodity</t>
  </si>
  <si>
    <t>4006-4055 - GA sub-accounts</t>
  </si>
  <si>
    <t>GA Reconciliation Accrual</t>
  </si>
  <si>
    <t>4707 - GA Cost</t>
  </si>
  <si>
    <t>4707 Subtotal</t>
  </si>
  <si>
    <t>4707 Balance per Cl B Non-RPP GA</t>
  </si>
  <si>
    <t>4707 Total</t>
  </si>
  <si>
    <t>4705 Total</t>
  </si>
  <si>
    <t>1588 - RSVA Power</t>
  </si>
  <si>
    <t>1589 - RSVA GA</t>
  </si>
  <si>
    <t>Diff</t>
  </si>
  <si>
    <t>A1</t>
  </si>
  <si>
    <t>A2</t>
  </si>
  <si>
    <t>B1</t>
  </si>
  <si>
    <t>C1</t>
  </si>
  <si>
    <t>D1</t>
  </si>
  <si>
    <t>E1</t>
  </si>
  <si>
    <t>F1</t>
  </si>
  <si>
    <t>G1</t>
  </si>
  <si>
    <t>H1</t>
  </si>
  <si>
    <t>I1</t>
  </si>
  <si>
    <t>J1</t>
  </si>
  <si>
    <t>K1</t>
  </si>
  <si>
    <t>B2</t>
  </si>
  <si>
    <t>C2</t>
  </si>
  <si>
    <t>D2</t>
  </si>
  <si>
    <t>I2</t>
  </si>
  <si>
    <t>E2</t>
  </si>
  <si>
    <t>F2</t>
  </si>
  <si>
    <t>G2</t>
  </si>
  <si>
    <t>H2</t>
  </si>
  <si>
    <t>J2</t>
  </si>
  <si>
    <t>K2</t>
  </si>
  <si>
    <t>Table 2 "J" per settlement submission</t>
  </si>
  <si>
    <t>Table 2 "K" per settlement submission</t>
  </si>
  <si>
    <t>Table 2 "L" per settlement submission</t>
  </si>
  <si>
    <t>Table 2 "M" per settlement submission</t>
  </si>
  <si>
    <t>Cl B Non-RPP GA - total Dec 2015 billings</t>
  </si>
  <si>
    <t>Table 2 "C" total Cl B GA per CT148 less Table 2 "L" total Cl B GA RPP portion included in settlement submission</t>
  </si>
  <si>
    <t>Cl B Non-RPP GA - total Dec 2015 consumption at final GA rates</t>
  </si>
  <si>
    <t>4006-4055 Total Energy</t>
  </si>
  <si>
    <t>4006-4055 Total GA</t>
  </si>
  <si>
    <t>Calculation = 4006-4055 Total Energy less 4705 Total</t>
  </si>
  <si>
    <t>Calculation = 4006-4055 Total GA less 4707 Total</t>
  </si>
  <si>
    <t>Same as A1</t>
  </si>
  <si>
    <t>Same as B1</t>
  </si>
  <si>
    <t>Table 2 "N" per revised settlement submission</t>
  </si>
  <si>
    <t>Table 2 "O" per revised settlement submission</t>
  </si>
  <si>
    <t>Table 2 "C" total Cl B GA per CT148 less Table 2 "N" total Cl B GA RPP portion included in revised settlement submission</t>
  </si>
  <si>
    <t>Same as G1</t>
  </si>
  <si>
    <t>December 2015 Illustration</t>
  </si>
  <si>
    <t>4705 Subtotal</t>
  </si>
  <si>
    <t>GA Reconciliation Accrual - offset 4707</t>
  </si>
  <si>
    <t>GA Reconciliation Accrual - offset 2205</t>
  </si>
  <si>
    <t>2205 - Accounts Payable</t>
  </si>
  <si>
    <t>L1</t>
  </si>
  <si>
    <t>M1</t>
  </si>
  <si>
    <t>L2</t>
  </si>
  <si>
    <t>M2</t>
  </si>
  <si>
    <t>Calculation = - J1</t>
  </si>
  <si>
    <t>Calculation = - J2</t>
  </si>
  <si>
    <t>Calculation = E1</t>
  </si>
  <si>
    <t>Calculation = E2</t>
  </si>
  <si>
    <t>Same as I1</t>
  </si>
  <si>
    <t>Calculation = I1 less 4707 Subtotal</t>
  </si>
  <si>
    <t>Calculation I2 less 4707 Subtotal</t>
  </si>
  <si>
    <t>Calculation = F1</t>
  </si>
  <si>
    <t>Calculation = F2</t>
  </si>
  <si>
    <t>Billed kWh for Non-RPP (Class B) Per S:\Rebasing analysis\GA\GA Non-RPP QREP\2020</t>
  </si>
  <si>
    <t>Consumption month &gt;</t>
  </si>
  <si>
    <t>Billing month v</t>
  </si>
  <si>
    <t>Wholesale kWh</t>
  </si>
  <si>
    <t>Retail kWh</t>
  </si>
  <si>
    <t>Volume Diff (kWh)</t>
  </si>
  <si>
    <t>Weighted Average Price</t>
  </si>
  <si>
    <t>UFE Loss $</t>
  </si>
  <si>
    <t>Non-RPP</t>
  </si>
  <si>
    <t>Consumption Month</t>
  </si>
  <si>
    <t>TOU Mid</t>
  </si>
  <si>
    <t>TOU Off</t>
  </si>
  <si>
    <t>TOU On</t>
  </si>
  <si>
    <t>Tier 1</t>
  </si>
  <si>
    <t>Tier 2</t>
  </si>
  <si>
    <t>Quantity</t>
  </si>
  <si>
    <t>GA Final Rate</t>
  </si>
  <si>
    <t>Wholesale kWh (CT148/GA Final Rate)</t>
  </si>
  <si>
    <t>RPP Pricing</t>
  </si>
  <si>
    <t>RPP Revenue</t>
  </si>
  <si>
    <t>Average Price</t>
  </si>
  <si>
    <t>Weighted Average Price - RPP</t>
  </si>
  <si>
    <t>Retail (Billed) kWh - RPP</t>
  </si>
  <si>
    <t>Retail (Billed) kWh - Non-RPP</t>
  </si>
  <si>
    <t>Wholesale kWh - RPP Portion</t>
  </si>
  <si>
    <t>Wholesale kWh -  Non-RPP Portion</t>
  </si>
  <si>
    <t>Weighted Average Price - Non-RPP</t>
  </si>
  <si>
    <t>UFE Loss $ - Non-RPP 1588</t>
  </si>
  <si>
    <t>UFE Loss $ - Non-RPP 1589</t>
  </si>
  <si>
    <t>GA 1st Estimate</t>
  </si>
  <si>
    <t>UFE Loss $ - RPP 1588</t>
  </si>
  <si>
    <t>HOEP</t>
  </si>
  <si>
    <t>1588 Principal</t>
  </si>
  <si>
    <t>True-Up (if applicable)</t>
  </si>
  <si>
    <t>Submissions:</t>
  </si>
  <si>
    <t>kWh with loss per BL8171 Summary</t>
  </si>
  <si>
    <t>Class A kWh</t>
  </si>
  <si>
    <t>RPP Recalc</t>
  </si>
  <si>
    <t>Revised:</t>
  </si>
  <si>
    <t>1589 Principal</t>
  </si>
  <si>
    <t>Price Var. - Non-RPP 1589 Check</t>
  </si>
  <si>
    <t>Summary - Monthly:</t>
  </si>
  <si>
    <t>Summary - Annual:</t>
  </si>
  <si>
    <t>Price Var. Non-RPP 1589</t>
  </si>
  <si>
    <t>1589 Submitted</t>
  </si>
  <si>
    <t>TSL - No Generation</t>
  </si>
  <si>
    <t>Note 5</t>
  </si>
  <si>
    <t>Notes:</t>
  </si>
  <si>
    <t>CIS billed data - Cl B Non-RPP kWh tab</t>
  </si>
  <si>
    <t>Wholesale kWh - Retail kWh</t>
  </si>
  <si>
    <t>Monthly billed kWh * HOEP</t>
  </si>
  <si>
    <t>Volume Diff * Weighted Average Price</t>
  </si>
  <si>
    <t>RPP/Non-RPP</t>
  </si>
  <si>
    <t>Check vs. HOEP Averages - OK (2.36, 1.66, 1.58, 2.43)</t>
  </si>
  <si>
    <t>Historical Years</t>
  </si>
  <si>
    <t>5-Year Average</t>
  </si>
  <si>
    <t>Losses Within Distributor's System</t>
  </si>
  <si>
    <t>A(1)</t>
  </si>
  <si>
    <t>"Wholesale" kWh delivered to distributor (higher value)</t>
  </si>
  <si>
    <t>A(2)</t>
  </si>
  <si>
    <t>"Wholesale" kWh delivered to distributor (lower value)</t>
  </si>
  <si>
    <t>Portion of "Wholesale" kWh delivered to distributor for its Large Use Customer(s)</t>
  </si>
  <si>
    <r>
      <t xml:space="preserve">Net "Wholesale" kWh delivered to distributor  = </t>
    </r>
    <r>
      <rPr>
        <b/>
        <sz val="10"/>
        <rFont val="Arial"/>
        <family val="2"/>
      </rPr>
      <t>A(2) - B</t>
    </r>
  </si>
  <si>
    <t>"Retail" kWh delivered by distributor</t>
  </si>
  <si>
    <t>Portion of "Retail" kWh delivered by distributor to its Large Use Customer(s)</t>
  </si>
  <si>
    <r>
      <t xml:space="preserve">Net "Retail" kWh delivered by distributor = </t>
    </r>
    <r>
      <rPr>
        <b/>
        <sz val="10"/>
        <rFont val="Arial"/>
        <family val="2"/>
      </rPr>
      <t>D - E</t>
    </r>
  </si>
  <si>
    <r>
      <t xml:space="preserve">Loss Factor in Distributor's system = </t>
    </r>
    <r>
      <rPr>
        <b/>
        <sz val="10"/>
        <rFont val="Arial"/>
        <family val="2"/>
      </rPr>
      <t>C / F</t>
    </r>
  </si>
  <si>
    <t>Losses Upstream of Distributor's System</t>
  </si>
  <si>
    <t>Supply Facilities Loss Factor</t>
  </si>
  <si>
    <t>Total Losses</t>
  </si>
  <si>
    <r>
      <t xml:space="preserve">Total Loss Factor = </t>
    </r>
    <r>
      <rPr>
        <b/>
        <sz val="10"/>
        <rFont val="Arial"/>
        <family val="2"/>
      </rPr>
      <t>G x H</t>
    </r>
  </si>
  <si>
    <t>Wholesale kWh per IESO invoice recalc multiplied at retail kWh split</t>
  </si>
  <si>
    <t>Wholesale kWh - Class B</t>
  </si>
  <si>
    <t>kWh Delivered (Wholesale kWh / Actual loss factor)</t>
  </si>
  <si>
    <t>Loss Factor</t>
  </si>
  <si>
    <t>Utilismart</t>
  </si>
  <si>
    <t>Wholesale kWh less actual losses, uplifted at approved loss factor</t>
  </si>
  <si>
    <t>Excludes WMP</t>
  </si>
  <si>
    <t>Consumption Recalc 1</t>
  </si>
  <si>
    <t>Consumption Recalc 2</t>
  </si>
  <si>
    <t>Retail kWh (uplifted)</t>
  </si>
  <si>
    <t>Actual loss factor</t>
  </si>
  <si>
    <t>RPP kWh</t>
  </si>
  <si>
    <t>Non-RPP kWh</t>
  </si>
  <si>
    <t>Check vs. 2018 actuals - seems OK</t>
  </si>
  <si>
    <t>January 2015 - March 2017 estimated based on # of days in period</t>
  </si>
  <si>
    <t>Embedded Generation</t>
  </si>
  <si>
    <t>Wholesale kWh Calculation</t>
  </si>
  <si>
    <t>Class B kWh</t>
  </si>
  <si>
    <t>CT148 per IESO Invoice</t>
  </si>
  <si>
    <t>Class B kWh Estimate</t>
  </si>
  <si>
    <t>Check</t>
  </si>
  <si>
    <t>Estimate</t>
  </si>
  <si>
    <t>RPP Revenue Recalc</t>
  </si>
  <si>
    <t>RPP Billed (Per Settlement)</t>
  </si>
  <si>
    <t>Billed kWh</t>
  </si>
  <si>
    <t>TOU - OFF</t>
  </si>
  <si>
    <t>TOU - MID</t>
  </si>
  <si>
    <t>TOU - ON</t>
  </si>
  <si>
    <t>Billed $</t>
  </si>
  <si>
    <t>Rate Check</t>
  </si>
  <si>
    <t>Billed % Split vs. Consumption %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</si>
</sst>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_(* #,##0.00_);_(* \(#,##0.00\);_(* &quot;-&quot;??_);_(@_)"/>
    <numFmt numFmtId="165" formatCode="_(* #,##0_);_(* \(#,##0\);_(* &quot;-&quot;??_);_(@_)"/>
    <numFmt numFmtId="166" formatCode="[$-409]mmm\-yy;@"/>
    <numFmt numFmtId="167" formatCode="_(* #,##0.00000_);_(* \(#,##0.00000\);_(* &quot;-&quot;??_);_(@_)"/>
    <numFmt numFmtId="168" formatCode="_-* #,##0_-;\-* #,##0_-;_-* &quot;-&quot;??_-;_-@_-"/>
    <numFmt numFmtId="169" formatCode="_(* #,##0_);_(* \(#,##0\);_(* &quot;-&quot;_);_(@_)"/>
    <numFmt numFmtId="170" formatCode="_-* #,##0.00000_-;\-* #,##0.00000_-;_-* &quot;-&quot;??_-;_-@_-"/>
    <numFmt numFmtId="171" formatCode="0.0000"/>
    <numFmt numFmtId="172" formatCode="_-* #,##0.0000_-;\-* #,##0.0000_-;_-* &quot;-&quot;??_-;_-@_-"/>
    <numFmt numFmtId="173" formatCode="0.0%"/>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color rgb="FFFF0000"/>
      <name val="Calibri"/>
      <family val="2"/>
      <scheme val="minor"/>
    </font>
    <font>
      <sz val="10"/>
      <name val="Arial"/>
      <family val="2"/>
    </font>
    <font>
      <b/>
      <sz val="12"/>
      <name val="Arial"/>
      <family val="2"/>
    </font>
    <font>
      <sz val="9"/>
      <color indexed="81"/>
      <name val="Tahoma"/>
      <family val="2"/>
    </font>
    <font>
      <b/>
      <sz val="9"/>
      <color indexed="81"/>
      <name val="Tahoma"/>
      <family val="2"/>
    </font>
    <font>
      <b/>
      <sz val="11"/>
      <name val="Calibri"/>
      <family val="2"/>
      <scheme val="minor"/>
    </font>
    <font>
      <sz val="12"/>
      <color theme="1"/>
      <name val="Arial"/>
      <family val="2"/>
    </font>
    <font>
      <sz val="12"/>
      <color indexed="8"/>
      <name val="Comic Sans MS"/>
      <family val="4"/>
    </font>
    <font>
      <sz val="12"/>
      <color indexed="8"/>
      <name val="Arial"/>
      <family val="2"/>
    </font>
    <font>
      <b/>
      <sz val="12"/>
      <color indexed="8"/>
      <name val="Comic Sans MS"/>
      <family val="4"/>
    </font>
    <font>
      <sz val="12"/>
      <name val="Comic Sans MS"/>
      <family val="4"/>
    </font>
    <font>
      <b/>
      <sz val="12"/>
      <name val="Comic Sans MS"/>
      <family val="4"/>
    </font>
    <font>
      <b/>
      <sz val="12"/>
      <color rgb="FF0070C0"/>
      <name val="Comic Sans MS"/>
      <family val="4"/>
    </font>
    <font>
      <sz val="12"/>
      <color rgb="FF0070C0"/>
      <name val="Comic Sans MS"/>
      <family val="4"/>
    </font>
    <font>
      <i/>
      <sz val="12"/>
      <color rgb="FF0070C0"/>
      <name val="Comic Sans MS"/>
      <family val="4"/>
    </font>
    <font>
      <b/>
      <i/>
      <sz val="11"/>
      <name val="Calibri"/>
      <family val="2"/>
      <scheme val="minor"/>
    </font>
    <font>
      <sz val="11"/>
      <color rgb="FF0070C0"/>
      <name val="Calibri"/>
      <family val="2"/>
      <scheme val="minor"/>
    </font>
    <font>
      <sz val="11"/>
      <color rgb="FFFF0000"/>
      <name val="Calibri"/>
      <family val="2"/>
      <scheme val="minor"/>
    </font>
    <font>
      <sz val="10"/>
      <name val="Tahoma"/>
      <family val="2"/>
    </font>
    <font>
      <b/>
      <sz val="11"/>
      <color rgb="FF0070C0"/>
      <name val="Calibri"/>
      <family val="2"/>
      <scheme val="minor"/>
    </font>
    <font>
      <b/>
      <sz val="10"/>
      <name val="Arial"/>
      <family val="2"/>
    </font>
    <font>
      <b/>
      <i/>
      <sz val="10"/>
      <name val="Arial"/>
      <family val="2"/>
    </font>
  </fonts>
  <fills count="1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9999"/>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indexed="2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0" tint="-0.249977111117893"/>
        <bgColor indexed="64"/>
      </patternFill>
    </fill>
  </fills>
  <borders count="45">
    <border>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xf numFmtId="43" fontId="1" fillId="0" borderId="0" applyFont="0" applyFill="0" applyBorder="0" applyAlignment="0" applyProtection="0"/>
    <xf numFmtId="164" fontId="1" fillId="0" borderId="0" applyFont="0" applyFill="0" applyBorder="0" applyAlignment="0" applyProtection="0"/>
    <xf numFmtId="0" fontId="5" fillId="0" borderId="0"/>
    <xf numFmtId="0" fontId="10" fillId="0" borderId="0"/>
    <xf numFmtId="9" fontId="12" fillId="0" borderId="0" applyFont="0" applyFill="0" applyBorder="0" applyAlignment="0" applyProtection="0"/>
    <xf numFmtId="43" fontId="12" fillId="0" borderId="0" applyFont="0" applyFill="0" applyBorder="0" applyAlignment="0" applyProtection="0"/>
    <xf numFmtId="9" fontId="1" fillId="0" borderId="0" applyFont="0" applyFill="0" applyBorder="0" applyAlignment="0" applyProtection="0"/>
  </cellStyleXfs>
  <cellXfs count="355">
    <xf numFmtId="0" fontId="0" fillId="0" borderId="0" xfId="0"/>
    <xf numFmtId="0" fontId="2" fillId="0" borderId="0" xfId="0" applyFont="1"/>
    <xf numFmtId="0" fontId="2" fillId="2" borderId="0" xfId="0" applyFont="1" applyFill="1"/>
    <xf numFmtId="0" fontId="0" fillId="2" borderId="0" xfId="0" applyFill="1"/>
    <xf numFmtId="0" fontId="2" fillId="2" borderId="0" xfId="0" applyFont="1" applyFill="1" applyAlignment="1">
      <alignment horizontal="center"/>
    </xf>
    <xf numFmtId="0" fontId="0" fillId="2" borderId="0" xfId="0" quotePrefix="1" applyFill="1"/>
    <xf numFmtId="0" fontId="4" fillId="2" borderId="0" xfId="0" applyFont="1" applyFill="1" applyAlignment="1">
      <alignment horizontal="center"/>
    </xf>
    <xf numFmtId="0" fontId="0" fillId="4" borderId="0" xfId="0" applyFill="1"/>
    <xf numFmtId="0" fontId="3" fillId="0" borderId="0" xfId="0" applyFont="1"/>
    <xf numFmtId="0" fontId="3" fillId="0" borderId="0" xfId="0" applyFont="1" applyFill="1"/>
    <xf numFmtId="0" fontId="0" fillId="0" borderId="0" xfId="0" applyFill="1"/>
    <xf numFmtId="49" fontId="5" fillId="0" borderId="0" xfId="0" applyNumberFormat="1" applyFont="1" applyFill="1" applyAlignment="1">
      <alignment horizontal="left"/>
    </xf>
    <xf numFmtId="49" fontId="5" fillId="0" borderId="0" xfId="0" quotePrefix="1" applyNumberFormat="1" applyFont="1" applyFill="1" applyAlignment="1">
      <alignment horizontal="left"/>
    </xf>
    <xf numFmtId="168" fontId="0" fillId="0" borderId="0" xfId="1" applyNumberFormat="1" applyFont="1"/>
    <xf numFmtId="168" fontId="3" fillId="0" borderId="0" xfId="1" applyNumberFormat="1" applyFont="1" applyFill="1"/>
    <xf numFmtId="0" fontId="11" fillId="0" borderId="0" xfId="4" applyFont="1"/>
    <xf numFmtId="0" fontId="13" fillId="0" borderId="0" xfId="4" applyFont="1"/>
    <xf numFmtId="43" fontId="11" fillId="0" borderId="0" xfId="6" applyFont="1" applyBorder="1"/>
    <xf numFmtId="43" fontId="14" fillId="0" borderId="0" xfId="6" applyFont="1" applyBorder="1"/>
    <xf numFmtId="0" fontId="14" fillId="0" borderId="11" xfId="4" applyFont="1" applyBorder="1"/>
    <xf numFmtId="43" fontId="11" fillId="0" borderId="0" xfId="4" applyNumberFormat="1" applyFont="1"/>
    <xf numFmtId="43" fontId="14" fillId="0" borderId="0" xfId="6" applyFont="1" applyFill="1" applyBorder="1"/>
    <xf numFmtId="164" fontId="11" fillId="0" borderId="0" xfId="4" applyNumberFormat="1" applyFont="1" applyBorder="1"/>
    <xf numFmtId="0" fontId="15" fillId="0" borderId="5" xfId="4" applyFont="1" applyBorder="1" applyAlignment="1">
      <alignment horizontal="center"/>
    </xf>
    <xf numFmtId="0" fontId="9" fillId="2" borderId="0" xfId="0" applyFont="1" applyFill="1" applyAlignment="1">
      <alignment horizontal="center"/>
    </xf>
    <xf numFmtId="0" fontId="3" fillId="2" borderId="0" xfId="0" applyFont="1" applyFill="1" applyAlignment="1">
      <alignment horizontal="left"/>
    </xf>
    <xf numFmtId="168" fontId="9" fillId="3" borderId="15" xfId="1" applyNumberFormat="1" applyFont="1" applyFill="1" applyBorder="1" applyAlignment="1">
      <alignment horizontal="center" wrapText="1"/>
    </xf>
    <xf numFmtId="168" fontId="9" fillId="7" borderId="15" xfId="1" applyNumberFormat="1" applyFont="1" applyFill="1" applyBorder="1" applyAlignment="1">
      <alignment horizontal="center" wrapText="1"/>
    </xf>
    <xf numFmtId="168" fontId="9" fillId="7" borderId="16" xfId="1" applyNumberFormat="1" applyFont="1" applyFill="1" applyBorder="1" applyAlignment="1">
      <alignment horizontal="center" wrapText="1"/>
    </xf>
    <xf numFmtId="168" fontId="9" fillId="7" borderId="17" xfId="1" applyNumberFormat="1" applyFont="1" applyFill="1" applyBorder="1" applyAlignment="1">
      <alignment horizontal="center" wrapText="1"/>
    </xf>
    <xf numFmtId="169" fontId="3" fillId="2" borderId="0" xfId="1" applyNumberFormat="1" applyFont="1" applyFill="1"/>
    <xf numFmtId="169" fontId="3" fillId="2" borderId="8" xfId="1" applyNumberFormat="1" applyFont="1" applyFill="1" applyBorder="1"/>
    <xf numFmtId="168" fontId="9" fillId="2" borderId="0" xfId="1" applyNumberFormat="1" applyFont="1" applyFill="1"/>
    <xf numFmtId="168" fontId="3" fillId="2" borderId="0" xfId="1" applyNumberFormat="1" applyFont="1" applyFill="1"/>
    <xf numFmtId="169" fontId="3" fillId="2" borderId="0" xfId="1" applyNumberFormat="1" applyFont="1" applyFill="1" applyAlignment="1">
      <alignment horizontal="center"/>
    </xf>
    <xf numFmtId="169" fontId="3" fillId="2" borderId="8" xfId="1" quotePrefix="1" applyNumberFormat="1" applyFont="1" applyFill="1" applyBorder="1" applyAlignment="1">
      <alignment horizontal="center"/>
    </xf>
    <xf numFmtId="169" fontId="3" fillId="2" borderId="7" xfId="1" applyNumberFormat="1" applyFont="1" applyFill="1" applyBorder="1"/>
    <xf numFmtId="169" fontId="9" fillId="2" borderId="7" xfId="1" applyNumberFormat="1" applyFont="1" applyFill="1" applyBorder="1"/>
    <xf numFmtId="17" fontId="3" fillId="2" borderId="0" xfId="0" applyNumberFormat="1" applyFont="1" applyFill="1"/>
    <xf numFmtId="168" fontId="0" fillId="2" borderId="0" xfId="1" quotePrefix="1" applyNumberFormat="1" applyFont="1" applyFill="1"/>
    <xf numFmtId="168" fontId="0" fillId="2" borderId="0" xfId="1" applyNumberFormat="1" applyFont="1" applyFill="1"/>
    <xf numFmtId="169" fontId="3" fillId="2" borderId="21" xfId="1" applyNumberFormat="1" applyFont="1" applyFill="1" applyBorder="1"/>
    <xf numFmtId="169" fontId="3" fillId="2" borderId="0" xfId="1" applyNumberFormat="1" applyFont="1" applyFill="1" applyBorder="1"/>
    <xf numFmtId="169" fontId="3" fillId="2" borderId="18" xfId="1" applyNumberFormat="1" applyFont="1" applyFill="1" applyBorder="1"/>
    <xf numFmtId="169" fontId="3" fillId="2" borderId="28" xfId="1" applyNumberFormat="1" applyFont="1" applyFill="1" applyBorder="1"/>
    <xf numFmtId="169" fontId="3" fillId="6" borderId="26" xfId="1" applyNumberFormat="1" applyFont="1" applyFill="1" applyBorder="1"/>
    <xf numFmtId="169" fontId="3" fillId="6" borderId="8" xfId="1" applyNumberFormat="1" applyFont="1" applyFill="1" applyBorder="1"/>
    <xf numFmtId="169" fontId="3" fillId="6" borderId="27" xfId="1" applyNumberFormat="1" applyFont="1" applyFill="1" applyBorder="1"/>
    <xf numFmtId="169" fontId="3" fillId="2" borderId="27" xfId="1" applyNumberFormat="1" applyFont="1" applyFill="1" applyBorder="1"/>
    <xf numFmtId="169" fontId="3" fillId="2" borderId="25" xfId="1" applyNumberFormat="1" applyFont="1" applyFill="1" applyBorder="1"/>
    <xf numFmtId="168" fontId="9" fillId="2" borderId="8" xfId="1" applyNumberFormat="1" applyFont="1" applyFill="1" applyBorder="1" applyAlignment="1">
      <alignment horizontal="center" wrapText="1"/>
    </xf>
    <xf numFmtId="168" fontId="4" fillId="0" borderId="0" xfId="1" applyNumberFormat="1" applyFont="1" applyFill="1" applyAlignment="1">
      <alignment horizontal="center"/>
    </xf>
    <xf numFmtId="0" fontId="4" fillId="2" borderId="0" xfId="0" applyFont="1" applyFill="1"/>
    <xf numFmtId="168" fontId="4" fillId="2" borderId="0" xfId="1" applyNumberFormat="1" applyFont="1" applyFill="1" applyAlignment="1">
      <alignment horizontal="center"/>
    </xf>
    <xf numFmtId="168" fontId="0" fillId="2" borderId="0" xfId="1" applyNumberFormat="1" applyFont="1" applyFill="1" applyBorder="1"/>
    <xf numFmtId="0" fontId="0" fillId="2" borderId="0" xfId="1" applyNumberFormat="1" applyFont="1" applyFill="1" applyAlignment="1">
      <alignment wrapText="1"/>
    </xf>
    <xf numFmtId="168" fontId="2" fillId="2" borderId="0" xfId="1" applyNumberFormat="1" applyFont="1" applyFill="1"/>
    <xf numFmtId="168" fontId="4" fillId="2" borderId="0" xfId="1" applyNumberFormat="1" applyFont="1" applyFill="1" applyAlignment="1">
      <alignment wrapText="1"/>
    </xf>
    <xf numFmtId="0" fontId="2" fillId="0" borderId="0" xfId="0" applyFont="1" applyFill="1"/>
    <xf numFmtId="0" fontId="2" fillId="0" borderId="0" xfId="0" applyFont="1" applyFill="1" applyAlignment="1">
      <alignment wrapText="1"/>
    </xf>
    <xf numFmtId="0" fontId="14" fillId="0" borderId="0" xfId="4" applyFont="1"/>
    <xf numFmtId="0" fontId="15" fillId="0" borderId="12" xfId="4" applyFont="1" applyBorder="1"/>
    <xf numFmtId="166" fontId="6" fillId="0" borderId="4" xfId="4" applyNumberFormat="1" applyFont="1" applyBorder="1" applyAlignment="1">
      <alignment horizontal="center"/>
    </xf>
    <xf numFmtId="0" fontId="14" fillId="0" borderId="14" xfId="4" applyFont="1" applyBorder="1"/>
    <xf numFmtId="43" fontId="14" fillId="0" borderId="14" xfId="6" applyFont="1" applyBorder="1"/>
    <xf numFmtId="0" fontId="16" fillId="0" borderId="11" xfId="4" applyFont="1" applyBorder="1"/>
    <xf numFmtId="0" fontId="17" fillId="0" borderId="0" xfId="4" applyFont="1" applyBorder="1"/>
    <xf numFmtId="0" fontId="17" fillId="0" borderId="14" xfId="4" applyFont="1" applyBorder="1"/>
    <xf numFmtId="0" fontId="17" fillId="0" borderId="0" xfId="4" applyFont="1"/>
    <xf numFmtId="43" fontId="15" fillId="0" borderId="2" xfId="6" applyFont="1" applyBorder="1"/>
    <xf numFmtId="43" fontId="15" fillId="0" borderId="0" xfId="6" applyFont="1" applyBorder="1"/>
    <xf numFmtId="0" fontId="13" fillId="0" borderId="0" xfId="4" applyFont="1" applyBorder="1"/>
    <xf numFmtId="0" fontId="16" fillId="0" borderId="0" xfId="4" applyFont="1"/>
    <xf numFmtId="165" fontId="3" fillId="0" borderId="11" xfId="2" applyNumberFormat="1" applyFont="1" applyFill="1" applyBorder="1"/>
    <xf numFmtId="167" fontId="3" fillId="0" borderId="0" xfId="2" applyNumberFormat="1" applyFont="1" applyFill="1" applyBorder="1"/>
    <xf numFmtId="165" fontId="3" fillId="0" borderId="0" xfId="2" applyNumberFormat="1" applyFont="1" applyFill="1"/>
    <xf numFmtId="49" fontId="3" fillId="0" borderId="0" xfId="0" applyNumberFormat="1" applyFont="1" applyFill="1" applyAlignment="1">
      <alignment horizontal="left"/>
    </xf>
    <xf numFmtId="49" fontId="9" fillId="0" borderId="0" xfId="0" applyNumberFormat="1" applyFont="1" applyFill="1" applyAlignment="1">
      <alignment horizontal="left"/>
    </xf>
    <xf numFmtId="165" fontId="9" fillId="0" borderId="17" xfId="2" applyNumberFormat="1" applyFont="1" applyFill="1" applyBorder="1" applyAlignment="1">
      <alignment horizontal="center" wrapText="1"/>
    </xf>
    <xf numFmtId="165" fontId="9" fillId="0" borderId="15" xfId="2" applyNumberFormat="1" applyFont="1" applyFill="1" applyBorder="1" applyAlignment="1">
      <alignment horizontal="center" wrapText="1"/>
    </xf>
    <xf numFmtId="165" fontId="9" fillId="0" borderId="0" xfId="2" applyNumberFormat="1" applyFont="1" applyFill="1" applyBorder="1" applyAlignment="1">
      <alignment horizontal="center" vertical="center" wrapText="1"/>
    </xf>
    <xf numFmtId="49" fontId="19" fillId="0" borderId="0" xfId="0" applyNumberFormat="1" applyFont="1" applyFill="1" applyAlignment="1">
      <alignment horizontal="left"/>
    </xf>
    <xf numFmtId="0" fontId="19" fillId="0" borderId="11" xfId="0" applyFont="1" applyFill="1" applyBorder="1"/>
    <xf numFmtId="0" fontId="19" fillId="0" borderId="0" xfId="0" applyFont="1" applyFill="1" applyBorder="1"/>
    <xf numFmtId="0" fontId="19" fillId="0" borderId="14" xfId="0" applyFont="1" applyFill="1" applyBorder="1"/>
    <xf numFmtId="0" fontId="19" fillId="0" borderId="10" xfId="0" applyFont="1" applyFill="1" applyBorder="1"/>
    <xf numFmtId="0" fontId="19" fillId="0" borderId="0" xfId="0" applyFont="1" applyFill="1"/>
    <xf numFmtId="168" fontId="19" fillId="0" borderId="0" xfId="1" applyNumberFormat="1" applyFont="1" applyFill="1"/>
    <xf numFmtId="165" fontId="3" fillId="0" borderId="0" xfId="2" applyNumberFormat="1" applyFont="1" applyFill="1" applyBorder="1"/>
    <xf numFmtId="165" fontId="3" fillId="0" borderId="14" xfId="2" applyNumberFormat="1" applyFont="1" applyFill="1" applyBorder="1"/>
    <xf numFmtId="165" fontId="3" fillId="0" borderId="10" xfId="2" applyNumberFormat="1" applyFont="1" applyFill="1" applyBorder="1"/>
    <xf numFmtId="49" fontId="3" fillId="0" borderId="0" xfId="0" applyNumberFormat="1" applyFont="1" applyFill="1"/>
    <xf numFmtId="49" fontId="4" fillId="0" borderId="0" xfId="0" applyNumberFormat="1" applyFont="1" applyFill="1" applyAlignment="1">
      <alignment horizontal="left"/>
    </xf>
    <xf numFmtId="49" fontId="4" fillId="0" borderId="0" xfId="0" applyNumberFormat="1" applyFont="1" applyFill="1" applyAlignment="1">
      <alignment horizontal="center"/>
    </xf>
    <xf numFmtId="0" fontId="4" fillId="0" borderId="0" xfId="0" applyFont="1" applyFill="1" applyAlignment="1">
      <alignment horizontal="center"/>
    </xf>
    <xf numFmtId="0" fontId="2" fillId="2" borderId="0" xfId="0" applyFont="1" applyFill="1" applyAlignment="1">
      <alignment horizontal="center" wrapText="1"/>
    </xf>
    <xf numFmtId="168" fontId="9" fillId="3" borderId="16" xfId="1" applyNumberFormat="1" applyFont="1" applyFill="1" applyBorder="1" applyAlignment="1">
      <alignment horizontal="center" wrapText="1"/>
    </xf>
    <xf numFmtId="168" fontId="9" fillId="3" borderId="17" xfId="1" applyNumberFormat="1" applyFont="1" applyFill="1" applyBorder="1" applyAlignment="1">
      <alignment horizontal="center" wrapText="1"/>
    </xf>
    <xf numFmtId="168" fontId="2" fillId="5" borderId="15" xfId="1" applyNumberFormat="1" applyFont="1" applyFill="1" applyBorder="1" applyAlignment="1">
      <alignment horizontal="center" wrapText="1"/>
    </xf>
    <xf numFmtId="168" fontId="2" fillId="5" borderId="16" xfId="1" applyNumberFormat="1" applyFont="1" applyFill="1" applyBorder="1" applyAlignment="1">
      <alignment horizontal="center" wrapText="1"/>
    </xf>
    <xf numFmtId="0" fontId="9" fillId="5" borderId="16" xfId="1" applyNumberFormat="1" applyFont="1" applyFill="1" applyBorder="1" applyAlignment="1">
      <alignment horizontal="center" wrapText="1"/>
    </xf>
    <xf numFmtId="168" fontId="2" fillId="5" borderId="17" xfId="1" applyNumberFormat="1" applyFont="1" applyFill="1" applyBorder="1" applyAlignment="1">
      <alignment horizontal="center" wrapText="1"/>
    </xf>
    <xf numFmtId="49" fontId="3" fillId="0" borderId="11" xfId="0" applyNumberFormat="1" applyFont="1" applyFill="1" applyBorder="1" applyAlignment="1">
      <alignment horizontal="left" wrapText="1"/>
    </xf>
    <xf numFmtId="165" fontId="9" fillId="0" borderId="19" xfId="2" applyNumberFormat="1" applyFont="1" applyFill="1" applyBorder="1" applyAlignment="1">
      <alignment horizontal="center" wrapText="1"/>
    </xf>
    <xf numFmtId="165" fontId="9" fillId="0" borderId="0" xfId="2" applyNumberFormat="1" applyFont="1" applyFill="1" applyBorder="1" applyAlignment="1">
      <alignment horizontal="center" wrapText="1"/>
    </xf>
    <xf numFmtId="168" fontId="3" fillId="0" borderId="0" xfId="1" applyNumberFormat="1" applyFont="1" applyFill="1" applyAlignment="1">
      <alignment wrapText="1"/>
    </xf>
    <xf numFmtId="0" fontId="3" fillId="0" borderId="0" xfId="0" applyFont="1" applyFill="1" applyAlignment="1">
      <alignment wrapText="1"/>
    </xf>
    <xf numFmtId="49" fontId="3" fillId="0" borderId="15" xfId="0" applyNumberFormat="1" applyFont="1" applyFill="1" applyBorder="1" applyAlignment="1">
      <alignment horizontal="left" wrapText="1"/>
    </xf>
    <xf numFmtId="49" fontId="4" fillId="0" borderId="0" xfId="0" applyNumberFormat="1" applyFont="1" applyFill="1"/>
    <xf numFmtId="165" fontId="3" fillId="0" borderId="15" xfId="2" applyNumberFormat="1" applyFont="1" applyFill="1" applyBorder="1"/>
    <xf numFmtId="167" fontId="3" fillId="0" borderId="16" xfId="2" applyNumberFormat="1" applyFont="1" applyFill="1" applyBorder="1"/>
    <xf numFmtId="165" fontId="3" fillId="0" borderId="17" xfId="2" applyNumberFormat="1" applyFont="1" applyFill="1" applyBorder="1"/>
    <xf numFmtId="165" fontId="3" fillId="0" borderId="16" xfId="2" applyNumberFormat="1" applyFont="1" applyFill="1" applyBorder="1"/>
    <xf numFmtId="165" fontId="3" fillId="0" borderId="20" xfId="2" applyNumberFormat="1" applyFont="1" applyFill="1" applyBorder="1"/>
    <xf numFmtId="164" fontId="9" fillId="0" borderId="16" xfId="2" applyFont="1" applyFill="1" applyBorder="1" applyAlignment="1">
      <alignment horizontal="center" wrapText="1"/>
    </xf>
    <xf numFmtId="165" fontId="9" fillId="0" borderId="3" xfId="2" applyNumberFormat="1" applyFont="1" applyFill="1" applyBorder="1" applyAlignment="1">
      <alignment horizontal="center" wrapText="1"/>
    </xf>
    <xf numFmtId="165" fontId="9" fillId="0" borderId="5" xfId="2" applyNumberFormat="1" applyFont="1" applyFill="1" applyBorder="1" applyAlignment="1">
      <alignment horizontal="center" wrapText="1"/>
    </xf>
    <xf numFmtId="165" fontId="9" fillId="0" borderId="4" xfId="2" applyNumberFormat="1" applyFont="1" applyFill="1" applyBorder="1" applyAlignment="1">
      <alignment horizontal="center" wrapText="1"/>
    </xf>
    <xf numFmtId="0" fontId="18" fillId="8" borderId="0" xfId="4" applyFont="1" applyFill="1" applyBorder="1"/>
    <xf numFmtId="166" fontId="6" fillId="8" borderId="4" xfId="4" applyNumberFormat="1" applyFont="1" applyFill="1" applyBorder="1" applyAlignment="1">
      <alignment horizontal="center"/>
    </xf>
    <xf numFmtId="0" fontId="16" fillId="8" borderId="0" xfId="4" applyFont="1" applyFill="1" applyBorder="1"/>
    <xf numFmtId="43" fontId="14" fillId="8" borderId="0" xfId="1" applyFont="1" applyFill="1" applyBorder="1"/>
    <xf numFmtId="0" fontId="14" fillId="8" borderId="0" xfId="4" applyFont="1" applyFill="1" applyBorder="1"/>
    <xf numFmtId="43" fontId="15" fillId="8" borderId="2" xfId="6" applyFont="1" applyFill="1" applyBorder="1"/>
    <xf numFmtId="165" fontId="9" fillId="0" borderId="2" xfId="2" applyNumberFormat="1" applyFont="1" applyFill="1" applyBorder="1" applyAlignment="1">
      <alignment horizontal="center" wrapText="1"/>
    </xf>
    <xf numFmtId="0" fontId="4" fillId="0" borderId="0" xfId="0" applyFont="1" applyFill="1" applyAlignment="1">
      <alignment horizontal="center" wrapText="1"/>
    </xf>
    <xf numFmtId="0" fontId="9" fillId="7" borderId="15" xfId="0" applyFont="1" applyFill="1" applyBorder="1" applyAlignment="1">
      <alignment horizontal="center" wrapText="1"/>
    </xf>
    <xf numFmtId="0" fontId="9" fillId="7" borderId="16" xfId="0" applyFont="1" applyFill="1" applyBorder="1" applyAlignment="1">
      <alignment horizontal="center" wrapText="1"/>
    </xf>
    <xf numFmtId="168" fontId="3" fillId="0" borderId="11" xfId="1" applyNumberFormat="1" applyFont="1" applyFill="1" applyBorder="1"/>
    <xf numFmtId="168" fontId="3" fillId="0" borderId="0" xfId="1" applyNumberFormat="1" applyFont="1" applyFill="1" applyBorder="1"/>
    <xf numFmtId="168" fontId="3" fillId="0" borderId="15" xfId="1" applyNumberFormat="1" applyFont="1" applyFill="1" applyBorder="1"/>
    <xf numFmtId="168" fontId="3" fillId="0" borderId="16" xfId="1" applyNumberFormat="1" applyFont="1" applyFill="1" applyBorder="1"/>
    <xf numFmtId="0" fontId="9" fillId="7" borderId="17" xfId="0" applyFont="1" applyFill="1" applyBorder="1" applyAlignment="1">
      <alignment horizontal="center" wrapText="1"/>
    </xf>
    <xf numFmtId="0" fontId="0" fillId="2" borderId="0" xfId="0" applyFont="1" applyFill="1"/>
    <xf numFmtId="0" fontId="0" fillId="0" borderId="0" xfId="0" applyFont="1" applyFill="1"/>
    <xf numFmtId="17" fontId="0" fillId="2" borderId="0" xfId="0" applyNumberFormat="1" applyFont="1" applyFill="1"/>
    <xf numFmtId="168" fontId="0" fillId="2" borderId="0" xfId="0" applyNumberFormat="1" applyFont="1" applyFill="1"/>
    <xf numFmtId="0" fontId="0" fillId="2" borderId="28" xfId="0" applyFont="1" applyFill="1" applyBorder="1"/>
    <xf numFmtId="0" fontId="0" fillId="2" borderId="21" xfId="0" applyFont="1" applyFill="1" applyBorder="1"/>
    <xf numFmtId="0" fontId="0" fillId="2" borderId="0" xfId="0" applyFont="1" applyFill="1" applyBorder="1"/>
    <xf numFmtId="0" fontId="0" fillId="2" borderId="18" xfId="0" applyFont="1" applyFill="1" applyBorder="1"/>
    <xf numFmtId="0" fontId="0" fillId="2" borderId="28" xfId="0" quotePrefix="1" applyFont="1" applyFill="1" applyBorder="1" applyAlignment="1">
      <alignment horizontal="center"/>
    </xf>
    <xf numFmtId="0" fontId="0" fillId="2" borderId="25" xfId="0" quotePrefix="1" applyFont="1" applyFill="1" applyBorder="1" applyAlignment="1">
      <alignment horizontal="center"/>
    </xf>
    <xf numFmtId="0" fontId="0" fillId="0" borderId="0" xfId="0" applyFont="1"/>
    <xf numFmtId="0" fontId="9" fillId="2" borderId="0" xfId="0" applyFont="1" applyFill="1"/>
    <xf numFmtId="0" fontId="9" fillId="2" borderId="24" xfId="0" applyFont="1" applyFill="1" applyBorder="1" applyAlignment="1">
      <alignment horizontal="center" wrapText="1"/>
    </xf>
    <xf numFmtId="0" fontId="9" fillId="2" borderId="25" xfId="0" applyFont="1" applyFill="1" applyBorder="1" applyAlignment="1">
      <alignment horizontal="center" wrapText="1"/>
    </xf>
    <xf numFmtId="0" fontId="9" fillId="2" borderId="26" xfId="0" applyFont="1" applyFill="1" applyBorder="1" applyAlignment="1">
      <alignment horizontal="center" wrapText="1"/>
    </xf>
    <xf numFmtId="0" fontId="9" fillId="2" borderId="8" xfId="0" applyFont="1" applyFill="1" applyBorder="1" applyAlignment="1">
      <alignment horizontal="center" wrapText="1"/>
    </xf>
    <xf numFmtId="0" fontId="9" fillId="2" borderId="27" xfId="0" applyFont="1" applyFill="1" applyBorder="1" applyAlignment="1">
      <alignment horizontal="center" wrapText="1"/>
    </xf>
    <xf numFmtId="0" fontId="9" fillId="2" borderId="9" xfId="0" applyFont="1" applyFill="1" applyBorder="1"/>
    <xf numFmtId="169" fontId="9" fillId="2" borderId="26" xfId="0" applyNumberFormat="1" applyFont="1" applyFill="1" applyBorder="1"/>
    <xf numFmtId="169" fontId="9" fillId="2" borderId="8" xfId="0" applyNumberFormat="1" applyFont="1" applyFill="1" applyBorder="1"/>
    <xf numFmtId="169" fontId="9" fillId="2" borderId="27" xfId="0" applyNumberFormat="1" applyFont="1" applyFill="1" applyBorder="1"/>
    <xf numFmtId="169" fontId="9" fillId="2" borderId="25" xfId="0" applyNumberFormat="1" applyFont="1" applyFill="1" applyBorder="1"/>
    <xf numFmtId="168" fontId="2" fillId="2" borderId="15" xfId="1" applyNumberFormat="1" applyFont="1" applyFill="1" applyBorder="1" applyAlignment="1">
      <alignment horizontal="center" wrapText="1"/>
    </xf>
    <xf numFmtId="168" fontId="2" fillId="2" borderId="17" xfId="1" applyNumberFormat="1" applyFont="1" applyFill="1" applyBorder="1" applyAlignment="1">
      <alignment horizontal="center" wrapText="1"/>
    </xf>
    <xf numFmtId="0" fontId="2" fillId="0" borderId="16" xfId="0" applyFont="1" applyBorder="1" applyAlignment="1">
      <alignment horizontal="center"/>
    </xf>
    <xf numFmtId="0" fontId="2" fillId="2" borderId="17" xfId="0" applyFont="1" applyFill="1" applyBorder="1" applyAlignment="1">
      <alignment horizontal="center"/>
    </xf>
    <xf numFmtId="0" fontId="4" fillId="0" borderId="0" xfId="0" applyFont="1" applyAlignment="1">
      <alignment horizontal="center"/>
    </xf>
    <xf numFmtId="0" fontId="0" fillId="2" borderId="21" xfId="0" quotePrefix="1" applyFont="1" applyFill="1" applyBorder="1" applyAlignment="1">
      <alignment horizontal="center"/>
    </xf>
    <xf numFmtId="168" fontId="2" fillId="2" borderId="16" xfId="1" applyNumberFormat="1" applyFont="1" applyFill="1" applyBorder="1" applyAlignment="1">
      <alignment horizontal="center" wrapText="1"/>
    </xf>
    <xf numFmtId="168" fontId="0" fillId="2" borderId="11" xfId="1" applyNumberFormat="1" applyFont="1" applyFill="1" applyBorder="1"/>
    <xf numFmtId="168" fontId="0" fillId="2" borderId="14" xfId="1" applyNumberFormat="1" applyFont="1" applyFill="1" applyBorder="1"/>
    <xf numFmtId="168" fontId="0" fillId="2" borderId="15" xfId="1" applyNumberFormat="1" applyFont="1" applyFill="1" applyBorder="1"/>
    <xf numFmtId="168" fontId="0" fillId="2" borderId="16" xfId="1" applyNumberFormat="1" applyFont="1" applyFill="1" applyBorder="1"/>
    <xf numFmtId="168" fontId="0" fillId="2" borderId="17" xfId="1" applyNumberFormat="1" applyFont="1" applyFill="1" applyBorder="1"/>
    <xf numFmtId="0" fontId="2" fillId="2" borderId="15" xfId="0" applyFont="1" applyFill="1" applyBorder="1" applyAlignment="1">
      <alignment horizontal="center" wrapText="1"/>
    </xf>
    <xf numFmtId="0" fontId="2" fillId="2" borderId="17" xfId="0" applyFont="1" applyFill="1" applyBorder="1" applyAlignment="1">
      <alignment horizontal="center" wrapText="1"/>
    </xf>
    <xf numFmtId="0" fontId="2" fillId="2" borderId="19" xfId="0" applyFont="1" applyFill="1" applyBorder="1" applyAlignment="1">
      <alignment horizontal="center"/>
    </xf>
    <xf numFmtId="0" fontId="2" fillId="2" borderId="20" xfId="0" applyFont="1" applyFill="1" applyBorder="1"/>
    <xf numFmtId="168" fontId="0" fillId="2" borderId="10" xfId="1" applyNumberFormat="1" applyFont="1" applyFill="1" applyBorder="1"/>
    <xf numFmtId="168" fontId="0" fillId="2" borderId="20" xfId="1" applyNumberFormat="1" applyFont="1" applyFill="1" applyBorder="1"/>
    <xf numFmtId="168" fontId="0" fillId="2" borderId="0" xfId="0" applyNumberFormat="1" applyFill="1"/>
    <xf numFmtId="0" fontId="4" fillId="2" borderId="0" xfId="0" applyFont="1" applyFill="1" applyAlignment="1">
      <alignment horizontal="left"/>
    </xf>
    <xf numFmtId="17" fontId="0" fillId="9" borderId="0" xfId="0" applyNumberFormat="1" applyFont="1" applyFill="1"/>
    <xf numFmtId="168" fontId="3" fillId="9" borderId="0" xfId="1" applyNumberFormat="1" applyFont="1" applyFill="1"/>
    <xf numFmtId="168" fontId="0" fillId="9" borderId="0" xfId="1" applyNumberFormat="1" applyFont="1" applyFill="1"/>
    <xf numFmtId="168" fontId="0" fillId="9" borderId="0" xfId="0" applyNumberFormat="1" applyFont="1" applyFill="1"/>
    <xf numFmtId="49" fontId="5" fillId="9" borderId="0" xfId="0" applyNumberFormat="1" applyFont="1" applyFill="1" applyAlignment="1">
      <alignment horizontal="left"/>
    </xf>
    <xf numFmtId="49" fontId="5" fillId="9" borderId="0" xfId="0" quotePrefix="1" applyNumberFormat="1" applyFont="1" applyFill="1" applyAlignment="1">
      <alignment horizontal="left"/>
    </xf>
    <xf numFmtId="165" fontId="3" fillId="9" borderId="11" xfId="2" applyNumberFormat="1" applyFont="1" applyFill="1" applyBorder="1"/>
    <xf numFmtId="167" fontId="3" fillId="9" borderId="0" xfId="2" applyNumberFormat="1" applyFont="1" applyFill="1" applyBorder="1"/>
    <xf numFmtId="165" fontId="3" fillId="9" borderId="14" xfId="2" applyNumberFormat="1" applyFont="1" applyFill="1" applyBorder="1"/>
    <xf numFmtId="165" fontId="3" fillId="9" borderId="0" xfId="2" applyNumberFormat="1" applyFont="1" applyFill="1" applyBorder="1"/>
    <xf numFmtId="165" fontId="3" fillId="9" borderId="10" xfId="2" applyNumberFormat="1" applyFont="1" applyFill="1" applyBorder="1"/>
    <xf numFmtId="168" fontId="3" fillId="9" borderId="11" xfId="1" applyNumberFormat="1" applyFont="1" applyFill="1" applyBorder="1"/>
    <xf numFmtId="168" fontId="3" fillId="9" borderId="0" xfId="1" applyNumberFormat="1" applyFont="1" applyFill="1" applyBorder="1"/>
    <xf numFmtId="0" fontId="14" fillId="9" borderId="11" xfId="4" applyFont="1" applyFill="1" applyBorder="1"/>
    <xf numFmtId="43" fontId="14" fillId="9" borderId="0" xfId="6" applyFont="1" applyFill="1" applyBorder="1"/>
    <xf numFmtId="43" fontId="14" fillId="9" borderId="14" xfId="6" applyFont="1" applyFill="1" applyBorder="1"/>
    <xf numFmtId="168" fontId="3" fillId="0" borderId="14" xfId="1" applyNumberFormat="1" applyFont="1" applyFill="1" applyBorder="1"/>
    <xf numFmtId="168" fontId="3" fillId="9" borderId="14" xfId="1" applyNumberFormat="1" applyFont="1" applyFill="1" applyBorder="1"/>
    <xf numFmtId="168" fontId="3" fillId="0" borderId="17" xfId="1" applyNumberFormat="1" applyFont="1" applyFill="1" applyBorder="1"/>
    <xf numFmtId="43" fontId="15" fillId="9" borderId="2" xfId="6" applyFont="1" applyFill="1" applyBorder="1"/>
    <xf numFmtId="0" fontId="0" fillId="0" borderId="0" xfId="0" applyAlignment="1">
      <alignment vertical="center"/>
    </xf>
    <xf numFmtId="168" fontId="0" fillId="2" borderId="8" xfId="1" applyNumberFormat="1" applyFont="1" applyFill="1" applyBorder="1"/>
    <xf numFmtId="0" fontId="2" fillId="2" borderId="3" xfId="0" applyFont="1" applyFill="1" applyBorder="1"/>
    <xf numFmtId="0" fontId="0" fillId="2" borderId="4" xfId="0" applyFill="1" applyBorder="1"/>
    <xf numFmtId="168" fontId="2" fillId="2" borderId="5" xfId="1" applyNumberFormat="1" applyFont="1" applyFill="1" applyBorder="1" applyAlignment="1">
      <alignment horizontal="center"/>
    </xf>
    <xf numFmtId="0" fontId="0" fillId="2" borderId="0" xfId="0" applyFill="1" applyBorder="1"/>
    <xf numFmtId="0" fontId="0" fillId="6" borderId="0" xfId="0" applyFill="1" applyBorder="1"/>
    <xf numFmtId="0" fontId="2" fillId="2" borderId="0" xfId="0" applyFont="1" applyFill="1" applyBorder="1"/>
    <xf numFmtId="0" fontId="2" fillId="2" borderId="21" xfId="0" applyFont="1" applyFill="1" applyBorder="1"/>
    <xf numFmtId="168" fontId="2" fillId="2" borderId="18" xfId="1" applyNumberFormat="1" applyFont="1" applyFill="1" applyBorder="1" applyAlignment="1">
      <alignment horizontal="center"/>
    </xf>
    <xf numFmtId="0" fontId="0" fillId="2" borderId="21" xfId="0" applyFill="1" applyBorder="1"/>
    <xf numFmtId="168" fontId="0" fillId="2" borderId="18" xfId="1" applyNumberFormat="1" applyFont="1" applyFill="1" applyBorder="1"/>
    <xf numFmtId="168" fontId="0" fillId="6" borderId="18" xfId="1" applyNumberFormat="1" applyFont="1" applyFill="1" applyBorder="1"/>
    <xf numFmtId="168" fontId="0" fillId="6" borderId="27" xfId="1" applyNumberFormat="1" applyFont="1" applyFill="1" applyBorder="1"/>
    <xf numFmtId="168" fontId="2" fillId="2" borderId="18" xfId="1" applyNumberFormat="1" applyFont="1" applyFill="1" applyBorder="1"/>
    <xf numFmtId="168" fontId="0" fillId="2" borderId="27" xfId="1" applyNumberFormat="1" applyFont="1" applyFill="1" applyBorder="1"/>
    <xf numFmtId="0" fontId="2" fillId="2" borderId="26" xfId="0" applyFont="1" applyFill="1" applyBorder="1"/>
    <xf numFmtId="0" fontId="2" fillId="2" borderId="8" xfId="0" applyFont="1" applyFill="1" applyBorder="1"/>
    <xf numFmtId="168" fontId="2" fillId="2" borderId="27" xfId="1" applyNumberFormat="1" applyFont="1" applyFill="1" applyBorder="1"/>
    <xf numFmtId="0" fontId="2" fillId="2" borderId="21" xfId="0" applyFont="1" applyFill="1" applyBorder="1" applyAlignment="1">
      <alignment horizontal="center"/>
    </xf>
    <xf numFmtId="0" fontId="2" fillId="2" borderId="18" xfId="0" applyFont="1" applyFill="1" applyBorder="1" applyAlignment="1">
      <alignment horizontal="center"/>
    </xf>
    <xf numFmtId="0" fontId="4" fillId="2" borderId="21" xfId="0" applyFont="1" applyFill="1" applyBorder="1" applyAlignment="1">
      <alignment horizontal="center"/>
    </xf>
    <xf numFmtId="0" fontId="0" fillId="6" borderId="21" xfId="0" applyFill="1" applyBorder="1"/>
    <xf numFmtId="0" fontId="4" fillId="2" borderId="26" xfId="0" applyFont="1" applyFill="1" applyBorder="1" applyAlignment="1">
      <alignment horizontal="center"/>
    </xf>
    <xf numFmtId="0" fontId="4" fillId="2" borderId="21" xfId="0" applyFont="1" applyFill="1" applyBorder="1" applyAlignment="1">
      <alignment horizontal="center" vertical="center"/>
    </xf>
    <xf numFmtId="0" fontId="4" fillId="2" borderId="0" xfId="0" applyFont="1" applyFill="1" applyBorder="1" applyAlignment="1">
      <alignment horizontal="center" vertical="center"/>
    </xf>
    <xf numFmtId="0" fontId="0" fillId="2" borderId="8" xfId="0" applyFill="1" applyBorder="1"/>
    <xf numFmtId="0" fontId="0" fillId="0" borderId="0" xfId="0" applyBorder="1"/>
    <xf numFmtId="0" fontId="2" fillId="2" borderId="22" xfId="0" applyFont="1" applyFill="1" applyBorder="1"/>
    <xf numFmtId="0" fontId="2" fillId="2" borderId="1" xfId="0" applyFont="1" applyFill="1" applyBorder="1"/>
    <xf numFmtId="168" fontId="2" fillId="2" borderId="1" xfId="1" applyNumberFormat="1" applyFont="1" applyFill="1" applyBorder="1"/>
    <xf numFmtId="168" fontId="2" fillId="2" borderId="23" xfId="1" applyNumberFormat="1" applyFont="1" applyFill="1" applyBorder="1"/>
    <xf numFmtId="0" fontId="2" fillId="2" borderId="29" xfId="0" applyFont="1" applyFill="1" applyBorder="1" applyAlignment="1">
      <alignment horizontal="center"/>
    </xf>
    <xf numFmtId="0" fontId="2" fillId="2" borderId="30" xfId="0" applyFont="1" applyFill="1" applyBorder="1" applyAlignment="1">
      <alignment horizontal="center"/>
    </xf>
    <xf numFmtId="168" fontId="2" fillId="2" borderId="30" xfId="1" applyNumberFormat="1" applyFont="1" applyFill="1" applyBorder="1" applyAlignment="1">
      <alignment horizontal="center"/>
    </xf>
    <xf numFmtId="168" fontId="1" fillId="2" borderId="18" xfId="1" applyNumberFormat="1" applyFont="1" applyFill="1" applyBorder="1"/>
    <xf numFmtId="168" fontId="1" fillId="2" borderId="27" xfId="1" applyNumberFormat="1" applyFont="1" applyFill="1" applyBorder="1"/>
    <xf numFmtId="168" fontId="1" fillId="2" borderId="25" xfId="1" applyNumberFormat="1" applyFont="1" applyFill="1" applyBorder="1"/>
    <xf numFmtId="0" fontId="0" fillId="2" borderId="0" xfId="0" applyFill="1" applyBorder="1" applyAlignment="1">
      <alignment horizontal="left" vertical="center"/>
    </xf>
    <xf numFmtId="0" fontId="0" fillId="2" borderId="0" xfId="0" applyFill="1" applyBorder="1" applyAlignment="1">
      <alignment horizontal="left" vertical="center" wrapText="1"/>
    </xf>
    <xf numFmtId="0" fontId="0" fillId="2" borderId="18" xfId="0" applyFill="1" applyBorder="1" applyAlignment="1">
      <alignment horizontal="left" vertical="center" wrapText="1"/>
    </xf>
    <xf numFmtId="43" fontId="14" fillId="0" borderId="0" xfId="4" applyNumberFormat="1" applyFont="1"/>
    <xf numFmtId="0" fontId="20" fillId="0" borderId="0" xfId="0" applyFont="1"/>
    <xf numFmtId="17" fontId="0" fillId="0" borderId="0" xfId="0" applyNumberFormat="1"/>
    <xf numFmtId="17" fontId="0" fillId="6" borderId="0" xfId="0" applyNumberFormat="1" applyFill="1"/>
    <xf numFmtId="0" fontId="0" fillId="6" borderId="0" xfId="0" applyFill="1"/>
    <xf numFmtId="0" fontId="2" fillId="0" borderId="0" xfId="0" quotePrefix="1" applyFont="1" applyAlignment="1">
      <alignment horizontal="center" wrapText="1"/>
    </xf>
    <xf numFmtId="0" fontId="2" fillId="0" borderId="0" xfId="0" applyFont="1" applyAlignment="1">
      <alignment horizontal="center" wrapText="1"/>
    </xf>
    <xf numFmtId="17" fontId="2" fillId="0" borderId="0" xfId="0" applyNumberFormat="1" applyFont="1"/>
    <xf numFmtId="168" fontId="0" fillId="0" borderId="0" xfId="0" applyNumberFormat="1"/>
    <xf numFmtId="170" fontId="22" fillId="0" borderId="0" xfId="1" applyNumberFormat="1" applyFont="1" applyFill="1"/>
    <xf numFmtId="168" fontId="2" fillId="0" borderId="0" xfId="1" applyNumberFormat="1" applyFont="1"/>
    <xf numFmtId="170" fontId="0" fillId="0" borderId="0" xfId="1" applyNumberFormat="1" applyFont="1"/>
    <xf numFmtId="171" fontId="0" fillId="0" borderId="0" xfId="0" applyNumberFormat="1"/>
    <xf numFmtId="172" fontId="0" fillId="0" borderId="0" xfId="0" applyNumberFormat="1"/>
    <xf numFmtId="17" fontId="2" fillId="0" borderId="0" xfId="0" quotePrefix="1" applyNumberFormat="1" applyFont="1"/>
    <xf numFmtId="168" fontId="0" fillId="0" borderId="0" xfId="1" applyNumberFormat="1" applyFont="1" applyFill="1"/>
    <xf numFmtId="168" fontId="0" fillId="10" borderId="0" xfId="1" applyNumberFormat="1" applyFont="1" applyFill="1"/>
    <xf numFmtId="168" fontId="20" fillId="0" borderId="0" xfId="1" applyNumberFormat="1" applyFont="1"/>
    <xf numFmtId="0" fontId="23" fillId="0" borderId="0" xfId="0" applyFont="1" applyAlignment="1">
      <alignment horizontal="center" wrapText="1"/>
    </xf>
    <xf numFmtId="170" fontId="20" fillId="0" borderId="0" xfId="1" applyNumberFormat="1" applyFont="1"/>
    <xf numFmtId="10" fontId="0" fillId="0" borderId="0" xfId="7" applyNumberFormat="1" applyFont="1"/>
    <xf numFmtId="168" fontId="3" fillId="0" borderId="0" xfId="0" applyNumberFormat="1" applyFont="1"/>
    <xf numFmtId="0" fontId="2" fillId="3" borderId="0" xfId="0" applyFont="1" applyFill="1" applyAlignment="1">
      <alignment horizontal="center" wrapText="1"/>
    </xf>
    <xf numFmtId="0" fontId="2" fillId="0" borderId="0" xfId="0" applyFont="1" applyAlignment="1">
      <alignment horizontal="center"/>
    </xf>
    <xf numFmtId="0" fontId="0" fillId="0" borderId="0" xfId="0" applyFont="1" applyAlignment="1">
      <alignment horizontal="left"/>
    </xf>
    <xf numFmtId="0" fontId="0" fillId="0" borderId="37" xfId="0" applyFill="1" applyBorder="1" applyProtection="1"/>
    <xf numFmtId="0" fontId="24" fillId="0" borderId="37" xfId="0" applyFont="1" applyBorder="1" applyAlignment="1" applyProtection="1">
      <alignment vertical="top"/>
    </xf>
    <xf numFmtId="0" fontId="0" fillId="0" borderId="9" xfId="0" applyBorder="1" applyAlignment="1" applyProtection="1">
      <alignment vertical="top" wrapText="1"/>
    </xf>
    <xf numFmtId="168" fontId="0" fillId="12" borderId="9" xfId="1" applyNumberFormat="1" applyFont="1" applyFill="1" applyBorder="1" applyAlignment="1" applyProtection="1">
      <alignment horizontal="right" vertical="center"/>
      <protection locked="0"/>
    </xf>
    <xf numFmtId="168" fontId="0" fillId="0" borderId="41" xfId="1" applyNumberFormat="1" applyFont="1" applyBorder="1" applyAlignment="1" applyProtection="1">
      <alignment horizontal="right" vertical="center"/>
    </xf>
    <xf numFmtId="168" fontId="0" fillId="0" borderId="9" xfId="1" applyNumberFormat="1" applyFont="1" applyFill="1" applyBorder="1" applyAlignment="1" applyProtection="1">
      <alignment horizontal="right" vertical="center"/>
    </xf>
    <xf numFmtId="168" fontId="0" fillId="0" borderId="41" xfId="1" applyNumberFormat="1" applyFont="1" applyFill="1" applyBorder="1" applyAlignment="1" applyProtection="1">
      <alignment horizontal="right" vertical="center"/>
    </xf>
    <xf numFmtId="168" fontId="5" fillId="12" borderId="9" xfId="1" applyNumberFormat="1" applyFont="1" applyFill="1" applyBorder="1" applyAlignment="1" applyProtection="1">
      <alignment horizontal="right" vertical="center"/>
      <protection locked="0"/>
    </xf>
    <xf numFmtId="171" fontId="0" fillId="0" borderId="9" xfId="0" applyNumberFormat="1" applyFill="1" applyBorder="1" applyAlignment="1" applyProtection="1">
      <alignment horizontal="right" vertical="center"/>
    </xf>
    <xf numFmtId="171" fontId="0" fillId="0" borderId="41" xfId="0" applyNumberFormat="1" applyFill="1" applyBorder="1" applyAlignment="1" applyProtection="1">
      <alignment horizontal="right" vertical="center"/>
    </xf>
    <xf numFmtId="0" fontId="0" fillId="0" borderId="37" xfId="0" applyFill="1" applyBorder="1" applyAlignment="1" applyProtection="1">
      <alignment vertical="top"/>
    </xf>
    <xf numFmtId="171" fontId="0" fillId="12" borderId="9" xfId="1" applyNumberFormat="1" applyFont="1" applyFill="1" applyBorder="1" applyAlignment="1" applyProtection="1">
      <alignment horizontal="right" vertical="center"/>
      <protection locked="0"/>
    </xf>
    <xf numFmtId="171" fontId="0" fillId="0" borderId="41" xfId="0" applyNumberFormat="1" applyBorder="1" applyAlignment="1" applyProtection="1">
      <alignment horizontal="right" vertical="center"/>
    </xf>
    <xf numFmtId="0" fontId="0" fillId="0" borderId="42" xfId="0" applyBorder="1" applyAlignment="1" applyProtection="1">
      <alignment vertical="top"/>
    </xf>
    <xf numFmtId="0" fontId="0" fillId="0" borderId="43" xfId="0" applyBorder="1" applyAlignment="1" applyProtection="1">
      <alignment vertical="top" wrapText="1"/>
    </xf>
    <xf numFmtId="171" fontId="0" fillId="0" borderId="43" xfId="0" applyNumberFormat="1" applyBorder="1" applyAlignment="1" applyProtection="1">
      <alignment horizontal="right" vertical="center"/>
    </xf>
    <xf numFmtId="171" fontId="0" fillId="0" borderId="44" xfId="0" applyNumberFormat="1" applyBorder="1" applyAlignment="1" applyProtection="1">
      <alignment horizontal="right" vertical="center"/>
    </xf>
    <xf numFmtId="0" fontId="24" fillId="0" borderId="9" xfId="0" quotePrefix="1" applyFont="1" applyFill="1" applyBorder="1" applyAlignment="1" applyProtection="1">
      <alignment horizontal="center" vertical="center"/>
    </xf>
    <xf numFmtId="168" fontId="21" fillId="0" borderId="0" xfId="0" applyNumberFormat="1" applyFont="1"/>
    <xf numFmtId="0" fontId="21" fillId="0" borderId="0" xfId="0" applyFont="1" applyAlignment="1">
      <alignment horizontal="left"/>
    </xf>
    <xf numFmtId="168" fontId="20" fillId="0" borderId="0" xfId="0" applyNumberFormat="1" applyFont="1"/>
    <xf numFmtId="0" fontId="20" fillId="0" borderId="0" xfId="0" applyFont="1" applyAlignment="1">
      <alignment horizontal="left"/>
    </xf>
    <xf numFmtId="172" fontId="0" fillId="0" borderId="0" xfId="1" applyNumberFormat="1" applyFont="1"/>
    <xf numFmtId="173" fontId="0" fillId="0" borderId="0" xfId="7" applyNumberFormat="1" applyFont="1"/>
    <xf numFmtId="173" fontId="2" fillId="0" borderId="0" xfId="0" applyNumberFormat="1" applyFont="1"/>
    <xf numFmtId="168" fontId="20" fillId="0" borderId="0" xfId="1" applyNumberFormat="1" applyFont="1" applyFill="1"/>
    <xf numFmtId="168" fontId="0" fillId="13" borderId="0" xfId="0" applyNumberFormat="1" applyFill="1"/>
    <xf numFmtId="0" fontId="2" fillId="14" borderId="0" xfId="0" applyFont="1" applyFill="1"/>
    <xf numFmtId="0" fontId="0" fillId="14" borderId="0" xfId="0" applyFill="1"/>
    <xf numFmtId="168" fontId="0" fillId="14" borderId="0" xfId="1" applyNumberFormat="1" applyFont="1" applyFill="1"/>
    <xf numFmtId="168" fontId="0" fillId="14" borderId="0" xfId="0" applyNumberFormat="1" applyFill="1"/>
    <xf numFmtId="10" fontId="0" fillId="14" borderId="0" xfId="7" applyNumberFormat="1" applyFont="1" applyFill="1"/>
    <xf numFmtId="0" fontId="2" fillId="0" borderId="0" xfId="0" quotePrefix="1" applyFont="1" applyAlignment="1">
      <alignment horizontal="center"/>
    </xf>
    <xf numFmtId="0" fontId="0" fillId="0" borderId="0" xfId="0" applyFont="1" applyAlignment="1">
      <alignment horizontal="left" indent="2"/>
    </xf>
    <xf numFmtId="168" fontId="3" fillId="0" borderId="0" xfId="1" applyNumberFormat="1" applyFont="1"/>
    <xf numFmtId="170" fontId="21" fillId="0" borderId="0" xfId="1" applyNumberFormat="1" applyFont="1"/>
    <xf numFmtId="0" fontId="9" fillId="0" borderId="0" xfId="0" applyFont="1" applyAlignment="1">
      <alignment horizontal="center" wrapText="1"/>
    </xf>
    <xf numFmtId="168" fontId="9" fillId="0" borderId="0" xfId="1" applyNumberFormat="1" applyFont="1" applyFill="1"/>
    <xf numFmtId="0" fontId="2" fillId="2" borderId="0" xfId="0" quotePrefix="1" applyFont="1" applyFill="1" applyAlignment="1">
      <alignment horizontal="center"/>
    </xf>
    <xf numFmtId="0" fontId="0" fillId="2" borderId="0" xfId="0" applyFill="1" applyAlignment="1">
      <alignment horizontal="left" wrapText="1"/>
    </xf>
    <xf numFmtId="0" fontId="3" fillId="2" borderId="0" xfId="0" applyFont="1" applyFill="1" applyAlignment="1">
      <alignment horizontal="left" wrapText="1"/>
    </xf>
    <xf numFmtId="0" fontId="2" fillId="2" borderId="12" xfId="0" applyFont="1" applyFill="1" applyBorder="1" applyAlignment="1">
      <alignment horizontal="center"/>
    </xf>
    <xf numFmtId="0" fontId="2" fillId="2" borderId="13" xfId="0" applyFont="1" applyFill="1" applyBorder="1" applyAlignment="1">
      <alignment horizontal="center"/>
    </xf>
    <xf numFmtId="168" fontId="2" fillId="5" borderId="12" xfId="1" applyNumberFormat="1" applyFont="1" applyFill="1" applyBorder="1" applyAlignment="1">
      <alignment horizontal="center"/>
    </xf>
    <xf numFmtId="168" fontId="2" fillId="5" borderId="6" xfId="1" applyNumberFormat="1" applyFont="1" applyFill="1" applyBorder="1" applyAlignment="1">
      <alignment horizontal="center"/>
    </xf>
    <xf numFmtId="168" fontId="2" fillId="5" borderId="13" xfId="1" applyNumberFormat="1" applyFont="1" applyFill="1" applyBorder="1" applyAlignment="1">
      <alignment horizontal="center"/>
    </xf>
    <xf numFmtId="168" fontId="2" fillId="7" borderId="12" xfId="1" applyNumberFormat="1" applyFont="1" applyFill="1" applyBorder="1" applyAlignment="1">
      <alignment horizontal="center"/>
    </xf>
    <xf numFmtId="168" fontId="2" fillId="7" borderId="6" xfId="1" applyNumberFormat="1" applyFont="1" applyFill="1" applyBorder="1" applyAlignment="1">
      <alignment horizontal="center"/>
    </xf>
    <xf numFmtId="168" fontId="2" fillId="7" borderId="13" xfId="1" applyNumberFormat="1" applyFont="1" applyFill="1" applyBorder="1" applyAlignment="1">
      <alignment horizontal="center"/>
    </xf>
    <xf numFmtId="168" fontId="2" fillId="3" borderId="12" xfId="1" applyNumberFormat="1" applyFont="1" applyFill="1" applyBorder="1" applyAlignment="1">
      <alignment horizontal="center"/>
    </xf>
    <xf numFmtId="168" fontId="2" fillId="3" borderId="6" xfId="1" applyNumberFormat="1" applyFont="1" applyFill="1" applyBorder="1" applyAlignment="1">
      <alignment horizontal="center"/>
    </xf>
    <xf numFmtId="168" fontId="2" fillId="3" borderId="13" xfId="1" applyNumberFormat="1" applyFont="1" applyFill="1" applyBorder="1" applyAlignment="1">
      <alignment horizontal="center"/>
    </xf>
    <xf numFmtId="168" fontId="9" fillId="3" borderId="12" xfId="1" applyNumberFormat="1" applyFont="1" applyFill="1" applyBorder="1" applyAlignment="1">
      <alignment horizontal="center"/>
    </xf>
    <xf numFmtId="168" fontId="9" fillId="3" borderId="6" xfId="1" applyNumberFormat="1" applyFont="1" applyFill="1" applyBorder="1" applyAlignment="1">
      <alignment horizontal="center"/>
    </xf>
    <xf numFmtId="168" fontId="9" fillId="3" borderId="13" xfId="1" applyNumberFormat="1" applyFont="1" applyFill="1" applyBorder="1" applyAlignment="1">
      <alignment horizontal="center"/>
    </xf>
    <xf numFmtId="0" fontId="9" fillId="2" borderId="22" xfId="0" applyFont="1" applyFill="1" applyBorder="1" applyAlignment="1">
      <alignment horizontal="center"/>
    </xf>
    <xf numFmtId="0" fontId="9" fillId="2" borderId="1" xfId="0" applyFont="1" applyFill="1" applyBorder="1" applyAlignment="1">
      <alignment horizontal="center"/>
    </xf>
    <xf numFmtId="0" fontId="9" fillId="2" borderId="23" xfId="0" applyFont="1" applyFill="1" applyBorder="1" applyAlignment="1">
      <alignment horizontal="center"/>
    </xf>
    <xf numFmtId="0" fontId="9" fillId="2" borderId="22" xfId="0" applyFont="1" applyFill="1" applyBorder="1" applyAlignment="1">
      <alignment horizontal="center" wrapText="1"/>
    </xf>
    <xf numFmtId="0" fontId="9" fillId="2" borderId="1" xfId="0" applyFont="1" applyFill="1" applyBorder="1" applyAlignment="1">
      <alignment horizontal="center" wrapText="1"/>
    </xf>
    <xf numFmtId="0" fontId="9" fillId="2" borderId="23" xfId="0" applyFont="1" applyFill="1" applyBorder="1" applyAlignment="1">
      <alignment horizontal="center" wrapText="1"/>
    </xf>
    <xf numFmtId="0" fontId="9" fillId="2" borderId="24" xfId="0" applyFont="1" applyFill="1" applyBorder="1" applyAlignment="1">
      <alignment horizontal="center" wrapText="1"/>
    </xf>
    <xf numFmtId="0" fontId="9" fillId="2" borderId="25" xfId="0" applyFont="1" applyFill="1" applyBorder="1" applyAlignment="1">
      <alignment horizontal="center" wrapText="1"/>
    </xf>
    <xf numFmtId="168" fontId="2" fillId="2" borderId="12" xfId="1" applyNumberFormat="1" applyFont="1" applyFill="1" applyBorder="1" applyAlignment="1">
      <alignment horizontal="center" wrapText="1"/>
    </xf>
    <xf numFmtId="168" fontId="2" fillId="2" borderId="6" xfId="1" applyNumberFormat="1" applyFont="1" applyFill="1" applyBorder="1" applyAlignment="1">
      <alignment horizontal="center" wrapText="1"/>
    </xf>
    <xf numFmtId="168" fontId="2" fillId="2" borderId="13" xfId="1" applyNumberFormat="1" applyFont="1" applyFill="1" applyBorder="1" applyAlignment="1">
      <alignment horizontal="center" wrapText="1"/>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5" xfId="0" applyFont="1" applyFill="1" applyBorder="1" applyAlignment="1">
      <alignment horizontal="center"/>
    </xf>
    <xf numFmtId="165" fontId="9" fillId="0" borderId="3" xfId="2" applyNumberFormat="1" applyFont="1" applyFill="1" applyBorder="1" applyAlignment="1">
      <alignment horizontal="center" wrapText="1"/>
    </xf>
    <xf numFmtId="165" fontId="9" fillId="0" borderId="5" xfId="2" applyNumberFormat="1" applyFont="1" applyFill="1" applyBorder="1" applyAlignment="1">
      <alignment horizontal="center" wrapText="1"/>
    </xf>
    <xf numFmtId="165" fontId="9" fillId="0" borderId="4" xfId="2" applyNumberFormat="1" applyFont="1" applyFill="1" applyBorder="1" applyAlignment="1">
      <alignment horizontal="center" wrapText="1"/>
    </xf>
    <xf numFmtId="0" fontId="9" fillId="7" borderId="3" xfId="0" applyFont="1" applyFill="1" applyBorder="1" applyAlignment="1">
      <alignment horizontal="center" wrapText="1"/>
    </xf>
    <xf numFmtId="0" fontId="9" fillId="7" borderId="4" xfId="0" applyFont="1" applyFill="1" applyBorder="1" applyAlignment="1">
      <alignment horizontal="center" wrapText="1"/>
    </xf>
    <xf numFmtId="0" fontId="9" fillId="7" borderId="5" xfId="0" applyFont="1" applyFill="1" applyBorder="1" applyAlignment="1">
      <alignment horizontal="center" wrapText="1"/>
    </xf>
    <xf numFmtId="0" fontId="0" fillId="2" borderId="0" xfId="0" applyFill="1" applyBorder="1" applyAlignment="1">
      <alignment horizontal="left" vertical="center" wrapText="1"/>
    </xf>
    <xf numFmtId="0" fontId="0" fillId="2" borderId="18" xfId="0" applyFill="1" applyBorder="1" applyAlignment="1">
      <alignment horizontal="left" vertical="center" wrapText="1"/>
    </xf>
    <xf numFmtId="0" fontId="0" fillId="2" borderId="0" xfId="0" applyFill="1" applyBorder="1" applyAlignment="1">
      <alignment horizontal="left" vertical="center"/>
    </xf>
    <xf numFmtId="0" fontId="0" fillId="2" borderId="18" xfId="0" applyFill="1" applyBorder="1" applyAlignment="1">
      <alignment horizontal="left" vertical="center"/>
    </xf>
    <xf numFmtId="0" fontId="25" fillId="11" borderId="39" xfId="0" applyFont="1" applyFill="1" applyBorder="1" applyAlignment="1" applyProtection="1">
      <alignment horizontal="left" vertical="top" wrapText="1"/>
    </xf>
    <xf numFmtId="0" fontId="25" fillId="11" borderId="7" xfId="0" applyFont="1" applyFill="1" applyBorder="1" applyAlignment="1" applyProtection="1">
      <alignment horizontal="left" vertical="top" wrapText="1"/>
    </xf>
    <xf numFmtId="0" fontId="25" fillId="11" borderId="40" xfId="0" applyFont="1" applyFill="1" applyBorder="1" applyAlignment="1" applyProtection="1">
      <alignment horizontal="left" vertical="top" wrapText="1"/>
    </xf>
    <xf numFmtId="0" fontId="0" fillId="0" borderId="31" xfId="0" applyFill="1" applyBorder="1" applyAlignment="1" applyProtection="1">
      <alignment horizontal="center"/>
    </xf>
    <xf numFmtId="0" fontId="0" fillId="0" borderId="32" xfId="0" applyFill="1" applyBorder="1" applyAlignment="1" applyProtection="1">
      <alignment horizontal="center"/>
    </xf>
    <xf numFmtId="0" fontId="0" fillId="0" borderId="37" xfId="0" applyFill="1" applyBorder="1" applyAlignment="1" applyProtection="1">
      <alignment horizontal="center"/>
    </xf>
    <xf numFmtId="0" fontId="0" fillId="0" borderId="9" xfId="0" applyFill="1" applyBorder="1" applyAlignment="1" applyProtection="1">
      <alignment horizontal="center"/>
    </xf>
    <xf numFmtId="0" fontId="24" fillId="0" borderId="33" xfId="0" applyFont="1" applyFill="1" applyBorder="1" applyAlignment="1" applyProtection="1">
      <alignment horizontal="center"/>
    </xf>
    <xf numFmtId="0" fontId="24" fillId="0" borderId="34" xfId="0" applyFont="1" applyFill="1" applyBorder="1" applyAlignment="1" applyProtection="1">
      <alignment horizontal="center"/>
    </xf>
    <xf numFmtId="0" fontId="24" fillId="0" borderId="35" xfId="0" applyFont="1" applyFill="1" applyBorder="1" applyAlignment="1" applyProtection="1">
      <alignment horizontal="center"/>
    </xf>
    <xf numFmtId="0" fontId="24" fillId="0" borderId="36" xfId="0" applyFont="1" applyFill="1" applyBorder="1" applyAlignment="1" applyProtection="1">
      <alignment horizontal="center" vertical="center" wrapText="1"/>
    </xf>
    <xf numFmtId="0" fontId="0" fillId="0" borderId="38" xfId="0" applyFill="1" applyBorder="1" applyAlignment="1" applyProtection="1">
      <alignment horizontal="center" vertical="center" wrapText="1"/>
    </xf>
    <xf numFmtId="0" fontId="25" fillId="11" borderId="39" xfId="0" applyFont="1" applyFill="1" applyBorder="1" applyAlignment="1" applyProtection="1">
      <alignment horizontal="left"/>
    </xf>
    <xf numFmtId="0" fontId="25" fillId="11" borderId="7" xfId="0" applyFont="1" applyFill="1" applyBorder="1" applyAlignment="1" applyProtection="1">
      <alignment horizontal="left"/>
    </xf>
    <xf numFmtId="0" fontId="25" fillId="11" borderId="40" xfId="0" applyFont="1" applyFill="1" applyBorder="1" applyAlignment="1" applyProtection="1">
      <alignment horizontal="left"/>
    </xf>
  </cellXfs>
  <cellStyles count="8">
    <cellStyle name="Comma" xfId="1" builtinId="3"/>
    <cellStyle name="Comma 2" xfId="2"/>
    <cellStyle name="Comma 3" xfId="6"/>
    <cellStyle name="Normal" xfId="0" builtinId="0"/>
    <cellStyle name="Normal 2" xfId="4"/>
    <cellStyle name="Normal 5" xfId="3"/>
    <cellStyle name="Percent" xfId="7" builtinId="5"/>
    <cellStyle name="Percent 2" xf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workbookViewId="0">
      <selection activeCell="A31" sqref="A31"/>
    </sheetView>
  </sheetViews>
  <sheetFormatPr defaultRowHeight="14.5" x14ac:dyDescent="0.35"/>
  <cols>
    <col min="1" max="1" width="12.1796875" customWidth="1"/>
    <col min="2" max="2" width="13.1796875" customWidth="1"/>
    <col min="3" max="3" width="6.26953125" customWidth="1"/>
    <col min="4" max="4" width="11.453125" customWidth="1"/>
    <col min="5" max="5" width="24.26953125" customWidth="1"/>
    <col min="6" max="6" width="6.54296875" customWidth="1"/>
    <col min="7" max="8" width="16.81640625" customWidth="1"/>
  </cols>
  <sheetData>
    <row r="1" spans="1:8" x14ac:dyDescent="0.35">
      <c r="A1" s="2" t="s">
        <v>141</v>
      </c>
      <c r="B1" s="3"/>
      <c r="C1" s="3"/>
      <c r="D1" s="3"/>
      <c r="E1" s="3"/>
      <c r="F1" s="3"/>
      <c r="G1" s="299" t="s">
        <v>7</v>
      </c>
      <c r="H1" s="299"/>
    </row>
    <row r="2" spans="1:8" s="1" customFormat="1" x14ac:dyDescent="0.35">
      <c r="A2" s="4" t="s">
        <v>8</v>
      </c>
      <c r="B2" s="4" t="s">
        <v>9</v>
      </c>
      <c r="C2" s="4" t="s">
        <v>10</v>
      </c>
      <c r="D2" s="4" t="s">
        <v>11</v>
      </c>
      <c r="E2" s="4" t="s">
        <v>12</v>
      </c>
      <c r="F2" s="4" t="s">
        <v>13</v>
      </c>
      <c r="G2" s="4" t="s">
        <v>152</v>
      </c>
      <c r="H2" s="4" t="s">
        <v>14</v>
      </c>
    </row>
    <row r="3" spans="1:8" x14ac:dyDescent="0.35">
      <c r="A3" s="5" t="s">
        <v>15</v>
      </c>
      <c r="B3" s="3" t="s">
        <v>16</v>
      </c>
      <c r="C3" s="3" t="s">
        <v>17</v>
      </c>
      <c r="D3" s="3" t="s">
        <v>18</v>
      </c>
      <c r="E3" s="3" t="s">
        <v>19</v>
      </c>
      <c r="F3" s="6">
        <v>1</v>
      </c>
      <c r="G3" s="10" t="s">
        <v>20</v>
      </c>
      <c r="H3" s="3" t="s">
        <v>20</v>
      </c>
    </row>
    <row r="4" spans="1:8" x14ac:dyDescent="0.35">
      <c r="A4" s="5" t="s">
        <v>21</v>
      </c>
      <c r="B4" s="3" t="s">
        <v>22</v>
      </c>
      <c r="C4" s="3" t="s">
        <v>23</v>
      </c>
      <c r="D4" s="3" t="s">
        <v>24</v>
      </c>
      <c r="E4" s="3" t="s">
        <v>25</v>
      </c>
      <c r="F4" s="6">
        <v>2</v>
      </c>
      <c r="G4" s="3" t="s">
        <v>20</v>
      </c>
      <c r="H4" s="3" t="s">
        <v>20</v>
      </c>
    </row>
    <row r="5" spans="1:8" x14ac:dyDescent="0.35">
      <c r="A5" s="5" t="s">
        <v>26</v>
      </c>
      <c r="B5" s="3" t="s">
        <v>16</v>
      </c>
      <c r="C5" s="3" t="s">
        <v>27</v>
      </c>
      <c r="D5" s="3" t="s">
        <v>24</v>
      </c>
      <c r="E5" s="3" t="s">
        <v>28</v>
      </c>
      <c r="F5" s="6">
        <v>3</v>
      </c>
      <c r="G5" s="3" t="s">
        <v>20</v>
      </c>
      <c r="H5" s="3" t="s">
        <v>20</v>
      </c>
    </row>
    <row r="6" spans="1:8" x14ac:dyDescent="0.35">
      <c r="A6" s="5" t="s">
        <v>29</v>
      </c>
      <c r="B6" s="3" t="s">
        <v>30</v>
      </c>
      <c r="C6" s="3" t="s">
        <v>27</v>
      </c>
      <c r="D6" s="3" t="s">
        <v>31</v>
      </c>
      <c r="E6" s="3" t="s">
        <v>32</v>
      </c>
      <c r="F6" s="6">
        <v>3</v>
      </c>
      <c r="G6" s="7" t="s">
        <v>147</v>
      </c>
      <c r="H6" s="3" t="s">
        <v>20</v>
      </c>
    </row>
    <row r="7" spans="1:8" x14ac:dyDescent="0.35">
      <c r="A7" s="5" t="s">
        <v>33</v>
      </c>
      <c r="B7" s="3" t="s">
        <v>22</v>
      </c>
      <c r="C7" s="3" t="s">
        <v>27</v>
      </c>
      <c r="D7" s="3" t="s">
        <v>18</v>
      </c>
      <c r="E7" s="3" t="s">
        <v>34</v>
      </c>
      <c r="F7" s="6">
        <v>4</v>
      </c>
      <c r="G7" s="3" t="s">
        <v>20</v>
      </c>
      <c r="H7" s="3" t="s">
        <v>20</v>
      </c>
    </row>
    <row r="8" spans="1:8" ht="9" customHeight="1" x14ac:dyDescent="0.35">
      <c r="A8" s="3"/>
      <c r="B8" s="3"/>
      <c r="C8" s="3"/>
      <c r="D8" s="3"/>
      <c r="E8" s="3"/>
      <c r="F8" s="3"/>
      <c r="G8" s="3"/>
      <c r="H8" s="3"/>
    </row>
    <row r="9" spans="1:8" x14ac:dyDescent="0.35">
      <c r="A9" s="6" t="s">
        <v>35</v>
      </c>
      <c r="B9" s="300" t="s">
        <v>151</v>
      </c>
      <c r="C9" s="300"/>
      <c r="D9" s="300"/>
      <c r="E9" s="300"/>
      <c r="F9" s="300"/>
      <c r="G9" s="300"/>
      <c r="H9" s="300"/>
    </row>
    <row r="10" spans="1:8" x14ac:dyDescent="0.35">
      <c r="A10" s="6"/>
      <c r="B10" s="300"/>
      <c r="C10" s="300"/>
      <c r="D10" s="300"/>
      <c r="E10" s="300"/>
      <c r="F10" s="300"/>
      <c r="G10" s="300"/>
      <c r="H10" s="300"/>
    </row>
    <row r="11" spans="1:8" x14ac:dyDescent="0.35">
      <c r="A11" s="6"/>
      <c r="B11" s="300"/>
      <c r="C11" s="300"/>
      <c r="D11" s="300"/>
      <c r="E11" s="300"/>
      <c r="F11" s="300"/>
      <c r="G11" s="300"/>
      <c r="H11" s="300"/>
    </row>
    <row r="12" spans="1:8" ht="9" customHeight="1" x14ac:dyDescent="0.35">
      <c r="A12" s="6"/>
      <c r="B12" s="3"/>
      <c r="C12" s="3"/>
      <c r="D12" s="3"/>
      <c r="E12" s="3"/>
      <c r="F12" s="3"/>
      <c r="G12" s="3"/>
      <c r="H12" s="3"/>
    </row>
    <row r="13" spans="1:8" ht="14.25" customHeight="1" x14ac:dyDescent="0.35">
      <c r="A13" s="6" t="s">
        <v>36</v>
      </c>
      <c r="B13" s="300" t="s">
        <v>37</v>
      </c>
      <c r="C13" s="300"/>
      <c r="D13" s="300"/>
      <c r="E13" s="300"/>
      <c r="F13" s="300"/>
      <c r="G13" s="300"/>
      <c r="H13" s="300"/>
    </row>
    <row r="14" spans="1:8" ht="14.25" customHeight="1" x14ac:dyDescent="0.35">
      <c r="A14" s="6"/>
      <c r="B14" s="300"/>
      <c r="C14" s="300"/>
      <c r="D14" s="300"/>
      <c r="E14" s="300"/>
      <c r="F14" s="300"/>
      <c r="G14" s="300"/>
      <c r="H14" s="300"/>
    </row>
    <row r="15" spans="1:8" ht="9" customHeight="1" x14ac:dyDescent="0.35">
      <c r="A15" s="6"/>
      <c r="B15" s="3"/>
      <c r="C15" s="3"/>
      <c r="D15" s="3"/>
      <c r="E15" s="3"/>
      <c r="F15" s="3"/>
      <c r="G15" s="3"/>
      <c r="H15" s="3"/>
    </row>
    <row r="16" spans="1:8" x14ac:dyDescent="0.35">
      <c r="A16" s="6" t="s">
        <v>38</v>
      </c>
      <c r="B16" s="300" t="s">
        <v>39</v>
      </c>
      <c r="C16" s="300"/>
      <c r="D16" s="300"/>
      <c r="E16" s="300"/>
      <c r="F16" s="300"/>
      <c r="G16" s="300"/>
      <c r="H16" s="300"/>
    </row>
    <row r="17" spans="1:8" x14ac:dyDescent="0.35">
      <c r="A17" s="6"/>
      <c r="B17" s="300"/>
      <c r="C17" s="300"/>
      <c r="D17" s="300"/>
      <c r="E17" s="300"/>
      <c r="F17" s="300"/>
      <c r="G17" s="300"/>
      <c r="H17" s="300"/>
    </row>
    <row r="18" spans="1:8" s="8" customFormat="1" x14ac:dyDescent="0.35">
      <c r="A18" s="24"/>
      <c r="B18" s="25" t="s">
        <v>146</v>
      </c>
      <c r="C18" s="25"/>
      <c r="D18" s="25"/>
      <c r="E18" s="25"/>
      <c r="F18" s="25"/>
      <c r="G18" s="25"/>
      <c r="H18" s="25"/>
    </row>
    <row r="19" spans="1:8" s="8" customFormat="1" x14ac:dyDescent="0.35">
      <c r="A19" s="24"/>
      <c r="B19" s="25"/>
      <c r="C19" s="25" t="s">
        <v>143</v>
      </c>
      <c r="D19" s="25"/>
      <c r="E19" s="25"/>
      <c r="F19" s="25"/>
      <c r="G19" s="25"/>
      <c r="H19" s="25"/>
    </row>
    <row r="20" spans="1:8" s="8" customFormat="1" x14ac:dyDescent="0.35">
      <c r="A20" s="24"/>
      <c r="B20" s="25"/>
      <c r="C20" s="25" t="s">
        <v>53</v>
      </c>
      <c r="D20" s="25"/>
      <c r="E20" s="25"/>
      <c r="F20" s="25"/>
      <c r="G20" s="25"/>
      <c r="H20" s="25"/>
    </row>
    <row r="21" spans="1:8" s="8" customFormat="1" x14ac:dyDescent="0.35">
      <c r="A21" s="24"/>
      <c r="B21" s="25"/>
      <c r="C21" s="25" t="s">
        <v>142</v>
      </c>
      <c r="D21" s="25"/>
      <c r="E21" s="25"/>
      <c r="F21" s="25"/>
      <c r="G21" s="25"/>
      <c r="H21" s="25"/>
    </row>
    <row r="22" spans="1:8" s="8" customFormat="1" x14ac:dyDescent="0.35">
      <c r="A22" s="24"/>
      <c r="B22" s="25"/>
      <c r="C22" s="25" t="s">
        <v>144</v>
      </c>
      <c r="D22" s="25"/>
      <c r="E22" s="25"/>
      <c r="F22" s="25"/>
      <c r="G22" s="25"/>
      <c r="H22" s="25"/>
    </row>
    <row r="23" spans="1:8" s="8" customFormat="1" x14ac:dyDescent="0.35">
      <c r="A23" s="24"/>
      <c r="B23" s="25"/>
      <c r="C23" s="301" t="s">
        <v>150</v>
      </c>
      <c r="D23" s="301"/>
      <c r="E23" s="301"/>
      <c r="F23" s="301"/>
      <c r="G23" s="301"/>
      <c r="H23" s="301"/>
    </row>
    <row r="24" spans="1:8" s="8" customFormat="1" x14ac:dyDescent="0.35">
      <c r="A24" s="24"/>
      <c r="B24" s="25"/>
      <c r="C24" s="301"/>
      <c r="D24" s="301"/>
      <c r="E24" s="301"/>
      <c r="F24" s="301"/>
      <c r="G24" s="301"/>
      <c r="H24" s="301"/>
    </row>
    <row r="25" spans="1:8" s="8" customFormat="1" x14ac:dyDescent="0.35">
      <c r="A25" s="24"/>
      <c r="B25" s="301" t="s">
        <v>145</v>
      </c>
      <c r="C25" s="301"/>
      <c r="D25" s="301"/>
      <c r="E25" s="301"/>
      <c r="F25" s="301"/>
      <c r="G25" s="301"/>
      <c r="H25" s="301"/>
    </row>
    <row r="26" spans="1:8" s="8" customFormat="1" x14ac:dyDescent="0.35">
      <c r="A26" s="24"/>
      <c r="B26" s="301"/>
      <c r="C26" s="301"/>
      <c r="D26" s="301"/>
      <c r="E26" s="301"/>
      <c r="F26" s="301"/>
      <c r="G26" s="301"/>
      <c r="H26" s="301"/>
    </row>
    <row r="27" spans="1:8" s="8" customFormat="1" x14ac:dyDescent="0.35">
      <c r="A27" s="24"/>
      <c r="B27" s="301"/>
      <c r="C27" s="301"/>
      <c r="D27" s="301"/>
      <c r="E27" s="301"/>
      <c r="F27" s="301"/>
      <c r="G27" s="301"/>
      <c r="H27" s="301"/>
    </row>
    <row r="28" spans="1:8" ht="9" customHeight="1" x14ac:dyDescent="0.35">
      <c r="A28" s="3"/>
      <c r="B28" s="3"/>
      <c r="C28" s="3"/>
      <c r="D28" s="3"/>
      <c r="E28" s="3"/>
      <c r="F28" s="3"/>
      <c r="G28" s="3"/>
      <c r="H28" s="3"/>
    </row>
    <row r="29" spans="1:8" x14ac:dyDescent="0.35">
      <c r="A29" s="6" t="s">
        <v>40</v>
      </c>
      <c r="B29" s="3" t="s">
        <v>41</v>
      </c>
      <c r="C29" s="3"/>
      <c r="D29" s="3"/>
      <c r="E29" s="3"/>
      <c r="F29" s="3"/>
      <c r="G29" s="3"/>
      <c r="H29" s="3"/>
    </row>
  </sheetData>
  <mergeCells count="6">
    <mergeCell ref="G1:H1"/>
    <mergeCell ref="B9:H11"/>
    <mergeCell ref="B16:H17"/>
    <mergeCell ref="B25:H27"/>
    <mergeCell ref="B13:H14"/>
    <mergeCell ref="C23:H2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J21"/>
  <sheetViews>
    <sheetView topLeftCell="A10" workbookViewId="0">
      <selection activeCell="G21" sqref="G21"/>
    </sheetView>
  </sheetViews>
  <sheetFormatPr defaultRowHeight="14.5" x14ac:dyDescent="0.35"/>
  <cols>
    <col min="1" max="1" width="7.1796875" customWidth="1"/>
    <col min="2" max="8" width="23" customWidth="1"/>
  </cols>
  <sheetData>
    <row r="1" spans="1:10" x14ac:dyDescent="0.35">
      <c r="A1" s="343"/>
      <c r="B1" s="344"/>
      <c r="C1" s="347" t="s">
        <v>472</v>
      </c>
      <c r="D1" s="348"/>
      <c r="E1" s="348"/>
      <c r="F1" s="348"/>
      <c r="G1" s="349"/>
      <c r="H1" s="350" t="s">
        <v>473</v>
      </c>
    </row>
    <row r="2" spans="1:10" x14ac:dyDescent="0.35">
      <c r="A2" s="345"/>
      <c r="B2" s="346"/>
      <c r="C2" s="278" t="s">
        <v>4</v>
      </c>
      <c r="D2" s="278" t="s">
        <v>0</v>
      </c>
      <c r="E2" s="278" t="s">
        <v>1</v>
      </c>
      <c r="F2" s="278" t="s">
        <v>2</v>
      </c>
      <c r="G2" s="278" t="s">
        <v>3</v>
      </c>
      <c r="H2" s="351"/>
    </row>
    <row r="3" spans="1:10" x14ac:dyDescent="0.35">
      <c r="A3" s="261"/>
      <c r="B3" s="352" t="s">
        <v>474</v>
      </c>
      <c r="C3" s="353"/>
      <c r="D3" s="353"/>
      <c r="E3" s="353"/>
      <c r="F3" s="353"/>
      <c r="G3" s="353"/>
      <c r="H3" s="354"/>
    </row>
    <row r="4" spans="1:10" ht="43.5" x14ac:dyDescent="0.35">
      <c r="A4" s="262" t="s">
        <v>475</v>
      </c>
      <c r="B4" s="263" t="s">
        <v>476</v>
      </c>
      <c r="C4" s="264">
        <v>1486984762.283</v>
      </c>
      <c r="D4" s="264">
        <v>1495245070.5899999</v>
      </c>
      <c r="E4" s="264">
        <v>1454001207.3</v>
      </c>
      <c r="F4" s="264">
        <v>1517720864.99</v>
      </c>
      <c r="G4" s="264">
        <v>1482652460.0825651</v>
      </c>
      <c r="H4" s="265">
        <f>IF(SUM(C4:G4)=0,0,AVERAGE(C4:G4))</f>
        <v>1487320873.049113</v>
      </c>
      <c r="J4" t="s">
        <v>493</v>
      </c>
    </row>
    <row r="5" spans="1:10" ht="43.5" x14ac:dyDescent="0.35">
      <c r="A5" s="262" t="s">
        <v>477</v>
      </c>
      <c r="B5" s="263" t="s">
        <v>478</v>
      </c>
      <c r="C5" s="264">
        <v>1481567368.4429998</v>
      </c>
      <c r="D5" s="264">
        <v>1489683678.8800001</v>
      </c>
      <c r="E5" s="264">
        <v>1449106654.1999998</v>
      </c>
      <c r="F5" s="264">
        <v>1512240289.8000004</v>
      </c>
      <c r="G5" s="264">
        <v>1477078873.5100002</v>
      </c>
      <c r="H5" s="265">
        <f>IF(SUM(C5:G5)=0,0,AVERAGE(C5:G5))</f>
        <v>1481935372.9665999</v>
      </c>
    </row>
    <row r="6" spans="1:10" ht="58" x14ac:dyDescent="0.35">
      <c r="A6" s="262" t="s">
        <v>27</v>
      </c>
      <c r="B6" s="263" t="s">
        <v>479</v>
      </c>
      <c r="C6" s="264">
        <v>128357914.36</v>
      </c>
      <c r="D6" s="264">
        <v>130542404.930023</v>
      </c>
      <c r="E6" s="264">
        <v>131550498.81621301</v>
      </c>
      <c r="F6" s="264">
        <v>136341353.01784399</v>
      </c>
      <c r="G6" s="264">
        <v>137272799.98921597</v>
      </c>
      <c r="H6" s="265">
        <f>IF(SUM(C6:G6)=0,0,AVERAGE(C6:G6))</f>
        <v>132812994.22265919</v>
      </c>
    </row>
    <row r="7" spans="1:10" ht="42" x14ac:dyDescent="0.35">
      <c r="A7" s="262" t="s">
        <v>169</v>
      </c>
      <c r="B7" s="263" t="s">
        <v>480</v>
      </c>
      <c r="C7" s="266">
        <f t="shared" ref="C7:H7" si="0">C5-C6</f>
        <v>1353209454.0829999</v>
      </c>
      <c r="D7" s="266">
        <f t="shared" si="0"/>
        <v>1359141273.9499772</v>
      </c>
      <c r="E7" s="266">
        <f t="shared" si="0"/>
        <v>1317556155.3837867</v>
      </c>
      <c r="F7" s="266">
        <f t="shared" si="0"/>
        <v>1375898936.7821565</v>
      </c>
      <c r="G7" s="266">
        <f t="shared" si="0"/>
        <v>1339806073.5207844</v>
      </c>
      <c r="H7" s="267">
        <f t="shared" si="0"/>
        <v>1349122378.7439408</v>
      </c>
    </row>
    <row r="8" spans="1:10" ht="29" x14ac:dyDescent="0.35">
      <c r="A8" s="262" t="s">
        <v>170</v>
      </c>
      <c r="B8" s="263" t="s">
        <v>481</v>
      </c>
      <c r="C8" s="264">
        <v>1441031602.9491653</v>
      </c>
      <c r="D8" s="264">
        <v>1444462268.3782332</v>
      </c>
      <c r="E8" s="264">
        <v>1409167204.6448758</v>
      </c>
      <c r="F8" s="264">
        <v>1467265688.8070498</v>
      </c>
      <c r="G8" s="264">
        <v>1438045051.8183432</v>
      </c>
      <c r="H8" s="265">
        <f>IF(SUM(C8:G8)=0,0,AVERAGE(C8:G8))</f>
        <v>1439994363.3195333</v>
      </c>
    </row>
    <row r="9" spans="1:10" ht="43.5" x14ac:dyDescent="0.35">
      <c r="A9" s="262" t="s">
        <v>171</v>
      </c>
      <c r="B9" s="263" t="s">
        <v>482</v>
      </c>
      <c r="C9" s="268">
        <v>127719317.76691541</v>
      </c>
      <c r="D9" s="264">
        <v>129931725.81867522</v>
      </c>
      <c r="E9" s="264">
        <v>130935103.82822037</v>
      </c>
      <c r="F9" s="264">
        <v>135703546.34999901</v>
      </c>
      <c r="G9" s="264">
        <v>136630636.00001591</v>
      </c>
      <c r="H9" s="265">
        <f>IF(SUM(C9:G9)=0,0,AVERAGE(C9:G9))</f>
        <v>132184065.95276518</v>
      </c>
    </row>
    <row r="10" spans="1:10" ht="42" x14ac:dyDescent="0.35">
      <c r="A10" s="262" t="s">
        <v>183</v>
      </c>
      <c r="B10" s="263" t="s">
        <v>483</v>
      </c>
      <c r="C10" s="266">
        <f t="shared" ref="C10:H10" si="1">C8-C9</f>
        <v>1313312285.18225</v>
      </c>
      <c r="D10" s="266">
        <f t="shared" si="1"/>
        <v>1314530542.5595579</v>
      </c>
      <c r="E10" s="266">
        <f t="shared" si="1"/>
        <v>1278232100.8166554</v>
      </c>
      <c r="F10" s="266">
        <f t="shared" si="1"/>
        <v>1331562142.4570508</v>
      </c>
      <c r="G10" s="266">
        <f t="shared" si="1"/>
        <v>1301414415.8183272</v>
      </c>
      <c r="H10" s="267">
        <f t="shared" si="1"/>
        <v>1307810297.3667681</v>
      </c>
    </row>
    <row r="11" spans="1:10" ht="29" x14ac:dyDescent="0.35">
      <c r="A11" s="262" t="s">
        <v>173</v>
      </c>
      <c r="B11" s="263" t="s">
        <v>484</v>
      </c>
      <c r="C11" s="269">
        <f t="shared" ref="C11:H11" si="2">IF(C10=0,"",C7/C10)</f>
        <v>1.0303790418706191</v>
      </c>
      <c r="D11" s="269">
        <f t="shared" si="2"/>
        <v>1.0339366260015204</v>
      </c>
      <c r="E11" s="269">
        <f t="shared" si="2"/>
        <v>1.0307644085467791</v>
      </c>
      <c r="F11" s="269">
        <f t="shared" si="2"/>
        <v>1.0332968270210008</v>
      </c>
      <c r="G11" s="269">
        <f t="shared" si="2"/>
        <v>1.0294999480840363</v>
      </c>
      <c r="H11" s="270">
        <f t="shared" si="2"/>
        <v>1.0315887414714147</v>
      </c>
    </row>
    <row r="12" spans="1:10" x14ac:dyDescent="0.35">
      <c r="A12" s="271"/>
      <c r="B12" s="340" t="s">
        <v>485</v>
      </c>
      <c r="C12" s="341"/>
      <c r="D12" s="341"/>
      <c r="E12" s="341"/>
      <c r="F12" s="341"/>
      <c r="G12" s="341"/>
      <c r="H12" s="342"/>
    </row>
    <row r="13" spans="1:10" ht="29" x14ac:dyDescent="0.35">
      <c r="A13" s="262" t="s">
        <v>174</v>
      </c>
      <c r="B13" s="263" t="s">
        <v>486</v>
      </c>
      <c r="C13" s="272">
        <f>C4/C5</f>
        <v>1.0036565288594965</v>
      </c>
      <c r="D13" s="272">
        <f t="shared" ref="D13:G13" si="3">D4/D5</f>
        <v>1.0037332702162522</v>
      </c>
      <c r="E13" s="272">
        <f t="shared" si="3"/>
        <v>1.0033776348247481</v>
      </c>
      <c r="F13" s="272">
        <f t="shared" si="3"/>
        <v>1.0036241430855704</v>
      </c>
      <c r="G13" s="272">
        <f t="shared" si="3"/>
        <v>1.0037733845311323</v>
      </c>
      <c r="H13" s="273">
        <f>IF(SUM(C13:G13)=0,0,AVERAGE(C13:G13))</f>
        <v>1.0036329923034397</v>
      </c>
    </row>
    <row r="14" spans="1:10" x14ac:dyDescent="0.35">
      <c r="A14" s="271"/>
      <c r="B14" s="340" t="s">
        <v>487</v>
      </c>
      <c r="C14" s="341"/>
      <c r="D14" s="341"/>
      <c r="E14" s="341"/>
      <c r="F14" s="341"/>
      <c r="G14" s="341"/>
      <c r="H14" s="342"/>
    </row>
    <row r="15" spans="1:10" ht="15" thickBot="1" x14ac:dyDescent="0.4">
      <c r="A15" s="274" t="s">
        <v>131</v>
      </c>
      <c r="B15" s="275" t="s">
        <v>488</v>
      </c>
      <c r="C15" s="276">
        <f t="shared" ref="C15:H15" si="4">IF(C11="","",C11*C13)</f>
        <v>1.0341466525734395</v>
      </c>
      <c r="D15" s="276">
        <f t="shared" si="4"/>
        <v>1.0377965908128641</v>
      </c>
      <c r="E15" s="276">
        <f t="shared" si="4"/>
        <v>1.0342459543091975</v>
      </c>
      <c r="F15" s="276">
        <f t="shared" si="4"/>
        <v>1.0370416425719908</v>
      </c>
      <c r="G15" s="276">
        <f t="shared" si="4"/>
        <v>1.0333846472629382</v>
      </c>
      <c r="H15" s="277">
        <f t="shared" si="4"/>
        <v>1.0353364954294955</v>
      </c>
    </row>
    <row r="18" spans="2:6" x14ac:dyDescent="0.35">
      <c r="B18" t="s">
        <v>490</v>
      </c>
      <c r="C18" s="13">
        <f>'UFE Analysis'!F72</f>
        <v>1387351838.5439301</v>
      </c>
      <c r="D18" s="13">
        <f>'UFE Analysis'!F73</f>
        <v>1394105211.0121119</v>
      </c>
      <c r="E18" s="13">
        <f>'UFE Analysis'!F74</f>
        <v>1253092327.6307714</v>
      </c>
      <c r="F18" s="13">
        <f>'UFE Analysis'!F75</f>
        <v>1206275845.4826071</v>
      </c>
    </row>
    <row r="19" spans="2:6" x14ac:dyDescent="0.35">
      <c r="B19" t="s">
        <v>491</v>
      </c>
      <c r="C19" s="13">
        <f>C18/C11</f>
        <v>1346448037.243885</v>
      </c>
      <c r="D19" s="13">
        <f>D18/D11</f>
        <v>1348346867.6445377</v>
      </c>
      <c r="E19" s="13">
        <f>E18/E11</f>
        <v>1215692273.8508606</v>
      </c>
      <c r="F19" s="13">
        <f>F18/F11</f>
        <v>1167404964.3221161</v>
      </c>
    </row>
    <row r="20" spans="2:6" x14ac:dyDescent="0.35">
      <c r="B20" t="s">
        <v>492</v>
      </c>
      <c r="C20" s="283">
        <v>1.0404</v>
      </c>
      <c r="D20" s="283">
        <v>1.0362</v>
      </c>
      <c r="E20" s="283">
        <v>1.0362</v>
      </c>
      <c r="F20" s="283">
        <v>1.0362</v>
      </c>
    </row>
    <row r="21" spans="2:6" x14ac:dyDescent="0.35">
      <c r="B21" t="s">
        <v>498</v>
      </c>
      <c r="C21" s="13">
        <f>C19*C20</f>
        <v>1400844537.9485381</v>
      </c>
      <c r="D21" s="13">
        <f t="shared" ref="D21:F21" si="5">D19*D20</f>
        <v>1397157024.2532699</v>
      </c>
      <c r="E21" s="13">
        <f t="shared" si="5"/>
        <v>1259700334.1642618</v>
      </c>
      <c r="F21" s="13">
        <f t="shared" si="5"/>
        <v>1209665024.0305767</v>
      </c>
    </row>
  </sheetData>
  <mergeCells count="6">
    <mergeCell ref="B14:H14"/>
    <mergeCell ref="A1:B2"/>
    <mergeCell ref="C1:G1"/>
    <mergeCell ref="H1:H2"/>
    <mergeCell ref="B3:H3"/>
    <mergeCell ref="B12:H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83"/>
  <sheetViews>
    <sheetView zoomScale="70" zoomScaleNormal="70" workbookViewId="0">
      <pane xSplit="2" ySplit="3" topLeftCell="G4" activePane="bottomRight" state="frozen"/>
      <selection pane="topRight" activeCell="C1" sqref="C1"/>
      <selection pane="bottomLeft" activeCell="A3" sqref="A3"/>
      <selection pane="bottomRight" activeCell="O1" sqref="O1:O1048576"/>
    </sheetView>
  </sheetViews>
  <sheetFormatPr defaultColWidth="9.1796875" defaultRowHeight="14.5" x14ac:dyDescent="0.35"/>
  <cols>
    <col min="1" max="3" width="20.453125" style="143" customWidth="1"/>
    <col min="4" max="9" width="20.453125" style="13" customWidth="1"/>
    <col min="10" max="10" width="20.453125" style="143" customWidth="1"/>
    <col min="11" max="13" width="20.453125" style="13" customWidth="1"/>
    <col min="14" max="14" width="20.453125" style="143" customWidth="1"/>
    <col min="15" max="18" width="20.453125" style="13" customWidth="1"/>
    <col min="19" max="19" width="20.453125" style="143" customWidth="1"/>
    <col min="20" max="22" width="20.453125" style="13" customWidth="1"/>
    <col min="23" max="23" width="18" style="40" customWidth="1"/>
    <col min="24" max="25" width="20.453125" style="13" customWidth="1"/>
    <col min="26" max="26" width="20.453125" style="143" customWidth="1"/>
    <col min="27" max="28" width="20.453125" style="13" customWidth="1"/>
    <col min="29" max="16384" width="9.1796875" style="134"/>
  </cols>
  <sheetData>
    <row r="1" spans="1:28" ht="15" thickBot="1" x14ac:dyDescent="0.4">
      <c r="A1" s="52" t="s">
        <v>181</v>
      </c>
      <c r="B1" s="133"/>
      <c r="C1" s="133"/>
      <c r="D1" s="53" t="s">
        <v>23</v>
      </c>
      <c r="E1" s="53" t="s">
        <v>27</v>
      </c>
      <c r="F1" s="53" t="s">
        <v>169</v>
      </c>
      <c r="G1" s="53" t="s">
        <v>170</v>
      </c>
      <c r="H1" s="53" t="s">
        <v>171</v>
      </c>
      <c r="I1" s="53" t="s">
        <v>172</v>
      </c>
      <c r="J1" s="53"/>
      <c r="K1" s="53" t="s">
        <v>173</v>
      </c>
      <c r="L1" s="53" t="s">
        <v>174</v>
      </c>
      <c r="M1" s="53" t="s">
        <v>131</v>
      </c>
      <c r="N1" s="53"/>
      <c r="O1" s="53" t="s">
        <v>175</v>
      </c>
      <c r="P1" s="53" t="s">
        <v>176</v>
      </c>
      <c r="Q1" s="53" t="s">
        <v>254</v>
      </c>
      <c r="R1" s="53" t="s">
        <v>177</v>
      </c>
      <c r="S1" s="53"/>
      <c r="T1" s="53" t="s">
        <v>178</v>
      </c>
      <c r="U1" s="53" t="s">
        <v>179</v>
      </c>
      <c r="V1" s="53" t="s">
        <v>180</v>
      </c>
      <c r="X1" s="53" t="s">
        <v>306</v>
      </c>
      <c r="Y1" s="53" t="s">
        <v>304</v>
      </c>
      <c r="Z1" s="53"/>
      <c r="AA1" s="53" t="s">
        <v>305</v>
      </c>
      <c r="AB1" s="53" t="s">
        <v>307</v>
      </c>
    </row>
    <row r="2" spans="1:28" s="58" customFormat="1" x14ac:dyDescent="0.35">
      <c r="A2" s="2"/>
      <c r="B2" s="2"/>
      <c r="C2" s="2"/>
      <c r="D2" s="310" t="s">
        <v>153</v>
      </c>
      <c r="E2" s="311"/>
      <c r="F2" s="311"/>
      <c r="G2" s="311"/>
      <c r="H2" s="311"/>
      <c r="I2" s="312"/>
      <c r="J2" s="2"/>
      <c r="K2" s="313" t="s">
        <v>154</v>
      </c>
      <c r="L2" s="314"/>
      <c r="M2" s="315"/>
      <c r="N2" s="2"/>
      <c r="O2" s="304" t="s">
        <v>155</v>
      </c>
      <c r="P2" s="305"/>
      <c r="Q2" s="305"/>
      <c r="R2" s="306"/>
      <c r="S2" s="2"/>
      <c r="T2" s="307" t="s">
        <v>156</v>
      </c>
      <c r="U2" s="308"/>
      <c r="V2" s="309"/>
      <c r="W2" s="56"/>
      <c r="X2" s="302" t="s">
        <v>308</v>
      </c>
      <c r="Y2" s="303"/>
      <c r="Z2" s="2"/>
      <c r="AA2" s="302" t="s">
        <v>309</v>
      </c>
      <c r="AB2" s="303"/>
    </row>
    <row r="3" spans="1:28" s="59" customFormat="1" ht="66.75" customHeight="1" thickBot="1" x14ac:dyDescent="0.4">
      <c r="A3" s="95" t="s">
        <v>61</v>
      </c>
      <c r="B3" s="95" t="s">
        <v>62</v>
      </c>
      <c r="C3" s="95"/>
      <c r="D3" s="26" t="s">
        <v>66</v>
      </c>
      <c r="E3" s="96" t="s">
        <v>135</v>
      </c>
      <c r="F3" s="96" t="s">
        <v>136</v>
      </c>
      <c r="G3" s="96" t="s">
        <v>67</v>
      </c>
      <c r="H3" s="96" t="s">
        <v>68</v>
      </c>
      <c r="I3" s="97" t="s">
        <v>69</v>
      </c>
      <c r="J3" s="95"/>
      <c r="K3" s="26" t="s">
        <v>133</v>
      </c>
      <c r="L3" s="96" t="s">
        <v>132</v>
      </c>
      <c r="M3" s="97" t="s">
        <v>134</v>
      </c>
      <c r="N3" s="95"/>
      <c r="O3" s="98" t="s">
        <v>63</v>
      </c>
      <c r="P3" s="99" t="s">
        <v>64</v>
      </c>
      <c r="Q3" s="100" t="s">
        <v>148</v>
      </c>
      <c r="R3" s="101" t="s">
        <v>65</v>
      </c>
      <c r="S3" s="95"/>
      <c r="T3" s="27" t="s">
        <v>139</v>
      </c>
      <c r="U3" s="28" t="s">
        <v>137</v>
      </c>
      <c r="V3" s="29" t="s">
        <v>138</v>
      </c>
      <c r="W3" s="57"/>
      <c r="X3" s="155" t="s">
        <v>301</v>
      </c>
      <c r="Y3" s="156" t="s">
        <v>302</v>
      </c>
      <c r="Z3" s="95"/>
      <c r="AA3" s="155" t="s">
        <v>301</v>
      </c>
      <c r="AB3" s="156" t="s">
        <v>302</v>
      </c>
    </row>
    <row r="4" spans="1:28" x14ac:dyDescent="0.35">
      <c r="A4" s="135">
        <v>42005</v>
      </c>
      <c r="B4" s="135">
        <f>EOMONTH(A4, 1)</f>
        <v>42063</v>
      </c>
      <c r="C4" s="135"/>
      <c r="D4" s="33">
        <v>4050841</v>
      </c>
      <c r="E4" s="33">
        <v>397905.11</v>
      </c>
      <c r="F4" s="33">
        <v>6590724.75</v>
      </c>
      <c r="G4" s="33">
        <v>4263793</v>
      </c>
      <c r="H4" s="33">
        <v>-4993216.3499999996</v>
      </c>
      <c r="I4" s="40">
        <f t="shared" ref="I4:I24" si="0">G4+H4</f>
        <v>-729423.34999999963</v>
      </c>
      <c r="J4" s="135"/>
      <c r="K4" s="40">
        <f t="array" ref="K4:K51">TRANSPOSE('Cl B Non-RPP GA'!E64:AZ64)</f>
        <v>3365629.56</v>
      </c>
      <c r="L4" s="40">
        <f t="array" ref="L4:L51">TRANSPOSE('Cl B Non-RPP GA'!E129:AZ129)</f>
        <v>3708857.2500000005</v>
      </c>
      <c r="M4" s="33">
        <f>-'RPP GA Est &amp; True-Up'!I5</f>
        <v>3562600.04</v>
      </c>
      <c r="N4" s="135"/>
      <c r="O4" s="33">
        <v>5523661.2929800004</v>
      </c>
      <c r="P4" s="33">
        <v>1259868.2881</v>
      </c>
      <c r="Q4" s="33">
        <f>'RPP GA Est &amp; True-Up'!N5</f>
        <v>4993216.3400000036</v>
      </c>
      <c r="R4" s="40">
        <f>O4-(P4+Q4)</f>
        <v>-729423.33512000367</v>
      </c>
      <c r="S4" s="135"/>
      <c r="T4" s="33">
        <f>'RPP GA Est &amp; True-Up'!S5</f>
        <v>4809448.5961165996</v>
      </c>
      <c r="U4" s="40">
        <f>O4-(P4+T4)</f>
        <v>-545655.59123659879</v>
      </c>
      <c r="V4" s="40">
        <f>U4-I4</f>
        <v>183767.75876340084</v>
      </c>
      <c r="X4" s="33">
        <f>E4+F4-Q4</f>
        <v>1995413.5199999968</v>
      </c>
      <c r="Y4" s="33">
        <v>-5250915.93</v>
      </c>
      <c r="Z4" s="136"/>
      <c r="AA4" s="33">
        <f>E4+F4-T4</f>
        <v>2179181.2638834007</v>
      </c>
      <c r="AB4" s="33">
        <f>Y4</f>
        <v>-5250915.93</v>
      </c>
    </row>
    <row r="5" spans="1:28" x14ac:dyDescent="0.35">
      <c r="A5" s="135">
        <v>42036</v>
      </c>
      <c r="B5" s="135">
        <f t="shared" ref="B5:B51" si="1">EOMONTH(A5, 1)</f>
        <v>42094</v>
      </c>
      <c r="C5" s="135"/>
      <c r="D5" s="33">
        <v>6517606.2699999996</v>
      </c>
      <c r="E5" s="33">
        <v>290628.89</v>
      </c>
      <c r="F5" s="33">
        <v>4788507.92</v>
      </c>
      <c r="G5" s="33">
        <v>4098472.76</v>
      </c>
      <c r="H5" s="33">
        <v>-1705646.5</v>
      </c>
      <c r="I5" s="40">
        <f t="shared" si="0"/>
        <v>2392826.2599999998</v>
      </c>
      <c r="J5" s="135"/>
      <c r="K5" s="40">
        <v>2429352.8899999997</v>
      </c>
      <c r="L5" s="40">
        <v>4148441.19</v>
      </c>
      <c r="M5" s="33">
        <f>-'RPP GA Est &amp; True-Up'!I6</f>
        <v>4292087.4000000004</v>
      </c>
      <c r="N5" s="135"/>
      <c r="O5" s="33">
        <v>5627928.2192199994</v>
      </c>
      <c r="P5" s="33">
        <v>1529455.4544000002</v>
      </c>
      <c r="Q5" s="33">
        <f>'RPP GA Est &amp; True-Up'!N6</f>
        <v>1705646.5</v>
      </c>
      <c r="R5" s="40">
        <f>O5-(P5+Q5)</f>
        <v>2392826.2648199992</v>
      </c>
      <c r="S5" s="135"/>
      <c r="T5" s="33">
        <f>'RPP GA Est &amp; True-Up'!S6</f>
        <v>-1206511.799008505</v>
      </c>
      <c r="U5" s="40">
        <f t="shared" ref="U5:U51" si="2">O5-(P5+T5)</f>
        <v>5304984.5638285037</v>
      </c>
      <c r="V5" s="40">
        <f t="shared" ref="V5:V51" si="3">U5-I5</f>
        <v>2912158.3038285039</v>
      </c>
      <c r="X5" s="33">
        <f t="shared" ref="X5:X51" si="4">E5+F5-Q5</f>
        <v>3373490.3099999996</v>
      </c>
      <c r="Y5" s="33">
        <v>-3960505.15</v>
      </c>
      <c r="Z5" s="136"/>
      <c r="AA5" s="33">
        <f t="shared" ref="AA5:AA51" si="5">E5+F5-T5</f>
        <v>6285648.6090085041</v>
      </c>
      <c r="AB5" s="33">
        <f t="shared" ref="AB5:AB51" si="6">Y5</f>
        <v>-3960505.15</v>
      </c>
    </row>
    <row r="6" spans="1:28" x14ac:dyDescent="0.35">
      <c r="A6" s="135">
        <v>42064</v>
      </c>
      <c r="B6" s="135">
        <f t="shared" si="1"/>
        <v>42124</v>
      </c>
      <c r="C6" s="135"/>
      <c r="D6" s="33">
        <v>3270262.6</v>
      </c>
      <c r="E6" s="33">
        <v>447761.3</v>
      </c>
      <c r="F6" s="33">
        <v>7661800.2699999996</v>
      </c>
      <c r="G6" s="33">
        <v>3873732.6399999997</v>
      </c>
      <c r="H6" s="33">
        <v>-3435270.7399999998</v>
      </c>
      <c r="I6" s="40">
        <f t="shared" si="0"/>
        <v>438461.89999999991</v>
      </c>
      <c r="J6" s="135"/>
      <c r="K6" s="40">
        <v>4125784.93</v>
      </c>
      <c r="L6" s="40">
        <v>2463662.8600000003</v>
      </c>
      <c r="M6" s="33">
        <f>-'RPP GA Est &amp; True-Up'!I7</f>
        <v>2380265.44</v>
      </c>
      <c r="N6" s="135"/>
      <c r="O6" s="33">
        <v>6560384.9247999992</v>
      </c>
      <c r="P6" s="33">
        <v>2686652.2800000003</v>
      </c>
      <c r="Q6" s="33">
        <f>'RPP GA Est &amp; True-Up'!N7</f>
        <v>3435270.7500000005</v>
      </c>
      <c r="R6" s="40">
        <f t="shared" ref="R6:R35" si="7">O6-(P6+Q6)</f>
        <v>438461.89479999803</v>
      </c>
      <c r="S6" s="135"/>
      <c r="T6" s="33">
        <f>'RPP GA Est &amp; True-Up'!S7</f>
        <v>6732976.6732007042</v>
      </c>
      <c r="U6" s="40">
        <f t="shared" si="2"/>
        <v>-2859244.0284007061</v>
      </c>
      <c r="V6" s="40">
        <f t="shared" si="3"/>
        <v>-3297705.928400706</v>
      </c>
      <c r="X6" s="33">
        <f t="shared" si="4"/>
        <v>4674290.8199999984</v>
      </c>
      <c r="Y6" s="33">
        <v>-4582716.29</v>
      </c>
      <c r="Z6" s="136"/>
      <c r="AA6" s="33">
        <f t="shared" si="5"/>
        <v>1376584.8967992952</v>
      </c>
      <c r="AB6" s="33">
        <f t="shared" si="6"/>
        <v>-4582716.29</v>
      </c>
    </row>
    <row r="7" spans="1:28" x14ac:dyDescent="0.35">
      <c r="A7" s="135">
        <v>42095</v>
      </c>
      <c r="B7" s="135">
        <f t="shared" si="1"/>
        <v>42155</v>
      </c>
      <c r="C7" s="135"/>
      <c r="D7" s="33">
        <v>1861420.15</v>
      </c>
      <c r="E7" s="33">
        <v>588292.96</v>
      </c>
      <c r="F7" s="33">
        <v>10150293.439999999</v>
      </c>
      <c r="G7" s="33">
        <v>3099475.9</v>
      </c>
      <c r="H7" s="33">
        <v>-4788573.08</v>
      </c>
      <c r="I7" s="40">
        <f t="shared" si="0"/>
        <v>-1689097.1800000002</v>
      </c>
      <c r="J7" s="135"/>
      <c r="K7" s="40">
        <v>5717911.8999999994</v>
      </c>
      <c r="L7" s="40">
        <v>3948030.96</v>
      </c>
      <c r="M7" s="33">
        <f>-'RPP GA Est &amp; True-Up'!I8</f>
        <v>4039273.73</v>
      </c>
      <c r="N7" s="135"/>
      <c r="O7" s="33">
        <v>5038266.8878999995</v>
      </c>
      <c r="P7" s="33">
        <v>1938790.99</v>
      </c>
      <c r="Q7" s="33">
        <f>'RPP GA Est &amp; True-Up'!N8</f>
        <v>4788573.0799999982</v>
      </c>
      <c r="R7" s="40">
        <f t="shared" si="7"/>
        <v>-1689097.1820999989</v>
      </c>
      <c r="S7" s="135"/>
      <c r="T7" s="33">
        <f>'RPP GA Est &amp; True-Up'!S8</f>
        <v>4304610.1107473001</v>
      </c>
      <c r="U7" s="40">
        <f t="shared" si="2"/>
        <v>-1205134.2128473008</v>
      </c>
      <c r="V7" s="40">
        <f t="shared" si="3"/>
        <v>483962.96715269936</v>
      </c>
      <c r="X7" s="33">
        <f>E7+F7-Q7</f>
        <v>5950013.3200000003</v>
      </c>
      <c r="Y7" s="33">
        <v>-2828026.7399999998</v>
      </c>
      <c r="Z7" s="136"/>
      <c r="AA7" s="33">
        <f t="shared" si="5"/>
        <v>6433976.2892526984</v>
      </c>
      <c r="AB7" s="33">
        <f t="shared" si="6"/>
        <v>-2828026.7399999998</v>
      </c>
    </row>
    <row r="8" spans="1:28" x14ac:dyDescent="0.35">
      <c r="A8" s="135">
        <v>42125</v>
      </c>
      <c r="B8" s="135">
        <f t="shared" si="1"/>
        <v>42185</v>
      </c>
      <c r="C8" s="135"/>
      <c r="D8" s="33">
        <v>1801451.57</v>
      </c>
      <c r="E8" s="33">
        <v>594935.35</v>
      </c>
      <c r="F8" s="33">
        <v>10531509.609999999</v>
      </c>
      <c r="G8" s="33">
        <v>3982105.8</v>
      </c>
      <c r="H8" s="33">
        <v>-4860039</v>
      </c>
      <c r="I8" s="40">
        <f t="shared" si="0"/>
        <v>-877933.20000000019</v>
      </c>
      <c r="J8" s="135"/>
      <c r="K8" s="40">
        <v>5999682.7700000005</v>
      </c>
      <c r="L8" s="40">
        <v>5731334.1800000006</v>
      </c>
      <c r="M8" s="33">
        <f>-'RPP GA Est &amp; True-Up'!I9</f>
        <v>5536163.70159801</v>
      </c>
      <c r="N8" s="135"/>
      <c r="O8" s="33">
        <v>5318510.6585099995</v>
      </c>
      <c r="P8" s="33">
        <v>1336404.85754</v>
      </c>
      <c r="Q8" s="33">
        <f>'RPP GA Est &amp; True-Up'!N9</f>
        <v>4860038.9999999991</v>
      </c>
      <c r="R8" s="40">
        <f t="shared" si="7"/>
        <v>-877933.19902999979</v>
      </c>
      <c r="S8" s="135"/>
      <c r="T8" s="33">
        <f>'RPP GA Est &amp; True-Up'!S9</f>
        <v>3772162.7520755092</v>
      </c>
      <c r="U8" s="40">
        <f t="shared" si="2"/>
        <v>209943.04889449012</v>
      </c>
      <c r="V8" s="40">
        <f t="shared" si="3"/>
        <v>1087876.2488944903</v>
      </c>
      <c r="X8" s="33">
        <f t="shared" si="4"/>
        <v>6266405.96</v>
      </c>
      <c r="Y8" s="33">
        <v>-4627566.6899999995</v>
      </c>
      <c r="Z8" s="136"/>
      <c r="AA8" s="33">
        <f t="shared" si="5"/>
        <v>7354282.2079244899</v>
      </c>
      <c r="AB8" s="33">
        <f t="shared" si="6"/>
        <v>-4627566.6899999995</v>
      </c>
    </row>
    <row r="9" spans="1:28" x14ac:dyDescent="0.35">
      <c r="A9" s="135">
        <v>42156</v>
      </c>
      <c r="B9" s="135">
        <f t="shared" si="1"/>
        <v>42216</v>
      </c>
      <c r="C9" s="135"/>
      <c r="D9" s="33">
        <v>1815621.46</v>
      </c>
      <c r="E9" s="33">
        <v>597423.37</v>
      </c>
      <c r="F9" s="33">
        <v>10549642.84</v>
      </c>
      <c r="G9" s="33">
        <v>3843131.1100000003</v>
      </c>
      <c r="H9" s="33">
        <v>-5013164</v>
      </c>
      <c r="I9" s="40">
        <f t="shared" si="0"/>
        <v>-1170032.8899999997</v>
      </c>
      <c r="J9" s="135"/>
      <c r="K9" s="40">
        <v>5960658.6699999999</v>
      </c>
      <c r="L9" s="40">
        <v>5731791.8199999994</v>
      </c>
      <c r="M9" s="33">
        <f>-'RPP GA Est &amp; True-Up'!I10</f>
        <v>5939116.3780712299</v>
      </c>
      <c r="N9" s="135"/>
      <c r="O9" s="33">
        <v>4644104.6360599995</v>
      </c>
      <c r="P9" s="33">
        <v>800973.51585999993</v>
      </c>
      <c r="Q9" s="33">
        <f>'RPP GA Est &amp; True-Up'!N10</f>
        <v>5013164</v>
      </c>
      <c r="R9" s="40">
        <f t="shared" si="7"/>
        <v>-1170032.8798000002</v>
      </c>
      <c r="S9" s="135"/>
      <c r="T9" s="33">
        <f>'RPP GA Est &amp; True-Up'!S10</f>
        <v>4549644.9257947914</v>
      </c>
      <c r="U9" s="40">
        <f t="shared" si="2"/>
        <v>-706513.80559479166</v>
      </c>
      <c r="V9" s="40">
        <f t="shared" si="3"/>
        <v>463519.08440520801</v>
      </c>
      <c r="X9" s="33">
        <f t="shared" si="4"/>
        <v>6133902.209999999</v>
      </c>
      <c r="Y9" s="33">
        <v>-6180436.1099999994</v>
      </c>
      <c r="Z9" s="136"/>
      <c r="AA9" s="33">
        <f t="shared" si="5"/>
        <v>6597421.2842052076</v>
      </c>
      <c r="AB9" s="33">
        <f t="shared" si="6"/>
        <v>-6180436.1099999994</v>
      </c>
    </row>
    <row r="10" spans="1:28" x14ac:dyDescent="0.35">
      <c r="A10" s="135">
        <v>42186</v>
      </c>
      <c r="B10" s="135">
        <f t="shared" si="1"/>
        <v>42247</v>
      </c>
      <c r="C10" s="135"/>
      <c r="D10" s="33">
        <v>2891372.95</v>
      </c>
      <c r="E10" s="33">
        <v>523756.21</v>
      </c>
      <c r="F10" s="33">
        <v>9663560.5999999996</v>
      </c>
      <c r="G10" s="33">
        <v>4622126.45</v>
      </c>
      <c r="H10" s="33">
        <v>-4741759</v>
      </c>
      <c r="I10" s="40">
        <f t="shared" si="0"/>
        <v>-119632.54999999981</v>
      </c>
      <c r="J10" s="135"/>
      <c r="K10" s="40">
        <v>5180093.43</v>
      </c>
      <c r="L10" s="40">
        <v>5807806.3399999989</v>
      </c>
      <c r="M10" s="33">
        <f>-'RPP GA Est &amp; True-Up'!I11</f>
        <v>5679446.6799999904</v>
      </c>
      <c r="N10" s="135"/>
      <c r="O10" s="33">
        <v>5423088.4125600001</v>
      </c>
      <c r="P10" s="33">
        <v>800961.96</v>
      </c>
      <c r="Q10" s="33">
        <f>'RPP GA Est &amp; True-Up'!N11</f>
        <v>4741759.0000000009</v>
      </c>
      <c r="R10" s="40">
        <f t="shared" si="7"/>
        <v>-119632.54744000081</v>
      </c>
      <c r="S10" s="135"/>
      <c r="T10" s="33">
        <f>'RPP GA Est &amp; True-Up'!S11</f>
        <v>9952017.2096339688</v>
      </c>
      <c r="U10" s="40">
        <f t="shared" si="2"/>
        <v>-5329890.7570739696</v>
      </c>
      <c r="V10" s="40">
        <f t="shared" si="3"/>
        <v>-5210258.2070739698</v>
      </c>
      <c r="X10" s="33">
        <f t="shared" si="4"/>
        <v>5445557.8099999996</v>
      </c>
      <c r="Y10" s="33">
        <v>-6620127.8300000001</v>
      </c>
      <c r="Z10" s="136"/>
      <c r="AA10" s="33">
        <f t="shared" si="5"/>
        <v>235299.60036603175</v>
      </c>
      <c r="AB10" s="33">
        <f t="shared" si="6"/>
        <v>-6620127.8300000001</v>
      </c>
    </row>
    <row r="11" spans="1:28" x14ac:dyDescent="0.35">
      <c r="A11" s="135">
        <v>42217</v>
      </c>
      <c r="B11" s="135">
        <f t="shared" si="1"/>
        <v>42277</v>
      </c>
      <c r="C11" s="135"/>
      <c r="D11" s="33">
        <v>2897870.18</v>
      </c>
      <c r="E11" s="33">
        <v>509327.41</v>
      </c>
      <c r="F11" s="33">
        <v>9319741.4499999993</v>
      </c>
      <c r="G11" s="33">
        <v>3985132.21</v>
      </c>
      <c r="H11" s="33">
        <v>-2775416</v>
      </c>
      <c r="I11" s="40">
        <f t="shared" si="0"/>
        <v>1209716.21</v>
      </c>
      <c r="J11" s="135"/>
      <c r="K11" s="40">
        <v>5095809.58</v>
      </c>
      <c r="L11" s="40">
        <v>5578492.5300000003</v>
      </c>
      <c r="M11" s="33">
        <f>-'RPP GA Est &amp; True-Up'!I12</f>
        <v>5568016.54</v>
      </c>
      <c r="N11" s="135"/>
      <c r="O11" s="33">
        <v>4940485.1433800012</v>
      </c>
      <c r="P11" s="33">
        <v>955352.93219999992</v>
      </c>
      <c r="Q11" s="33">
        <f>'RPP GA Est &amp; True-Up'!N12</f>
        <v>2775416</v>
      </c>
      <c r="R11" s="40">
        <f t="shared" si="7"/>
        <v>1209716.2111800015</v>
      </c>
      <c r="S11" s="135"/>
      <c r="T11" s="33">
        <f>'RPP GA Est &amp; True-Up'!S12</f>
        <v>-1805082.1202332294</v>
      </c>
      <c r="U11" s="40">
        <f t="shared" si="2"/>
        <v>5790214.3314132309</v>
      </c>
      <c r="V11" s="40">
        <f t="shared" si="3"/>
        <v>4580498.1214132309</v>
      </c>
      <c r="X11" s="33">
        <f t="shared" si="4"/>
        <v>7053652.8599999994</v>
      </c>
      <c r="Y11" s="33">
        <v>-6256964.4799999995</v>
      </c>
      <c r="Z11" s="136"/>
      <c r="AA11" s="33">
        <f t="shared" si="5"/>
        <v>11634150.98023323</v>
      </c>
      <c r="AB11" s="33">
        <f t="shared" si="6"/>
        <v>-6256964.4799999995</v>
      </c>
    </row>
    <row r="12" spans="1:28" x14ac:dyDescent="0.35">
      <c r="A12" s="135">
        <v>42248</v>
      </c>
      <c r="B12" s="135">
        <f t="shared" si="1"/>
        <v>42308</v>
      </c>
      <c r="C12" s="135"/>
      <c r="D12" s="33">
        <v>3943548.67</v>
      </c>
      <c r="E12" s="33">
        <v>413284.77</v>
      </c>
      <c r="F12" s="33">
        <v>7790806.29</v>
      </c>
      <c r="G12" s="33">
        <v>4439543.91</v>
      </c>
      <c r="H12" s="33">
        <v>-3334732</v>
      </c>
      <c r="I12" s="40">
        <f t="shared" si="0"/>
        <v>1104811.9100000001</v>
      </c>
      <c r="J12" s="135"/>
      <c r="K12" s="40">
        <v>4271998.7799999993</v>
      </c>
      <c r="L12" s="40">
        <v>5243915.3599999985</v>
      </c>
      <c r="M12" s="33">
        <f>-'RPP GA Est &amp; True-Up'!I13</f>
        <v>5234559.2</v>
      </c>
      <c r="N12" s="135"/>
      <c r="O12" s="33">
        <v>5889907.7875399999</v>
      </c>
      <c r="P12" s="33">
        <v>1450363.8725000001</v>
      </c>
      <c r="Q12" s="33">
        <f>'RPP GA Est &amp; True-Up'!N13</f>
        <v>3334732</v>
      </c>
      <c r="R12" s="40">
        <f t="shared" si="7"/>
        <v>1104811.9150399994</v>
      </c>
      <c r="S12" s="135"/>
      <c r="T12" s="33">
        <f>'RPP GA Est &amp; True-Up'!S13</f>
        <v>4040621.1275642645</v>
      </c>
      <c r="U12" s="40">
        <f t="shared" si="2"/>
        <v>398922.78747573495</v>
      </c>
      <c r="V12" s="40">
        <f t="shared" si="3"/>
        <v>-705889.1225242652</v>
      </c>
      <c r="X12" s="33">
        <f t="shared" si="4"/>
        <v>4869359.0600000005</v>
      </c>
      <c r="Y12" s="33">
        <v>-6135478.1900000004</v>
      </c>
      <c r="Z12" s="136"/>
      <c r="AA12" s="33">
        <f t="shared" si="5"/>
        <v>4163469.9324357361</v>
      </c>
      <c r="AB12" s="33">
        <f t="shared" si="6"/>
        <v>-6135478.1900000004</v>
      </c>
    </row>
    <row r="13" spans="1:28" x14ac:dyDescent="0.35">
      <c r="A13" s="135">
        <v>42278</v>
      </c>
      <c r="B13" s="135">
        <f t="shared" si="1"/>
        <v>42338</v>
      </c>
      <c r="C13" s="135"/>
      <c r="D13" s="33">
        <v>2893776.24</v>
      </c>
      <c r="E13" s="33">
        <v>430203.05</v>
      </c>
      <c r="F13" s="33">
        <v>8189542.1299999999</v>
      </c>
      <c r="G13" s="33">
        <v>3632518.7800000003</v>
      </c>
      <c r="H13" s="33">
        <v>-2198538</v>
      </c>
      <c r="I13" s="40">
        <f t="shared" si="0"/>
        <v>1433980.7800000003</v>
      </c>
      <c r="J13" s="135"/>
      <c r="K13" s="40">
        <v>4605889.5300000012</v>
      </c>
      <c r="L13" s="40">
        <v>3927861.87</v>
      </c>
      <c r="M13" s="33">
        <f>-'RPP GA Est &amp; True-Up'!I14</f>
        <v>4028374.93</v>
      </c>
      <c r="N13" s="135"/>
      <c r="O13" s="33">
        <v>5089376.2005199995</v>
      </c>
      <c r="P13" s="33">
        <v>1456857.4247000001</v>
      </c>
      <c r="Q13" s="33">
        <f>'RPP GA Est &amp; True-Up'!N14</f>
        <v>2198538</v>
      </c>
      <c r="R13" s="40">
        <f t="shared" si="7"/>
        <v>1433980.7758199992</v>
      </c>
      <c r="S13" s="135"/>
      <c r="T13" s="33">
        <f>'RPP GA Est &amp; True-Up'!S14</f>
        <v>3137085.2722272929</v>
      </c>
      <c r="U13" s="40">
        <f t="shared" si="2"/>
        <v>495433.50359270629</v>
      </c>
      <c r="V13" s="40">
        <f t="shared" si="3"/>
        <v>-938547.27640729398</v>
      </c>
      <c r="X13" s="33">
        <f t="shared" si="4"/>
        <v>6421207.1799999997</v>
      </c>
      <c r="Y13" s="33">
        <v>-5699408.0600000005</v>
      </c>
      <c r="Z13" s="136"/>
      <c r="AA13" s="33">
        <f t="shared" si="5"/>
        <v>5482659.9077727068</v>
      </c>
      <c r="AB13" s="33">
        <f t="shared" si="6"/>
        <v>-5699408.0600000005</v>
      </c>
    </row>
    <row r="14" spans="1:28" x14ac:dyDescent="0.35">
      <c r="A14" s="135">
        <v>42309</v>
      </c>
      <c r="B14" s="135">
        <f t="shared" si="1"/>
        <v>42369</v>
      </c>
      <c r="C14" s="135"/>
      <c r="D14" s="33">
        <v>1207216.24</v>
      </c>
      <c r="E14" s="33">
        <v>648422.27</v>
      </c>
      <c r="F14" s="33">
        <v>12404981.75</v>
      </c>
      <c r="G14" s="33">
        <v>4068290.8</v>
      </c>
      <c r="H14" s="33">
        <v>-6470690</v>
      </c>
      <c r="I14" s="40">
        <f t="shared" si="0"/>
        <v>-2402399.2000000002</v>
      </c>
      <c r="J14" s="135"/>
      <c r="K14" s="40">
        <v>6842111.2099999981</v>
      </c>
      <c r="L14" s="40">
        <v>4629860.9700000007</v>
      </c>
      <c r="M14" s="33">
        <f>-'RPP GA Est &amp; True-Up'!I15</f>
        <v>4515860.92</v>
      </c>
      <c r="N14" s="135"/>
      <c r="O14" s="33">
        <v>5500488.32082</v>
      </c>
      <c r="P14" s="33">
        <v>1432197.5219000001</v>
      </c>
      <c r="Q14" s="33">
        <f>'RPP GA Est &amp; True-Up'!N15</f>
        <v>6470690</v>
      </c>
      <c r="R14" s="40">
        <f t="shared" si="7"/>
        <v>-2402399.20108</v>
      </c>
      <c r="S14" s="135"/>
      <c r="T14" s="33">
        <f>'RPP GA Est &amp; True-Up'!S15</f>
        <v>5893122.2039421042</v>
      </c>
      <c r="U14" s="40">
        <f t="shared" si="2"/>
        <v>-1824831.4050221043</v>
      </c>
      <c r="V14" s="40">
        <f t="shared" si="3"/>
        <v>577567.79497789592</v>
      </c>
      <c r="X14" s="33">
        <f t="shared" si="4"/>
        <v>6582714.0199999996</v>
      </c>
      <c r="Y14" s="33">
        <v>-4479872.66</v>
      </c>
      <c r="Z14" s="136"/>
      <c r="AA14" s="33">
        <f t="shared" si="5"/>
        <v>7160281.8160578953</v>
      </c>
      <c r="AB14" s="33">
        <f t="shared" si="6"/>
        <v>-4479872.66</v>
      </c>
    </row>
    <row r="15" spans="1:28" x14ac:dyDescent="0.35">
      <c r="A15" s="175">
        <v>42339</v>
      </c>
      <c r="B15" s="175">
        <f t="shared" si="1"/>
        <v>42400</v>
      </c>
      <c r="C15" s="175"/>
      <c r="D15" s="176">
        <v>1336812.29</v>
      </c>
      <c r="E15" s="176">
        <v>579079.98</v>
      </c>
      <c r="F15" s="176">
        <v>10886737.449999999</v>
      </c>
      <c r="G15" s="176">
        <v>4216709.7</v>
      </c>
      <c r="H15" s="176">
        <v>-7200247.9900000002</v>
      </c>
      <c r="I15" s="177">
        <f t="shared" si="0"/>
        <v>-2983538.29</v>
      </c>
      <c r="J15" s="175"/>
      <c r="K15" s="177">
        <v>5691409.0599999996</v>
      </c>
      <c r="L15" s="177">
        <v>6713766.1799999997</v>
      </c>
      <c r="M15" s="176">
        <f>-'RPP GA Est &amp; True-Up'!I16</f>
        <v>6855299.21</v>
      </c>
      <c r="N15" s="175"/>
      <c r="O15" s="176">
        <v>5035141.4646700006</v>
      </c>
      <c r="P15" s="176">
        <v>818431.76930000004</v>
      </c>
      <c r="Q15" s="176">
        <f>'RPP GA Est &amp; True-Up'!N16</f>
        <v>7200248</v>
      </c>
      <c r="R15" s="177">
        <f>O15-(P15+Q15)</f>
        <v>-2983538.3046299992</v>
      </c>
      <c r="S15" s="175"/>
      <c r="T15" s="176">
        <f>'RPP GA Est &amp; True-Up'!S16</f>
        <v>4873998.0332856029</v>
      </c>
      <c r="U15" s="177">
        <f t="shared" si="2"/>
        <v>-657288.33791560214</v>
      </c>
      <c r="V15" s="177">
        <f t="shared" si="3"/>
        <v>2326249.9520843979</v>
      </c>
      <c r="W15" s="177"/>
      <c r="X15" s="176">
        <f>E15+F15-Q15</f>
        <v>4265569.43</v>
      </c>
      <c r="Y15" s="176">
        <v>-5206968.16</v>
      </c>
      <c r="Z15" s="178"/>
      <c r="AA15" s="176">
        <f>E15+F15-T15</f>
        <v>6591819.3967143968</v>
      </c>
      <c r="AB15" s="176">
        <f t="shared" si="6"/>
        <v>-5206968.16</v>
      </c>
    </row>
    <row r="16" spans="1:28" x14ac:dyDescent="0.35">
      <c r="A16" s="135">
        <v>42370</v>
      </c>
      <c r="B16" s="135">
        <f t="shared" si="1"/>
        <v>42429</v>
      </c>
      <c r="C16" s="135"/>
      <c r="D16" s="33">
        <v>1800081.56</v>
      </c>
      <c r="E16" s="33">
        <v>620245.02</v>
      </c>
      <c r="F16" s="33">
        <v>11375783.85</v>
      </c>
      <c r="G16" s="33">
        <v>5199153.9000000004</v>
      </c>
      <c r="H16" s="33">
        <v>-4549208.01</v>
      </c>
      <c r="I16" s="40">
        <f t="shared" si="0"/>
        <v>649945.8900000006</v>
      </c>
      <c r="J16" s="135"/>
      <c r="K16" s="40">
        <v>5785405.9299999997</v>
      </c>
      <c r="L16" s="40">
        <v>5358438.1400000006</v>
      </c>
      <c r="M16" s="33">
        <f>-'RPP GA Est &amp; True-Up'!I17</f>
        <v>5116881.68</v>
      </c>
      <c r="N16" s="135"/>
      <c r="O16" s="33">
        <v>5841807.6433999995</v>
      </c>
      <c r="P16" s="33">
        <v>642653.74268999998</v>
      </c>
      <c r="Q16" s="33">
        <f>'RPP GA Est &amp; True-Up'!N17</f>
        <v>4549208.4726965949</v>
      </c>
      <c r="R16" s="40">
        <f t="shared" si="7"/>
        <v>649945.42801340483</v>
      </c>
      <c r="S16" s="135"/>
      <c r="T16" s="33">
        <f>'RPP GA Est &amp; True-Up'!S17</f>
        <v>5713098.6226965953</v>
      </c>
      <c r="U16" s="40">
        <f t="shared" si="2"/>
        <v>-513944.72198659554</v>
      </c>
      <c r="V16" s="40">
        <f t="shared" si="3"/>
        <v>-1163890.6119865961</v>
      </c>
      <c r="X16" s="33">
        <f t="shared" si="4"/>
        <v>7446820.3973034043</v>
      </c>
      <c r="Y16" s="33">
        <v>-7506029.21</v>
      </c>
      <c r="Z16" s="136"/>
      <c r="AA16" s="33">
        <f t="shared" si="5"/>
        <v>6282930.2473034039</v>
      </c>
      <c r="AB16" s="33">
        <f t="shared" si="6"/>
        <v>-7506029.21</v>
      </c>
    </row>
    <row r="17" spans="1:28" x14ac:dyDescent="0.35">
      <c r="A17" s="135">
        <v>42401</v>
      </c>
      <c r="B17" s="135">
        <f t="shared" si="1"/>
        <v>42460</v>
      </c>
      <c r="C17" s="135"/>
      <c r="D17" s="33">
        <v>1498068.62</v>
      </c>
      <c r="E17" s="33">
        <v>616221.88</v>
      </c>
      <c r="F17" s="33">
        <v>11288093.949999999</v>
      </c>
      <c r="G17" s="33">
        <v>5069902.9800000004</v>
      </c>
      <c r="H17" s="33">
        <v>-5675540.0099999998</v>
      </c>
      <c r="I17" s="40">
        <f t="shared" si="0"/>
        <v>-605637.02999999933</v>
      </c>
      <c r="J17" s="135"/>
      <c r="K17" s="40">
        <v>5888530.8076390503</v>
      </c>
      <c r="L17" s="40">
        <v>6098998.298243491</v>
      </c>
      <c r="M17" s="33">
        <f>-'RPP GA Est &amp; True-Up'!I18</f>
        <v>6242711.5499999998</v>
      </c>
      <c r="N17" s="135"/>
      <c r="O17" s="33">
        <v>5744304.2561900001</v>
      </c>
      <c r="P17" s="33">
        <v>674401.28018999996</v>
      </c>
      <c r="Q17" s="33">
        <f>'RPP GA Est &amp; True-Up'!N18</f>
        <v>5675539.8407691959</v>
      </c>
      <c r="R17" s="40">
        <f t="shared" si="7"/>
        <v>-605636.86476919614</v>
      </c>
      <c r="S17" s="135"/>
      <c r="T17" s="33">
        <f>'RPP GA Est &amp; True-Up'!S18</f>
        <v>5007015.5907691959</v>
      </c>
      <c r="U17" s="40">
        <f t="shared" si="2"/>
        <v>62887.385230803862</v>
      </c>
      <c r="V17" s="40">
        <f t="shared" si="3"/>
        <v>668524.41523080319</v>
      </c>
      <c r="X17" s="33">
        <f t="shared" si="4"/>
        <v>6228775.9892308041</v>
      </c>
      <c r="Y17" s="33">
        <v>-5783225</v>
      </c>
      <c r="Z17" s="136"/>
      <c r="AA17" s="33">
        <f t="shared" si="5"/>
        <v>6897300.2392308041</v>
      </c>
      <c r="AB17" s="33">
        <f t="shared" si="6"/>
        <v>-5783225</v>
      </c>
    </row>
    <row r="18" spans="1:28" x14ac:dyDescent="0.35">
      <c r="A18" s="135">
        <v>42430</v>
      </c>
      <c r="B18" s="135">
        <f t="shared" si="1"/>
        <v>42490</v>
      </c>
      <c r="C18" s="135"/>
      <c r="D18" s="33">
        <v>708235.29</v>
      </c>
      <c r="E18" s="33">
        <v>648918.89</v>
      </c>
      <c r="F18" s="33">
        <v>12224315.970000001</v>
      </c>
      <c r="G18" s="33">
        <v>5774656.0300000003</v>
      </c>
      <c r="H18" s="33">
        <v>-5482668</v>
      </c>
      <c r="I18" s="40">
        <f t="shared" si="0"/>
        <v>291988.03000000026</v>
      </c>
      <c r="J18" s="135"/>
      <c r="K18" s="40">
        <v>6590752.705839863</v>
      </c>
      <c r="L18" s="40">
        <v>5626585.9511450399</v>
      </c>
      <c r="M18" s="33">
        <f>-'RPP GA Est &amp; True-Up'!I19</f>
        <v>5593990.9100000001</v>
      </c>
      <c r="N18" s="135"/>
      <c r="O18" s="33">
        <v>6582859.061209999</v>
      </c>
      <c r="P18" s="33">
        <v>808203.03285000008</v>
      </c>
      <c r="Q18" s="33">
        <f>'RPP GA Est &amp; True-Up'!N19</f>
        <v>5482668.2811645046</v>
      </c>
      <c r="R18" s="40">
        <f t="shared" si="7"/>
        <v>291987.74719549436</v>
      </c>
      <c r="S18" s="135"/>
      <c r="T18" s="33">
        <f>'RPP GA Est &amp; True-Up'!S19</f>
        <v>5836849.0235254541</v>
      </c>
      <c r="U18" s="40">
        <f t="shared" si="2"/>
        <v>-62192.995165455155</v>
      </c>
      <c r="V18" s="40">
        <f t="shared" si="3"/>
        <v>-354181.02516545542</v>
      </c>
      <c r="X18" s="33">
        <f t="shared" si="4"/>
        <v>7390566.5788354967</v>
      </c>
      <c r="Y18" s="33">
        <v>-6921783.0800000001</v>
      </c>
      <c r="Z18" s="136"/>
      <c r="AA18" s="33">
        <f t="shared" si="5"/>
        <v>7036385.8364745472</v>
      </c>
      <c r="AB18" s="33">
        <f t="shared" si="6"/>
        <v>-6921783.0800000001</v>
      </c>
    </row>
    <row r="19" spans="1:28" x14ac:dyDescent="0.35">
      <c r="A19" s="135">
        <v>42461</v>
      </c>
      <c r="B19" s="135">
        <f t="shared" si="1"/>
        <v>42521</v>
      </c>
      <c r="C19" s="135"/>
      <c r="D19" s="33">
        <v>688028.87</v>
      </c>
      <c r="E19" s="33">
        <v>631841.56999999995</v>
      </c>
      <c r="F19" s="33">
        <v>11946990.050000001</v>
      </c>
      <c r="G19" s="33">
        <v>5144485.2300000004</v>
      </c>
      <c r="H19" s="33">
        <v>-6078636.0099999998</v>
      </c>
      <c r="I19" s="40">
        <f t="shared" si="0"/>
        <v>-934150.77999999933</v>
      </c>
      <c r="J19" s="135"/>
      <c r="K19" s="40">
        <v>6551476.1242977725</v>
      </c>
      <c r="L19" s="40">
        <v>6960629.0762445768</v>
      </c>
      <c r="M19" s="33">
        <f>-'RPP GA Est &amp; True-Up'!I20</f>
        <v>7032512.5899999999</v>
      </c>
      <c r="N19" s="135"/>
      <c r="O19" s="33">
        <v>5612241.5132299997</v>
      </c>
      <c r="P19" s="33">
        <v>467756.27878999995</v>
      </c>
      <c r="Q19" s="33">
        <f>'RPP GA Est &amp; True-Up'!N20</f>
        <v>6078635.7520188978</v>
      </c>
      <c r="R19" s="40">
        <f t="shared" si="7"/>
        <v>-934150.517578898</v>
      </c>
      <c r="S19" s="135"/>
      <c r="T19" s="33">
        <f>'RPP GA Est &amp; True-Up'!S20</f>
        <v>5081873.9561790349</v>
      </c>
      <c r="U19" s="40">
        <f t="shared" si="2"/>
        <v>62611.2782609649</v>
      </c>
      <c r="V19" s="40">
        <f t="shared" si="3"/>
        <v>996762.05826096423</v>
      </c>
      <c r="X19" s="33">
        <f t="shared" si="4"/>
        <v>6500195.8679811032</v>
      </c>
      <c r="Y19" s="33">
        <v>-6295914.8300000001</v>
      </c>
      <c r="Z19" s="136"/>
      <c r="AA19" s="33">
        <f t="shared" si="5"/>
        <v>7496957.6638209661</v>
      </c>
      <c r="AB19" s="33">
        <f t="shared" si="6"/>
        <v>-6295914.8300000001</v>
      </c>
    </row>
    <row r="20" spans="1:28" x14ac:dyDescent="0.35">
      <c r="A20" s="135">
        <v>42491</v>
      </c>
      <c r="B20" s="135">
        <f t="shared" si="1"/>
        <v>42551</v>
      </c>
      <c r="C20" s="135"/>
      <c r="D20" s="33">
        <v>1534086.33</v>
      </c>
      <c r="E20" s="33">
        <v>614519.14</v>
      </c>
      <c r="F20" s="33">
        <v>11663522.539999999</v>
      </c>
      <c r="G20" s="33">
        <v>5520329.4700000007</v>
      </c>
      <c r="H20" s="33">
        <v>-5488811</v>
      </c>
      <c r="I20" s="40">
        <f t="shared" si="0"/>
        <v>31518.470000000671</v>
      </c>
      <c r="J20" s="135"/>
      <c r="K20" s="40">
        <v>6522861.6899999995</v>
      </c>
      <c r="L20" s="40">
        <v>6280716.6243668925</v>
      </c>
      <c r="M20" s="33">
        <f>-'RPP GA Est &amp; True-Up'!I21</f>
        <v>6197341.4500000002</v>
      </c>
      <c r="N20" s="135"/>
      <c r="O20" s="33">
        <v>5839856.2308400003</v>
      </c>
      <c r="P20" s="33">
        <v>319526.74509000004</v>
      </c>
      <c r="Q20" s="33">
        <f>'RPP GA Est &amp; True-Up'!N21</f>
        <v>5488810.5500385026</v>
      </c>
      <c r="R20" s="40">
        <f t="shared" si="7"/>
        <v>31518.935711497441</v>
      </c>
      <c r="S20" s="135"/>
      <c r="T20" s="33">
        <f>'RPP GA Est &amp; True-Up'!S21</f>
        <v>5969847.0157407299</v>
      </c>
      <c r="U20" s="40">
        <f t="shared" si="2"/>
        <v>-449517.52999072988</v>
      </c>
      <c r="V20" s="40">
        <f t="shared" si="3"/>
        <v>-481035.99999073055</v>
      </c>
      <c r="X20" s="33">
        <f t="shared" si="4"/>
        <v>6789231.1299614972</v>
      </c>
      <c r="Y20" s="33">
        <v>-7728689.9900000002</v>
      </c>
      <c r="Z20" s="136"/>
      <c r="AA20" s="33">
        <f t="shared" si="5"/>
        <v>6308194.6642592698</v>
      </c>
      <c r="AB20" s="33">
        <f t="shared" si="6"/>
        <v>-7728689.9900000002</v>
      </c>
    </row>
    <row r="21" spans="1:28" x14ac:dyDescent="0.35">
      <c r="A21" s="135">
        <v>42522</v>
      </c>
      <c r="B21" s="135">
        <f t="shared" si="1"/>
        <v>42582</v>
      </c>
      <c r="C21" s="135"/>
      <c r="D21" s="33">
        <v>2402926.06</v>
      </c>
      <c r="E21" s="33">
        <v>576602.01</v>
      </c>
      <c r="F21" s="33">
        <v>10817962.380000001</v>
      </c>
      <c r="G21" s="33">
        <v>4783586.17</v>
      </c>
      <c r="H21" s="33">
        <v>-5038098</v>
      </c>
      <c r="I21" s="40">
        <f t="shared" si="0"/>
        <v>-254511.83000000007</v>
      </c>
      <c r="J21" s="135"/>
      <c r="K21" s="40">
        <v>5886467.5300000003</v>
      </c>
      <c r="L21" s="40">
        <v>7005753.2499999991</v>
      </c>
      <c r="M21" s="33">
        <f>-'RPP GA Est &amp; True-Up'!I22</f>
        <v>7164629.8499999996</v>
      </c>
      <c r="N21" s="135"/>
      <c r="O21" s="33">
        <v>5273437.2916399995</v>
      </c>
      <c r="P21" s="33">
        <v>489851.12</v>
      </c>
      <c r="Q21" s="33">
        <f>'RPP GA Est &amp; True-Up'!N22</f>
        <v>5038098.6743499031</v>
      </c>
      <c r="R21" s="40">
        <f t="shared" si="7"/>
        <v>-254512.50270990375</v>
      </c>
      <c r="S21" s="135"/>
      <c r="T21" s="33">
        <f>'RPP GA Est &amp; True-Up'!S22</f>
        <v>4712578.4343499038</v>
      </c>
      <c r="U21" s="40">
        <f t="shared" si="2"/>
        <v>71007.737290095538</v>
      </c>
      <c r="V21" s="40">
        <f t="shared" si="3"/>
        <v>325519.56729009561</v>
      </c>
      <c r="X21" s="33">
        <f t="shared" si="4"/>
        <v>6356465.7156500975</v>
      </c>
      <c r="Y21" s="33">
        <v>-6867783.5999999996</v>
      </c>
      <c r="Z21" s="136"/>
      <c r="AA21" s="33">
        <f t="shared" si="5"/>
        <v>6681985.9556500968</v>
      </c>
      <c r="AB21" s="33">
        <f t="shared" si="6"/>
        <v>-6867783.5999999996</v>
      </c>
    </row>
    <row r="22" spans="1:28" x14ac:dyDescent="0.35">
      <c r="A22" s="135">
        <v>42552</v>
      </c>
      <c r="B22" s="135">
        <f t="shared" si="1"/>
        <v>42613</v>
      </c>
      <c r="C22" s="135"/>
      <c r="D22" s="33">
        <v>3208948.88</v>
      </c>
      <c r="E22" s="33">
        <v>644650.1</v>
      </c>
      <c r="F22" s="33">
        <v>10534635.32</v>
      </c>
      <c r="G22" s="33">
        <v>4790816.8</v>
      </c>
      <c r="H22" s="33">
        <v>-3866992</v>
      </c>
      <c r="I22" s="40">
        <f t="shared" si="0"/>
        <v>923824.79999999981</v>
      </c>
      <c r="J22" s="135"/>
      <c r="K22" s="40">
        <v>5433652.5600000005</v>
      </c>
      <c r="L22" s="40">
        <v>5055371.46</v>
      </c>
      <c r="M22" s="33">
        <f>-'RPP GA Est &amp; True-Up'!I23</f>
        <v>4925862.76</v>
      </c>
      <c r="N22" s="135"/>
      <c r="O22" s="33">
        <v>5726982.7639700007</v>
      </c>
      <c r="P22" s="33">
        <v>936165.97</v>
      </c>
      <c r="Q22" s="33">
        <f>'RPP GA Est &amp; True-Up'!N23</f>
        <v>3866992.4891319871</v>
      </c>
      <c r="R22" s="40">
        <f t="shared" si="7"/>
        <v>923824.30483801384</v>
      </c>
      <c r="S22" s="135"/>
      <c r="T22" s="33">
        <f>'RPP GA Est &amp; True-Up'!S23</f>
        <v>5145154.8091319865</v>
      </c>
      <c r="U22" s="40">
        <f t="shared" si="2"/>
        <v>-354338.01516198553</v>
      </c>
      <c r="V22" s="40">
        <f t="shared" si="3"/>
        <v>-1278162.8151619853</v>
      </c>
      <c r="X22" s="33">
        <f t="shared" si="4"/>
        <v>7312292.9308680128</v>
      </c>
      <c r="Y22" s="33">
        <v>-7809305.9100000001</v>
      </c>
      <c r="Z22" s="136"/>
      <c r="AA22" s="33">
        <f t="shared" si="5"/>
        <v>6034130.6108680135</v>
      </c>
      <c r="AB22" s="33">
        <f t="shared" si="6"/>
        <v>-7809305.9100000001</v>
      </c>
    </row>
    <row r="23" spans="1:28" x14ac:dyDescent="0.35">
      <c r="A23" s="135">
        <v>42583</v>
      </c>
      <c r="B23" s="135">
        <f t="shared" si="1"/>
        <v>42643</v>
      </c>
      <c r="C23" s="135"/>
      <c r="D23" s="33">
        <v>4604161.5999999996</v>
      </c>
      <c r="E23" s="33">
        <v>576935.67000000004</v>
      </c>
      <c r="F23" s="33">
        <v>9296716.9800000004</v>
      </c>
      <c r="G23" s="33">
        <v>4919695.55</v>
      </c>
      <c r="H23" s="33">
        <v>-5103948</v>
      </c>
      <c r="I23" s="40">
        <f t="shared" si="0"/>
        <v>-184252.45000000019</v>
      </c>
      <c r="J23" s="135"/>
      <c r="K23" s="40">
        <v>4824358.8930000002</v>
      </c>
      <c r="L23" s="40">
        <v>5695566.0600000005</v>
      </c>
      <c r="M23" s="33">
        <f>-'RPP GA Est &amp; True-Up'!I24</f>
        <v>5801044</v>
      </c>
      <c r="N23" s="135"/>
      <c r="O23" s="33">
        <v>6269344.7059899997</v>
      </c>
      <c r="P23" s="33">
        <v>1349649.16</v>
      </c>
      <c r="Q23" s="33">
        <f>'RPP GA Est &amp; True-Up'!N24</f>
        <v>5103948.0927040111</v>
      </c>
      <c r="R23" s="40">
        <f t="shared" si="7"/>
        <v>-184252.54671401158</v>
      </c>
      <c r="S23" s="135"/>
      <c r="T23" s="33">
        <f>'RPP GA Est &amp; True-Up'!S24</f>
        <v>4596158.2927040104</v>
      </c>
      <c r="U23" s="40">
        <f t="shared" si="2"/>
        <v>323537.25328598917</v>
      </c>
      <c r="V23" s="40">
        <f t="shared" si="3"/>
        <v>507789.70328598935</v>
      </c>
      <c r="X23" s="33">
        <f t="shared" si="4"/>
        <v>4769704.5572959892</v>
      </c>
      <c r="Y23" s="33">
        <v>-5586086.5899999999</v>
      </c>
      <c r="Z23" s="136"/>
      <c r="AA23" s="33">
        <f t="shared" si="5"/>
        <v>5277494.35729599</v>
      </c>
      <c r="AB23" s="33">
        <f t="shared" si="6"/>
        <v>-5586086.5899999999</v>
      </c>
    </row>
    <row r="24" spans="1:28" x14ac:dyDescent="0.35">
      <c r="A24" s="135">
        <v>42614</v>
      </c>
      <c r="B24" s="135">
        <f t="shared" si="1"/>
        <v>42674</v>
      </c>
      <c r="C24" s="135"/>
      <c r="D24" s="33">
        <v>2163100.77</v>
      </c>
      <c r="E24" s="33">
        <v>635386.29</v>
      </c>
      <c r="F24" s="33">
        <v>10955899.42</v>
      </c>
      <c r="G24" s="33">
        <v>5866001.4000000004</v>
      </c>
      <c r="H24" s="33">
        <v>-3509163</v>
      </c>
      <c r="I24" s="40">
        <f t="shared" si="0"/>
        <v>2356838.4000000004</v>
      </c>
      <c r="J24" s="135"/>
      <c r="K24" s="40">
        <v>6068017.3200000003</v>
      </c>
      <c r="L24" s="40">
        <v>4538294.51</v>
      </c>
      <c r="M24" s="33">
        <f>-'RPP GA Est &amp; True-Up'!I25</f>
        <v>4433646.87</v>
      </c>
      <c r="N24" s="135"/>
      <c r="O24" s="33">
        <v>7926394.3246599995</v>
      </c>
      <c r="P24" s="33">
        <v>2060392.92</v>
      </c>
      <c r="Q24" s="33">
        <f>'RPP GA Est &amp; True-Up'!N25</f>
        <v>3509163.4159143949</v>
      </c>
      <c r="R24" s="40">
        <f t="shared" si="7"/>
        <v>2356837.9887456046</v>
      </c>
      <c r="S24" s="135"/>
      <c r="T24" s="33">
        <f>'RPP GA Est &amp; True-Up'!S25</f>
        <v>4485848.5229143947</v>
      </c>
      <c r="U24" s="40">
        <f t="shared" si="2"/>
        <v>1380152.8817456048</v>
      </c>
      <c r="V24" s="40">
        <f t="shared" si="3"/>
        <v>-976685.51825439557</v>
      </c>
      <c r="X24" s="33">
        <f t="shared" si="4"/>
        <v>8082122.294085606</v>
      </c>
      <c r="Y24" s="33">
        <v>-6434833.5800000001</v>
      </c>
      <c r="Z24" s="136"/>
      <c r="AA24" s="33">
        <f t="shared" si="5"/>
        <v>7105437.1870856062</v>
      </c>
      <c r="AB24" s="33">
        <f t="shared" si="6"/>
        <v>-6434833.5800000001</v>
      </c>
    </row>
    <row r="25" spans="1:28" x14ac:dyDescent="0.35">
      <c r="A25" s="135">
        <v>42644</v>
      </c>
      <c r="B25" s="135">
        <f t="shared" si="1"/>
        <v>42704</v>
      </c>
      <c r="C25" s="135"/>
      <c r="D25" s="33">
        <v>1425483.27</v>
      </c>
      <c r="E25" s="33">
        <v>697546.07</v>
      </c>
      <c r="F25" s="33">
        <v>12230464.1</v>
      </c>
      <c r="G25" s="33">
        <v>4320433.9800000004</v>
      </c>
      <c r="H25" s="33">
        <v>-7171853</v>
      </c>
      <c r="I25" s="40">
        <f t="shared" ref="I25:I39" si="8">G25+H25</f>
        <v>-2851419.0199999996</v>
      </c>
      <c r="J25" s="135"/>
      <c r="K25" s="40">
        <v>6906623.9100000001</v>
      </c>
      <c r="L25" s="40">
        <v>5911766.8799999999</v>
      </c>
      <c r="M25" s="33">
        <f>-'RPP GA Est &amp; True-Up'!I26</f>
        <v>5929198</v>
      </c>
      <c r="N25" s="135"/>
      <c r="O25" s="33">
        <v>5517288.2732600002</v>
      </c>
      <c r="P25" s="33">
        <v>1196854.29</v>
      </c>
      <c r="Q25" s="33">
        <f>'RPP GA Est &amp; True-Up'!N26</f>
        <v>7171853.470475601</v>
      </c>
      <c r="R25" s="40">
        <f t="shared" si="7"/>
        <v>-2851419.4872156009</v>
      </c>
      <c r="S25" s="135"/>
      <c r="T25" s="33">
        <f>'RPP GA Est &amp; True-Up'!S26</f>
        <v>5537483.0204756008</v>
      </c>
      <c r="U25" s="40">
        <f t="shared" si="2"/>
        <v>-1217049.0372156007</v>
      </c>
      <c r="V25" s="40">
        <f t="shared" si="3"/>
        <v>1634369.9827843988</v>
      </c>
      <c r="X25" s="33">
        <f t="shared" si="4"/>
        <v>5756156.6995243989</v>
      </c>
      <c r="Y25" s="33">
        <v>-5109840.57</v>
      </c>
      <c r="Z25" s="136"/>
      <c r="AA25" s="33">
        <f t="shared" si="5"/>
        <v>7390527.1495243991</v>
      </c>
      <c r="AB25" s="33">
        <f t="shared" si="6"/>
        <v>-5109840.57</v>
      </c>
    </row>
    <row r="26" spans="1:28" x14ac:dyDescent="0.35">
      <c r="A26" s="135">
        <v>42675</v>
      </c>
      <c r="B26" s="135">
        <f t="shared" si="1"/>
        <v>42735</v>
      </c>
      <c r="C26" s="135"/>
      <c r="D26" s="33">
        <v>1871415.91</v>
      </c>
      <c r="E26" s="33">
        <v>706569.91</v>
      </c>
      <c r="F26" s="33">
        <v>12190340.34</v>
      </c>
      <c r="G26" s="33">
        <v>5093253.43</v>
      </c>
      <c r="H26" s="33">
        <v>-6390138</v>
      </c>
      <c r="I26" s="40">
        <f t="shared" si="8"/>
        <v>-1296884.5700000003</v>
      </c>
      <c r="J26" s="135"/>
      <c r="K26" s="40">
        <v>6740028.5300000003</v>
      </c>
      <c r="L26" s="40">
        <v>7295258.8899999997</v>
      </c>
      <c r="M26" s="33">
        <f>-'RPP GA Est &amp; True-Up'!I27</f>
        <v>7271653.7699999996</v>
      </c>
      <c r="N26" s="135"/>
      <c r="O26" s="33">
        <v>5929831.7513700007</v>
      </c>
      <c r="P26" s="33">
        <v>836578.32000000007</v>
      </c>
      <c r="Q26" s="33">
        <f>'RPP GA Est &amp; True-Up'!N27</f>
        <v>6390138.0003900025</v>
      </c>
      <c r="R26" s="40">
        <f t="shared" si="7"/>
        <v>-1296884.5690200021</v>
      </c>
      <c r="S26" s="135"/>
      <c r="T26" s="33">
        <f>'RPP GA Est &amp; True-Up'!S27</f>
        <v>5412712.0903900024</v>
      </c>
      <c r="U26" s="40">
        <f t="shared" si="2"/>
        <v>-319458.659020002</v>
      </c>
      <c r="V26" s="40">
        <f t="shared" si="3"/>
        <v>977425.9109799983</v>
      </c>
      <c r="X26" s="33">
        <f t="shared" si="4"/>
        <v>6506772.2496099975</v>
      </c>
      <c r="Y26" s="33">
        <v>-6679094.0499999998</v>
      </c>
      <c r="Z26" s="136"/>
      <c r="AA26" s="33">
        <f t="shared" si="5"/>
        <v>7484198.1596099976</v>
      </c>
      <c r="AB26" s="33">
        <f t="shared" si="6"/>
        <v>-6679094.0499999998</v>
      </c>
    </row>
    <row r="27" spans="1:28" x14ac:dyDescent="0.35">
      <c r="A27" s="135">
        <v>42705</v>
      </c>
      <c r="B27" s="135">
        <f t="shared" si="1"/>
        <v>42766</v>
      </c>
      <c r="C27" s="135"/>
      <c r="D27" s="33">
        <v>2631348.0499999998</v>
      </c>
      <c r="E27" s="33">
        <v>633991.88</v>
      </c>
      <c r="F27" s="33">
        <v>10474781.4</v>
      </c>
      <c r="G27" s="33">
        <v>4773113.5</v>
      </c>
      <c r="H27" s="33">
        <v>-4299807</v>
      </c>
      <c r="I27" s="40">
        <f t="shared" si="8"/>
        <v>473306.5</v>
      </c>
      <c r="J27" s="135"/>
      <c r="K27" s="40">
        <v>5281868.4000000004</v>
      </c>
      <c r="L27" s="40">
        <v>6317227.9100000001</v>
      </c>
      <c r="M27" s="33">
        <f>-'RPP GA Est &amp; True-Up'!I28</f>
        <v>6359733.3899999997</v>
      </c>
      <c r="N27" s="135"/>
      <c r="O27" s="33">
        <v>5526355.03149</v>
      </c>
      <c r="P27" s="33">
        <v>753241.53999999992</v>
      </c>
      <c r="Q27" s="33">
        <f>'RPP GA Est &amp; True-Up'!N28</f>
        <v>4299807.14396</v>
      </c>
      <c r="R27" s="40">
        <f t="shared" si="7"/>
        <v>473306.34752999991</v>
      </c>
      <c r="S27" s="135"/>
      <c r="T27" s="33">
        <f>'RPP GA Est &amp; True-Up'!S28</f>
        <v>4831432.3839599993</v>
      </c>
      <c r="U27" s="40">
        <f t="shared" si="2"/>
        <v>-58318.89246999938</v>
      </c>
      <c r="V27" s="40">
        <f t="shared" si="3"/>
        <v>-531625.39246999938</v>
      </c>
      <c r="X27" s="33">
        <f t="shared" si="4"/>
        <v>6808966.1360400012</v>
      </c>
      <c r="Y27" s="33">
        <v>-8219324.54</v>
      </c>
      <c r="Z27" s="136"/>
      <c r="AA27" s="33">
        <f t="shared" si="5"/>
        <v>6277340.8960400019</v>
      </c>
      <c r="AB27" s="33">
        <f t="shared" si="6"/>
        <v>-8219324.54</v>
      </c>
    </row>
    <row r="28" spans="1:28" x14ac:dyDescent="0.35">
      <c r="A28" s="135">
        <v>42736</v>
      </c>
      <c r="B28" s="135">
        <f t="shared" si="1"/>
        <v>42794</v>
      </c>
      <c r="C28" s="135"/>
      <c r="D28" s="33">
        <v>2809265.24</v>
      </c>
      <c r="E28" s="33">
        <v>605885.38</v>
      </c>
      <c r="F28" s="33">
        <v>10113652.039999999</v>
      </c>
      <c r="G28" s="33">
        <v>5408910.75</v>
      </c>
      <c r="H28" s="33">
        <v>-4672845</v>
      </c>
      <c r="I28" s="40">
        <f t="shared" si="8"/>
        <v>736065.75</v>
      </c>
      <c r="J28" s="135"/>
      <c r="K28" s="40">
        <v>5248610.53</v>
      </c>
      <c r="L28" s="40">
        <v>4295331.7500000009</v>
      </c>
      <c r="M28" s="33">
        <f>-'RPP GA Est &amp; True-Up'!I29</f>
        <v>4231109</v>
      </c>
      <c r="N28" s="135"/>
      <c r="O28" s="33">
        <v>6600064.9268300002</v>
      </c>
      <c r="P28" s="33">
        <v>1191154.17</v>
      </c>
      <c r="Q28" s="33">
        <f>'RPP GA Est &amp; True-Up'!N29</f>
        <v>4672845.3204000005</v>
      </c>
      <c r="R28" s="40">
        <f t="shared" si="7"/>
        <v>736065.43642999977</v>
      </c>
      <c r="S28" s="135"/>
      <c r="T28" s="33">
        <f>'RPP GA Est &amp; True-Up'!S29</f>
        <v>5750710.3103999998</v>
      </c>
      <c r="U28" s="40">
        <f t="shared" si="2"/>
        <v>-341799.55356999952</v>
      </c>
      <c r="V28" s="40">
        <f t="shared" si="3"/>
        <v>-1077865.3035699995</v>
      </c>
      <c r="X28" s="33">
        <f t="shared" si="4"/>
        <v>6046692.0995999994</v>
      </c>
      <c r="Y28" s="33">
        <v>-7053641.9299999997</v>
      </c>
      <c r="Z28" s="136"/>
      <c r="AA28" s="33">
        <f t="shared" si="5"/>
        <v>4968827.1096000001</v>
      </c>
      <c r="AB28" s="33">
        <f t="shared" si="6"/>
        <v>-7053641.9299999997</v>
      </c>
    </row>
    <row r="29" spans="1:28" x14ac:dyDescent="0.35">
      <c r="A29" s="135">
        <v>42767</v>
      </c>
      <c r="B29" s="135">
        <f t="shared" si="1"/>
        <v>42825</v>
      </c>
      <c r="C29" s="135"/>
      <c r="D29" s="33">
        <v>2388373.31</v>
      </c>
      <c r="E29" s="33">
        <v>558221.39</v>
      </c>
      <c r="F29" s="33">
        <v>9276891.8200000003</v>
      </c>
      <c r="G29" s="33">
        <v>4636567.82</v>
      </c>
      <c r="H29" s="33">
        <v>-4469255</v>
      </c>
      <c r="I29" s="40">
        <f t="shared" si="8"/>
        <v>167312.8200000003</v>
      </c>
      <c r="J29" s="135"/>
      <c r="K29" s="40">
        <v>4742052.9100000011</v>
      </c>
      <c r="L29" s="40">
        <v>5878385.9499999993</v>
      </c>
      <c r="M29" s="33">
        <f>-'RPP GA Est &amp; True-Up'!I30</f>
        <v>5170140.8</v>
      </c>
      <c r="N29" s="135"/>
      <c r="O29" s="33">
        <v>5751549.8698800001</v>
      </c>
      <c r="P29" s="33">
        <v>1114982.05</v>
      </c>
      <c r="Q29" s="33">
        <f>'RPP GA Est &amp; True-Up'!N30</f>
        <v>4469254.6351399999</v>
      </c>
      <c r="R29" s="40">
        <f t="shared" si="7"/>
        <v>167313.1847400004</v>
      </c>
      <c r="S29" s="135"/>
      <c r="T29" s="33">
        <f>'RPP GA Est &amp; True-Up'!S30</f>
        <v>3451753.1051399997</v>
      </c>
      <c r="U29" s="40">
        <f t="shared" si="2"/>
        <v>1184814.7147400007</v>
      </c>
      <c r="V29" s="40">
        <f t="shared" si="3"/>
        <v>1017501.8947400004</v>
      </c>
      <c r="X29" s="33">
        <f t="shared" si="4"/>
        <v>5365858.574860001</v>
      </c>
      <c r="Y29" s="33">
        <v>-4877764.93</v>
      </c>
      <c r="Z29" s="136"/>
      <c r="AA29" s="33">
        <f t="shared" si="5"/>
        <v>6383360.1048600012</v>
      </c>
      <c r="AB29" s="33">
        <f t="shared" si="6"/>
        <v>-4877764.93</v>
      </c>
    </row>
    <row r="30" spans="1:28" x14ac:dyDescent="0.35">
      <c r="A30" s="135">
        <v>42795</v>
      </c>
      <c r="B30" s="135">
        <f t="shared" si="1"/>
        <v>42855</v>
      </c>
      <c r="C30" s="135"/>
      <c r="D30" s="33">
        <v>3199164.12</v>
      </c>
      <c r="E30" s="33">
        <v>505626.72</v>
      </c>
      <c r="F30" s="33">
        <v>8452966.0099999998</v>
      </c>
      <c r="G30" s="33">
        <v>5825710.4299999997</v>
      </c>
      <c r="H30" s="33">
        <v>-3980353</v>
      </c>
      <c r="I30" s="40">
        <f t="shared" si="8"/>
        <v>1845357.4299999997</v>
      </c>
      <c r="J30" s="135"/>
      <c r="K30" s="40">
        <v>4493665.8699999992</v>
      </c>
      <c r="L30" s="40">
        <v>5220279.1499999994</v>
      </c>
      <c r="M30" s="33">
        <f>-'RPP GA Est &amp; True-Up'!I31</f>
        <v>5884836.3799999999</v>
      </c>
      <c r="N30" s="135"/>
      <c r="O30" s="33">
        <v>7166225.2341899993</v>
      </c>
      <c r="P30" s="33">
        <v>1340514.8</v>
      </c>
      <c r="Q30" s="33">
        <f>'RPP GA Est &amp; True-Up'!N31</f>
        <v>3980353.1982</v>
      </c>
      <c r="R30" s="40">
        <f t="shared" si="7"/>
        <v>1845357.235989999</v>
      </c>
      <c r="S30" s="135"/>
      <c r="T30" s="33">
        <f>'RPP GA Est &amp; True-Up'!S31</f>
        <v>4408441.0881999992</v>
      </c>
      <c r="U30" s="40">
        <f t="shared" si="2"/>
        <v>1417269.3459900003</v>
      </c>
      <c r="V30" s="40">
        <f t="shared" si="3"/>
        <v>-428088.08400999941</v>
      </c>
      <c r="X30" s="33">
        <f t="shared" si="4"/>
        <v>4978239.5318</v>
      </c>
      <c r="Y30" s="33">
        <v>-5732305.0199999996</v>
      </c>
      <c r="Z30" s="136"/>
      <c r="AA30" s="33">
        <f t="shared" si="5"/>
        <v>4550151.6418000013</v>
      </c>
      <c r="AB30" s="33">
        <f t="shared" si="6"/>
        <v>-5732305.0199999996</v>
      </c>
    </row>
    <row r="31" spans="1:28" x14ac:dyDescent="0.35">
      <c r="A31" s="135">
        <v>42826</v>
      </c>
      <c r="B31" s="135">
        <f t="shared" si="1"/>
        <v>42886</v>
      </c>
      <c r="C31" s="135"/>
      <c r="D31" s="33">
        <v>1202332.1000000001</v>
      </c>
      <c r="E31" s="33">
        <v>634067.41</v>
      </c>
      <c r="F31" s="33">
        <v>10888580.630000001</v>
      </c>
      <c r="G31" s="33">
        <v>5714561.6299999999</v>
      </c>
      <c r="H31" s="33">
        <v>-2716860</v>
      </c>
      <c r="I31" s="40">
        <f t="shared" si="8"/>
        <v>2997701.63</v>
      </c>
      <c r="J31" s="135"/>
      <c r="K31" s="40">
        <v>6021016.0299999993</v>
      </c>
      <c r="L31" s="40">
        <v>3780081.3200000003</v>
      </c>
      <c r="M31" s="33">
        <f>-'RPP GA Est &amp; True-Up'!I32</f>
        <v>3808728.11</v>
      </c>
      <c r="N31" s="135"/>
      <c r="O31" s="33">
        <v>7242775.3825599998</v>
      </c>
      <c r="P31" s="33">
        <v>1528213.76</v>
      </c>
      <c r="Q31" s="33">
        <f>'RPP GA Est &amp; True-Up'!N32</f>
        <v>2716859.9459799989</v>
      </c>
      <c r="R31" s="40">
        <f t="shared" si="7"/>
        <v>2997701.6765800007</v>
      </c>
      <c r="S31" s="135"/>
      <c r="T31" s="33">
        <f>'RPP GA Est &amp; True-Up'!S32</f>
        <v>4108030.4559799996</v>
      </c>
      <c r="U31" s="40">
        <f t="shared" si="2"/>
        <v>1606531.16658</v>
      </c>
      <c r="V31" s="40">
        <f t="shared" si="3"/>
        <v>-1391170.4634199999</v>
      </c>
      <c r="X31" s="33">
        <f t="shared" si="4"/>
        <v>8805788.0940200016</v>
      </c>
      <c r="Y31" s="33">
        <v>-5546540.79</v>
      </c>
      <c r="Z31" s="136"/>
      <c r="AA31" s="33">
        <f t="shared" si="5"/>
        <v>7414617.5840200018</v>
      </c>
      <c r="AB31" s="33">
        <f t="shared" si="6"/>
        <v>-5546540.79</v>
      </c>
    </row>
    <row r="32" spans="1:28" x14ac:dyDescent="0.35">
      <c r="A32" s="135">
        <v>42856</v>
      </c>
      <c r="B32" s="135">
        <f t="shared" si="1"/>
        <v>42916</v>
      </c>
      <c r="C32" s="135"/>
      <c r="D32" s="33">
        <v>363896.83</v>
      </c>
      <c r="E32" s="33">
        <v>752556.41</v>
      </c>
      <c r="F32" s="33">
        <v>12897331.109999999</v>
      </c>
      <c r="G32" s="33">
        <v>5157458.26</v>
      </c>
      <c r="H32" s="33">
        <v>-8871135</v>
      </c>
      <c r="I32" s="40">
        <f t="shared" si="8"/>
        <v>-3713676.74</v>
      </c>
      <c r="J32" s="135"/>
      <c r="K32" s="40">
        <v>7250490.4999999991</v>
      </c>
      <c r="L32" s="40">
        <v>6195650.5999999996</v>
      </c>
      <c r="M32" s="33">
        <f>-'RPP GA Est &amp; True-Up'!I33</f>
        <v>6140869.3600000003</v>
      </c>
      <c r="N32" s="135"/>
      <c r="O32" s="33">
        <v>6002796.9910500003</v>
      </c>
      <c r="P32" s="33">
        <v>845338.73</v>
      </c>
      <c r="Q32" s="33">
        <f>'RPP GA Est &amp; True-Up'!N33</f>
        <v>8871135.0476400014</v>
      </c>
      <c r="R32" s="40">
        <f t="shared" si="7"/>
        <v>-3713676.7865900015</v>
      </c>
      <c r="S32" s="135"/>
      <c r="T32" s="33">
        <f>'RPP GA Est &amp; True-Up'!S33</f>
        <v>6658847.1276400015</v>
      </c>
      <c r="U32" s="40">
        <f t="shared" si="2"/>
        <v>-1501388.8665900016</v>
      </c>
      <c r="V32" s="40">
        <f t="shared" si="3"/>
        <v>2212287.8734099986</v>
      </c>
      <c r="X32" s="33">
        <f t="shared" si="4"/>
        <v>4778752.4723599982</v>
      </c>
      <c r="Y32" s="33">
        <v>-4434017.55</v>
      </c>
      <c r="Z32" s="136"/>
      <c r="AA32" s="33">
        <f t="shared" si="5"/>
        <v>6991040.3923599981</v>
      </c>
      <c r="AB32" s="33">
        <f t="shared" si="6"/>
        <v>-4434017.55</v>
      </c>
    </row>
    <row r="33" spans="1:28" x14ac:dyDescent="0.35">
      <c r="A33" s="135">
        <v>42887</v>
      </c>
      <c r="B33" s="135">
        <f t="shared" si="1"/>
        <v>42947</v>
      </c>
      <c r="C33" s="135"/>
      <c r="D33" s="33">
        <v>708586.56</v>
      </c>
      <c r="E33" s="33">
        <v>793735.14</v>
      </c>
      <c r="F33" s="33">
        <v>13760426.890000001</v>
      </c>
      <c r="G33" s="33">
        <v>4497495.34</v>
      </c>
      <c r="H33" s="33">
        <v>-7420382</v>
      </c>
      <c r="I33" s="40">
        <f t="shared" si="8"/>
        <v>-2922886.66</v>
      </c>
      <c r="J33" s="135"/>
      <c r="K33" s="40">
        <v>7144303.3013478629</v>
      </c>
      <c r="L33" s="40">
        <v>7207374.5000000009</v>
      </c>
      <c r="M33" s="33">
        <f>-'RPP GA Est &amp; True-Up'!I34</f>
        <v>7135521.8600000003</v>
      </c>
      <c r="N33" s="135"/>
      <c r="O33" s="33">
        <v>4657715.0393500002</v>
      </c>
      <c r="P33" s="33">
        <v>160219.70000000001</v>
      </c>
      <c r="Q33" s="33">
        <f>'RPP GA Est &amp; True-Up'!N34</f>
        <v>7420382.4872000013</v>
      </c>
      <c r="R33" s="40">
        <f t="shared" si="7"/>
        <v>-2922887.1478500012</v>
      </c>
      <c r="S33" s="135"/>
      <c r="T33" s="33">
        <f>'RPP GA Est &amp; True-Up'!S34</f>
        <v>6310761.3472000025</v>
      </c>
      <c r="U33" s="40">
        <f t="shared" si="2"/>
        <v>-1813266.0078500025</v>
      </c>
      <c r="V33" s="40">
        <f t="shared" si="3"/>
        <v>1109620.6521499977</v>
      </c>
      <c r="X33" s="33">
        <f t="shared" si="4"/>
        <v>7133779.5427999999</v>
      </c>
      <c r="Y33" s="33">
        <v>-6893425.7700000005</v>
      </c>
      <c r="Z33" s="136"/>
      <c r="AA33" s="33">
        <f t="shared" si="5"/>
        <v>8243400.6827999987</v>
      </c>
      <c r="AB33" s="33">
        <f t="shared" si="6"/>
        <v>-6893425.7700000005</v>
      </c>
    </row>
    <row r="34" spans="1:28" x14ac:dyDescent="0.35">
      <c r="A34" s="135">
        <v>42917</v>
      </c>
      <c r="B34" s="135">
        <f t="shared" si="1"/>
        <v>42978</v>
      </c>
      <c r="C34" s="135"/>
      <c r="D34" s="33">
        <v>1757910.88</v>
      </c>
      <c r="E34" s="33">
        <v>2153919.3199999998</v>
      </c>
      <c r="F34" s="33">
        <v>12794181.630000001</v>
      </c>
      <c r="G34" s="33">
        <v>4618340.75</v>
      </c>
      <c r="H34" s="33">
        <v>-5916091.0099999998</v>
      </c>
      <c r="I34" s="40">
        <f t="shared" si="8"/>
        <v>-1297750.2599999998</v>
      </c>
      <c r="J34" s="135"/>
      <c r="K34" s="40">
        <v>5130248.1787190093</v>
      </c>
      <c r="L34" s="40">
        <v>4844278.3499999996</v>
      </c>
      <c r="M34" s="33">
        <f>-'RPP GA Est &amp; True-Up'!I35</f>
        <v>4728592.7699999996</v>
      </c>
      <c r="N34" s="135"/>
      <c r="O34" s="33">
        <v>4969269.9603899997</v>
      </c>
      <c r="P34" s="33">
        <v>350929.20999999996</v>
      </c>
      <c r="Q34" s="33">
        <f>'RPP GA Est &amp; True-Up'!N35</f>
        <v>4151329.5686599985</v>
      </c>
      <c r="R34" s="40">
        <f t="shared" si="7"/>
        <v>467011.18173000123</v>
      </c>
      <c r="S34" s="135"/>
      <c r="T34" s="33">
        <f>'RPP GA Est &amp; True-Up'!S35</f>
        <v>4142548.1273121359</v>
      </c>
      <c r="U34" s="40">
        <f t="shared" si="2"/>
        <v>475792.62307786383</v>
      </c>
      <c r="V34" s="40">
        <f t="shared" si="3"/>
        <v>1773542.8830778636</v>
      </c>
      <c r="X34" s="33">
        <f t="shared" si="4"/>
        <v>10796771.381340003</v>
      </c>
      <c r="Y34" s="33">
        <v>-7929257</v>
      </c>
      <c r="Z34" s="136"/>
      <c r="AA34" s="33">
        <f t="shared" si="5"/>
        <v>10805552.822687864</v>
      </c>
      <c r="AB34" s="33">
        <f t="shared" si="6"/>
        <v>-7929257</v>
      </c>
    </row>
    <row r="35" spans="1:28" x14ac:dyDescent="0.35">
      <c r="A35" s="135">
        <v>42948</v>
      </c>
      <c r="B35" s="135">
        <f t="shared" si="1"/>
        <v>43008</v>
      </c>
      <c r="C35" s="135"/>
      <c r="D35" s="33">
        <v>2146232.0699999998</v>
      </c>
      <c r="E35" s="33">
        <v>2022872.03</v>
      </c>
      <c r="F35" s="33">
        <v>10025484.449999999</v>
      </c>
      <c r="G35" s="33">
        <v>3973091.86</v>
      </c>
      <c r="H35" s="33">
        <v>-4662691</v>
      </c>
      <c r="I35" s="40">
        <f t="shared" si="8"/>
        <v>-689599.14000000013</v>
      </c>
      <c r="J35" s="135"/>
      <c r="K35" s="40">
        <v>4574203.0334820431</v>
      </c>
      <c r="L35" s="40">
        <v>5314103.3699999992</v>
      </c>
      <c r="M35" s="33">
        <f>-'RPP GA Est &amp; True-Up'!I36</f>
        <v>5317526.8</v>
      </c>
      <c r="N35" s="135"/>
      <c r="O35" s="33">
        <v>4800613.0626799995</v>
      </c>
      <c r="P35" s="33">
        <v>827521.20000000007</v>
      </c>
      <c r="Q35" s="33">
        <f>'RPP GA Est &amp; True-Up'!N36</f>
        <v>7809883.0907800011</v>
      </c>
      <c r="R35" s="40">
        <f t="shared" si="7"/>
        <v>-3836791.2281000009</v>
      </c>
      <c r="S35" s="135"/>
      <c r="T35" s="33">
        <f>'RPP GA Est &amp; True-Up'!S36</f>
        <v>7408227.6820609914</v>
      </c>
      <c r="U35" s="40">
        <f t="shared" si="2"/>
        <v>-3435135.8193809921</v>
      </c>
      <c r="V35" s="40">
        <f t="shared" si="3"/>
        <v>-2745536.679380992</v>
      </c>
      <c r="X35" s="33">
        <f t="shared" si="4"/>
        <v>4238473.3892199975</v>
      </c>
      <c r="Y35" s="33">
        <v>-6882512.1100000003</v>
      </c>
      <c r="Z35" s="136"/>
      <c r="AA35" s="33">
        <f t="shared" si="5"/>
        <v>4640128.7979390072</v>
      </c>
      <c r="AB35" s="33">
        <f t="shared" si="6"/>
        <v>-6882512.1100000003</v>
      </c>
    </row>
    <row r="36" spans="1:28" x14ac:dyDescent="0.35">
      <c r="A36" s="135">
        <v>42979</v>
      </c>
      <c r="B36" s="135">
        <f t="shared" si="1"/>
        <v>43039</v>
      </c>
      <c r="C36" s="135"/>
      <c r="D36" s="33">
        <v>2814803.23</v>
      </c>
      <c r="E36" s="33">
        <v>1613557.13</v>
      </c>
      <c r="F36" s="33">
        <v>8506401.6899999995</v>
      </c>
      <c r="G36" s="33">
        <v>3417573.85</v>
      </c>
      <c r="H36" s="33">
        <v>-5049542.99</v>
      </c>
      <c r="I36" s="40">
        <f t="shared" si="8"/>
        <v>-1631969.1400000001</v>
      </c>
      <c r="J36" s="135"/>
      <c r="K36" s="40">
        <v>3915568.7432106235</v>
      </c>
      <c r="L36" s="40">
        <v>5516010.5199999986</v>
      </c>
      <c r="M36" s="33">
        <f>-'RPP GA Est &amp; True-Up'!I37</f>
        <v>5679788.2599999998</v>
      </c>
      <c r="N36" s="135"/>
      <c r="O36" s="33">
        <v>4275068.0565099996</v>
      </c>
      <c r="P36" s="33">
        <v>857494.21</v>
      </c>
      <c r="Q36" s="33">
        <f>'RPP GA Est &amp; True-Up'!N37</f>
        <v>3667111.1455925032</v>
      </c>
      <c r="R36" s="40">
        <f t="shared" ref="R36:R51" si="9">O36-(P36+Q36)</f>
        <v>-249537.29908250365</v>
      </c>
      <c r="S36" s="135"/>
      <c r="T36" s="33">
        <f>'RPP GA Est &amp; True-Up'!S37</f>
        <v>4410434.91211046</v>
      </c>
      <c r="U36" s="40">
        <f t="shared" si="2"/>
        <v>-992861.0656004604</v>
      </c>
      <c r="V36" s="40">
        <f t="shared" si="3"/>
        <v>639108.07439953974</v>
      </c>
      <c r="X36" s="33">
        <f t="shared" si="4"/>
        <v>6452847.674407497</v>
      </c>
      <c r="Y36" s="33">
        <v>-7229521.1200000001</v>
      </c>
      <c r="Z36" s="136"/>
      <c r="AA36" s="33">
        <f t="shared" si="5"/>
        <v>5709523.9078895403</v>
      </c>
      <c r="AB36" s="33">
        <f t="shared" si="6"/>
        <v>-7229521.1200000001</v>
      </c>
    </row>
    <row r="37" spans="1:28" x14ac:dyDescent="0.35">
      <c r="A37" s="135">
        <v>43009</v>
      </c>
      <c r="B37" s="135">
        <f t="shared" si="1"/>
        <v>43069</v>
      </c>
      <c r="C37" s="135"/>
      <c r="D37" s="33">
        <v>997362.63</v>
      </c>
      <c r="E37" s="33">
        <v>2160015.46</v>
      </c>
      <c r="F37" s="33">
        <v>11447040.109999999</v>
      </c>
      <c r="G37" s="33">
        <v>3123207.35</v>
      </c>
      <c r="H37" s="33">
        <v>-3580709</v>
      </c>
      <c r="I37" s="40">
        <f t="shared" si="8"/>
        <v>-457501.64999999991</v>
      </c>
      <c r="J37" s="135"/>
      <c r="K37" s="40">
        <v>5340662.6384277139</v>
      </c>
      <c r="L37" s="40">
        <v>4340697.4000000022</v>
      </c>
      <c r="M37" s="33">
        <f>-'RPP GA Est &amp; True-Up'!I38</f>
        <v>4206922.49</v>
      </c>
      <c r="N37" s="135"/>
      <c r="O37" s="33">
        <v>4270894.1106899995</v>
      </c>
      <c r="P37" s="33">
        <v>1147686.76</v>
      </c>
      <c r="Q37" s="33">
        <f>'RPP GA Est &amp; True-Up'!N38</f>
        <v>3580708.8089042958</v>
      </c>
      <c r="R37" s="40">
        <f t="shared" si="9"/>
        <v>-457501.45821429603</v>
      </c>
      <c r="S37" s="135"/>
      <c r="T37" s="33">
        <f>'RPP GA Est &amp; True-Up'!S38</f>
        <v>5344928.3256936725</v>
      </c>
      <c r="U37" s="40">
        <f t="shared" si="2"/>
        <v>-2221720.9750036728</v>
      </c>
      <c r="V37" s="40">
        <f t="shared" si="3"/>
        <v>-1764219.3250036729</v>
      </c>
      <c r="X37" s="33">
        <f t="shared" si="4"/>
        <v>10026346.761095705</v>
      </c>
      <c r="Y37" s="33">
        <v>-7404223.1399999997</v>
      </c>
      <c r="Z37" s="136"/>
      <c r="AA37" s="33">
        <f t="shared" si="5"/>
        <v>8262127.2443063278</v>
      </c>
      <c r="AB37" s="33">
        <f t="shared" si="6"/>
        <v>-7404223.1399999997</v>
      </c>
    </row>
    <row r="38" spans="1:28" x14ac:dyDescent="0.35">
      <c r="A38" s="135">
        <v>43040</v>
      </c>
      <c r="B38" s="135">
        <f t="shared" si="1"/>
        <v>43100</v>
      </c>
      <c r="C38" s="135"/>
      <c r="D38" s="33">
        <v>1676124.34</v>
      </c>
      <c r="E38" s="33">
        <v>1797715.91</v>
      </c>
      <c r="F38" s="33">
        <v>9301720.6799999997</v>
      </c>
      <c r="G38" s="33">
        <v>3604564.22</v>
      </c>
      <c r="H38" s="33">
        <v>-8787475</v>
      </c>
      <c r="I38" s="40">
        <f t="shared" si="8"/>
        <v>-5182910.7799999993</v>
      </c>
      <c r="J38" s="135"/>
      <c r="K38" s="40">
        <v>4097986.4431238468</v>
      </c>
      <c r="L38" s="40">
        <v>4731306.1899999995</v>
      </c>
      <c r="M38" s="33">
        <f>-'RPP GA Est &amp; True-Up'!I39</f>
        <v>4615148.55</v>
      </c>
      <c r="N38" s="135"/>
      <c r="O38" s="33">
        <v>4268033.0970000001</v>
      </c>
      <c r="P38" s="33">
        <v>664173.49</v>
      </c>
      <c r="Q38" s="33">
        <f>'RPP GA Est &amp; True-Up'!N39</f>
        <v>8787474.238764476</v>
      </c>
      <c r="R38" s="40">
        <f t="shared" si="9"/>
        <v>-5183614.6317644762</v>
      </c>
      <c r="S38" s="135"/>
      <c r="T38" s="33">
        <f>'RPP GA Est &amp; True-Up'!S39</f>
        <v>7653734.0903367624</v>
      </c>
      <c r="U38" s="40">
        <f t="shared" si="2"/>
        <v>-4049874.4833367625</v>
      </c>
      <c r="V38" s="40">
        <f t="shared" si="3"/>
        <v>1133036.2966632368</v>
      </c>
      <c r="X38" s="33">
        <f t="shared" si="4"/>
        <v>2311962.3512355238</v>
      </c>
      <c r="Y38" s="33">
        <v>-6366937.9699999997</v>
      </c>
      <c r="Z38" s="136"/>
      <c r="AA38" s="33">
        <f t="shared" si="5"/>
        <v>3445702.4996632375</v>
      </c>
      <c r="AB38" s="33">
        <f t="shared" si="6"/>
        <v>-6366937.9699999997</v>
      </c>
    </row>
    <row r="39" spans="1:28" x14ac:dyDescent="0.35">
      <c r="A39" s="135">
        <v>43070</v>
      </c>
      <c r="B39" s="135">
        <f t="shared" si="1"/>
        <v>43131</v>
      </c>
      <c r="C39" s="135"/>
      <c r="D39" s="33">
        <v>2618796.31</v>
      </c>
      <c r="E39" s="33">
        <v>2010817.21</v>
      </c>
      <c r="F39" s="33">
        <v>9727656.4700000007</v>
      </c>
      <c r="G39" s="33">
        <v>3399095.87</v>
      </c>
      <c r="H39" s="33">
        <v>-5690560</v>
      </c>
      <c r="I39" s="40">
        <f t="shared" si="8"/>
        <v>-2291464.13</v>
      </c>
      <c r="J39" s="135"/>
      <c r="K39" s="40">
        <v>3968962.8870610865</v>
      </c>
      <c r="L39" s="40">
        <v>3598401.67</v>
      </c>
      <c r="M39" s="33">
        <f>-'RPP GA Est &amp; True-Up'!I40</f>
        <v>3906744.79</v>
      </c>
      <c r="N39" s="135"/>
      <c r="O39" s="33">
        <v>4074728.8315599998</v>
      </c>
      <c r="P39" s="33">
        <v>676065.86</v>
      </c>
      <c r="Q39" s="33">
        <f>'RPP GA Est &amp; True-Up'!N40</f>
        <v>5690559.6111456836</v>
      </c>
      <c r="R39" s="40">
        <f t="shared" si="9"/>
        <v>-2291896.6395856841</v>
      </c>
      <c r="S39" s="135"/>
      <c r="T39" s="33">
        <f>'RPP GA Est &amp; True-Up'!S40</f>
        <v>6207721.7180218361</v>
      </c>
      <c r="U39" s="40">
        <f t="shared" si="2"/>
        <v>-2809058.7464618366</v>
      </c>
      <c r="V39" s="40">
        <f t="shared" si="3"/>
        <v>-517594.61646183673</v>
      </c>
      <c r="X39" s="33">
        <f t="shared" si="4"/>
        <v>6047914.0688543161</v>
      </c>
      <c r="Y39" s="33">
        <v>-7520254.1100000003</v>
      </c>
      <c r="Z39" s="136"/>
      <c r="AA39" s="33">
        <f t="shared" si="5"/>
        <v>5530751.9619781636</v>
      </c>
      <c r="AB39" s="33">
        <f t="shared" si="6"/>
        <v>-7520254.1100000003</v>
      </c>
    </row>
    <row r="40" spans="1:28" x14ac:dyDescent="0.35">
      <c r="A40" s="135">
        <v>43101</v>
      </c>
      <c r="B40" s="135">
        <f t="shared" si="1"/>
        <v>43159</v>
      </c>
      <c r="C40" s="135"/>
      <c r="D40" s="33">
        <v>4348778.18</v>
      </c>
      <c r="E40" s="33">
        <v>1546117.08</v>
      </c>
      <c r="F40" s="33">
        <v>7505097.1699999999</v>
      </c>
      <c r="G40" s="33">
        <v>4214623.4000000004</v>
      </c>
      <c r="H40" s="33">
        <v>-4132879</v>
      </c>
      <c r="I40" s="40">
        <f t="shared" ref="I40" si="10">G40+H40</f>
        <v>81744.400000000373</v>
      </c>
      <c r="J40" s="135"/>
      <c r="K40" s="40">
        <v>3043667.5195016959</v>
      </c>
      <c r="L40" s="40">
        <v>3980262.2100000135</v>
      </c>
      <c r="M40" s="33">
        <f>-'RPP GA Est &amp; True-Up'!I41</f>
        <v>4028145.75</v>
      </c>
      <c r="N40" s="135"/>
      <c r="O40" s="33">
        <v>5820757.3023199998</v>
      </c>
      <c r="P40" s="33">
        <v>1606133.91</v>
      </c>
      <c r="Q40" s="33">
        <f>'RPP GA Est &amp; True-Up'!N41</f>
        <v>4132878.4159360407</v>
      </c>
      <c r="R40" s="40">
        <f t="shared" si="9"/>
        <v>81744.976383958943</v>
      </c>
      <c r="S40" s="135"/>
      <c r="T40" s="33">
        <f>'RPP GA Est &amp; True-Up'!S41</f>
        <v>4070660.3188749542</v>
      </c>
      <c r="U40" s="40">
        <f t="shared" si="2"/>
        <v>143963.07344504539</v>
      </c>
      <c r="V40" s="40">
        <f t="shared" si="3"/>
        <v>62218.673445045017</v>
      </c>
      <c r="X40" s="33">
        <f t="shared" si="4"/>
        <v>4918335.8340639593</v>
      </c>
      <c r="Y40" s="33">
        <v>-5935612.7999999998</v>
      </c>
      <c r="Z40" s="136"/>
      <c r="AA40" s="33">
        <f t="shared" si="5"/>
        <v>4980553.9311250458</v>
      </c>
      <c r="AB40" s="33">
        <f t="shared" si="6"/>
        <v>-5935612.7999999998</v>
      </c>
    </row>
    <row r="41" spans="1:28" x14ac:dyDescent="0.35">
      <c r="A41" s="135">
        <v>43132</v>
      </c>
      <c r="B41" s="135">
        <f t="shared" si="1"/>
        <v>43190</v>
      </c>
      <c r="C41" s="135"/>
      <c r="D41" s="33">
        <v>2211750.08</v>
      </c>
      <c r="E41" s="33">
        <v>1564705.58</v>
      </c>
      <c r="F41" s="33">
        <v>7755399.9900000002</v>
      </c>
      <c r="G41" s="33">
        <v>2931987.76</v>
      </c>
      <c r="H41" s="33">
        <v>-3090054</v>
      </c>
      <c r="I41" s="40">
        <f t="shared" ref="I41:I51" si="11">G41+H41</f>
        <v>-158066.24000000022</v>
      </c>
      <c r="J41" s="135"/>
      <c r="K41" s="40">
        <v>3219357.67</v>
      </c>
      <c r="L41" s="40">
        <v>2885568.1399999997</v>
      </c>
      <c r="M41" s="33">
        <f>-'RPP GA Est &amp; True-Up'!I42</f>
        <v>3006214.25</v>
      </c>
      <c r="N41" s="135"/>
      <c r="O41" s="33">
        <v>4751934.4111881601</v>
      </c>
      <c r="P41" s="33">
        <v>1819987.05</v>
      </c>
      <c r="Q41" s="33">
        <f>'RPP GA Est &amp; True-Up'!N42</f>
        <v>3090053.7228182866</v>
      </c>
      <c r="R41" s="40">
        <f t="shared" si="9"/>
        <v>-158106.36163012683</v>
      </c>
      <c r="S41" s="135"/>
      <c r="T41" s="33">
        <f>'RPP GA Est &amp; True-Up'!S42</f>
        <v>4074531.9533165912</v>
      </c>
      <c r="U41" s="40">
        <f t="shared" si="2"/>
        <v>-1142584.5921284314</v>
      </c>
      <c r="V41" s="40">
        <f t="shared" si="3"/>
        <v>-984518.3521284312</v>
      </c>
      <c r="X41" s="33">
        <f t="shared" si="4"/>
        <v>6230051.8471817132</v>
      </c>
      <c r="Y41" s="33">
        <v>-5558738.3599999994</v>
      </c>
      <c r="Z41" s="136"/>
      <c r="AA41" s="33">
        <f t="shared" si="5"/>
        <v>5245573.6166834086</v>
      </c>
      <c r="AB41" s="33">
        <f t="shared" si="6"/>
        <v>-5558738.3599999994</v>
      </c>
    </row>
    <row r="42" spans="1:28" x14ac:dyDescent="0.35">
      <c r="A42" s="135">
        <v>43160</v>
      </c>
      <c r="B42" s="135">
        <f t="shared" si="1"/>
        <v>43220</v>
      </c>
      <c r="C42" s="135"/>
      <c r="D42" s="33">
        <v>2147151.2400000002</v>
      </c>
      <c r="E42" s="33">
        <v>1891877.04</v>
      </c>
      <c r="F42" s="33">
        <v>9518445.9700000007</v>
      </c>
      <c r="G42" s="33">
        <v>4042868.79</v>
      </c>
      <c r="H42" s="33">
        <v>-5691163</v>
      </c>
      <c r="I42" s="40">
        <f t="shared" si="11"/>
        <v>-1648294.21</v>
      </c>
      <c r="J42" s="135"/>
      <c r="K42" s="40">
        <v>4046928.7721097474</v>
      </c>
      <c r="L42" s="40">
        <v>3361972.0000000005</v>
      </c>
      <c r="M42" s="33">
        <f>-'RPP GA Est &amp; True-Up'!I43</f>
        <v>3460487.66</v>
      </c>
      <c r="N42" s="135"/>
      <c r="O42" s="33">
        <v>5278347.3992800899</v>
      </c>
      <c r="P42" s="33">
        <v>1235543.5799999998</v>
      </c>
      <c r="Q42" s="33">
        <f>'RPP GA Est &amp; True-Up'!N43</f>
        <v>5691162.244834777</v>
      </c>
      <c r="R42" s="40">
        <f t="shared" si="9"/>
        <v>-1648358.4255546872</v>
      </c>
      <c r="S42" s="135"/>
      <c r="T42" s="33">
        <f>'RPP GA Est &amp; True-Up'!S43</f>
        <v>5478018.824834777</v>
      </c>
      <c r="U42" s="40">
        <f t="shared" si="2"/>
        <v>-1435215.0055546872</v>
      </c>
      <c r="V42" s="40">
        <f t="shared" si="3"/>
        <v>213079.20444531273</v>
      </c>
      <c r="X42" s="33">
        <f t="shared" si="4"/>
        <v>5719160.7651652247</v>
      </c>
      <c r="Y42" s="33">
        <v>-4575399.2200000007</v>
      </c>
      <c r="Z42" s="136"/>
      <c r="AA42" s="33">
        <f t="shared" si="5"/>
        <v>5932304.1851652246</v>
      </c>
      <c r="AB42" s="33">
        <f t="shared" si="6"/>
        <v>-4575399.2200000007</v>
      </c>
    </row>
    <row r="43" spans="1:28" x14ac:dyDescent="0.35">
      <c r="A43" s="135">
        <v>43191</v>
      </c>
      <c r="B43" s="135">
        <f t="shared" si="1"/>
        <v>43251</v>
      </c>
      <c r="C43" s="135"/>
      <c r="D43" s="33">
        <v>3430494.15</v>
      </c>
      <c r="E43" s="33">
        <v>1848100.02</v>
      </c>
      <c r="F43" s="33">
        <v>9286541.1699999999</v>
      </c>
      <c r="G43" s="33">
        <v>3442346.86</v>
      </c>
      <c r="H43" s="33">
        <v>-6149084</v>
      </c>
      <c r="I43" s="40">
        <f t="shared" si="11"/>
        <v>-2706737.14</v>
      </c>
      <c r="J43" s="135"/>
      <c r="K43" s="40">
        <v>3991620.9942517998</v>
      </c>
      <c r="L43" s="40">
        <v>3931425.69</v>
      </c>
      <c r="M43" s="33">
        <f>-'RPP GA Est &amp; True-Up'!I44</f>
        <v>3907807.25</v>
      </c>
      <c r="N43" s="135"/>
      <c r="O43" s="33">
        <v>4480684.4534548707</v>
      </c>
      <c r="P43" s="33">
        <v>1038337.6</v>
      </c>
      <c r="Q43" s="33">
        <f>'RPP GA Est &amp; True-Up'!N44</f>
        <v>6149084.0768082039</v>
      </c>
      <c r="R43" s="40">
        <f t="shared" si="9"/>
        <v>-2706737.2233533328</v>
      </c>
      <c r="S43" s="135"/>
      <c r="T43" s="33">
        <f>'RPP GA Est &amp; True-Up'!S44</f>
        <v>5562642.9646984572</v>
      </c>
      <c r="U43" s="40">
        <f t="shared" si="2"/>
        <v>-2120296.1112435861</v>
      </c>
      <c r="V43" s="40">
        <f t="shared" si="3"/>
        <v>586441.02875641407</v>
      </c>
      <c r="X43" s="33">
        <f t="shared" si="4"/>
        <v>4985557.1131917955</v>
      </c>
      <c r="Y43" s="33">
        <v>-5352364.6899999995</v>
      </c>
      <c r="Z43" s="136"/>
      <c r="AA43" s="33">
        <f t="shared" si="5"/>
        <v>5571998.2253015423</v>
      </c>
      <c r="AB43" s="33">
        <f t="shared" si="6"/>
        <v>-5352364.6899999995</v>
      </c>
    </row>
    <row r="44" spans="1:28" x14ac:dyDescent="0.35">
      <c r="A44" s="135">
        <v>43221</v>
      </c>
      <c r="B44" s="135">
        <f t="shared" si="1"/>
        <v>43281</v>
      </c>
      <c r="C44" s="135"/>
      <c r="D44" s="33">
        <v>1580978.02</v>
      </c>
      <c r="E44" s="33">
        <v>1967163.1</v>
      </c>
      <c r="F44" s="33">
        <v>10126409.27</v>
      </c>
      <c r="G44" s="33">
        <v>3066467.1399999997</v>
      </c>
      <c r="H44" s="33">
        <v>-6990471</v>
      </c>
      <c r="I44" s="40">
        <f t="shared" si="11"/>
        <v>-3924003.8600000003</v>
      </c>
      <c r="J44" s="135"/>
      <c r="K44" s="40">
        <v>4584035.4957100442</v>
      </c>
      <c r="L44" s="40">
        <v>3988525.9099999941</v>
      </c>
      <c r="M44" s="33">
        <f>-'RPP GA Est &amp; True-Up'!I45</f>
        <v>4083369.94</v>
      </c>
      <c r="N44" s="135"/>
      <c r="O44" s="33">
        <v>4538693.1829499993</v>
      </c>
      <c r="P44" s="33">
        <v>1472226.05</v>
      </c>
      <c r="Q44" s="33">
        <f>'RPP GA Est &amp; True-Up'!N45</f>
        <v>6990470.2903183224</v>
      </c>
      <c r="R44" s="40">
        <f t="shared" si="9"/>
        <v>-3924003.1573683228</v>
      </c>
      <c r="S44" s="135"/>
      <c r="T44" s="33">
        <f>'RPP GA Est &amp; True-Up'!S45</f>
        <v>6906656.5460665226</v>
      </c>
      <c r="U44" s="40">
        <f t="shared" si="2"/>
        <v>-3840189.4131165231</v>
      </c>
      <c r="V44" s="40">
        <f t="shared" si="3"/>
        <v>83814.446883477271</v>
      </c>
      <c r="X44" s="33">
        <f t="shared" si="4"/>
        <v>5103102.0796816768</v>
      </c>
      <c r="Y44" s="33">
        <v>-5755907.3199999994</v>
      </c>
      <c r="Z44" s="136"/>
      <c r="AA44" s="33">
        <f t="shared" si="5"/>
        <v>5186915.8239334766</v>
      </c>
      <c r="AB44" s="33">
        <f t="shared" si="6"/>
        <v>-5755907.3199999994</v>
      </c>
    </row>
    <row r="45" spans="1:28" x14ac:dyDescent="0.35">
      <c r="A45" s="135">
        <v>43252</v>
      </c>
      <c r="B45" s="135">
        <f t="shared" si="1"/>
        <v>43312</v>
      </c>
      <c r="C45" s="135"/>
      <c r="D45" s="33">
        <v>2248374.84</v>
      </c>
      <c r="E45" s="33">
        <v>2261754.0699999998</v>
      </c>
      <c r="F45" s="33">
        <v>11671254.25</v>
      </c>
      <c r="G45" s="33">
        <v>3528967.17</v>
      </c>
      <c r="H45" s="33">
        <v>-5000690</v>
      </c>
      <c r="I45" s="40">
        <f t="shared" si="11"/>
        <v>-1471722.83</v>
      </c>
      <c r="J45" s="135"/>
      <c r="K45" s="40">
        <v>5109400.9600663437</v>
      </c>
      <c r="L45" s="40">
        <v>5727358.890000008</v>
      </c>
      <c r="M45" s="33">
        <f>-'RPP GA Est &amp; True-Up'!I46</f>
        <v>5667462.5300000096</v>
      </c>
      <c r="N45" s="135"/>
      <c r="O45" s="33">
        <v>4272119.9827121496</v>
      </c>
      <c r="P45" s="33">
        <v>744025.99</v>
      </c>
      <c r="Q45" s="33">
        <f>'RPP GA Est &amp; True-Up'!N46</f>
        <v>5000689.106926416</v>
      </c>
      <c r="R45" s="40">
        <f t="shared" si="9"/>
        <v>-1472595.1142142667</v>
      </c>
      <c r="S45" s="135"/>
      <c r="T45" s="33">
        <f>'RPP GA Est &amp; True-Up'!S46</f>
        <v>4500023.5512163714</v>
      </c>
      <c r="U45" s="40">
        <f t="shared" si="2"/>
        <v>-971929.55850422196</v>
      </c>
      <c r="V45" s="40">
        <f t="shared" si="3"/>
        <v>499793.27149577811</v>
      </c>
      <c r="X45" s="33">
        <f t="shared" si="4"/>
        <v>8932319.2130735852</v>
      </c>
      <c r="Y45" s="33">
        <v>-6050533.0700000003</v>
      </c>
      <c r="Z45" s="136"/>
      <c r="AA45" s="33">
        <f t="shared" si="5"/>
        <v>9432984.7687836289</v>
      </c>
      <c r="AB45" s="33">
        <f t="shared" si="6"/>
        <v>-6050533.0700000003</v>
      </c>
    </row>
    <row r="46" spans="1:28" x14ac:dyDescent="0.35">
      <c r="A46" s="135">
        <v>43282</v>
      </c>
      <c r="B46" s="135">
        <f t="shared" si="1"/>
        <v>43343</v>
      </c>
      <c r="C46" s="135"/>
      <c r="D46" s="33">
        <v>4233060.8499999996</v>
      </c>
      <c r="E46" s="33">
        <v>1864142.28</v>
      </c>
      <c r="F46" s="33">
        <v>8686956.8300000001</v>
      </c>
      <c r="G46" s="33">
        <v>3719337.16</v>
      </c>
      <c r="H46" s="33">
        <v>-6023205</v>
      </c>
      <c r="I46" s="40">
        <f t="shared" si="11"/>
        <v>-2303867.84</v>
      </c>
      <c r="J46" s="135"/>
      <c r="K46" s="40">
        <v>3576369.7976187738</v>
      </c>
      <c r="L46" s="40">
        <v>3929656.4999999963</v>
      </c>
      <c r="M46" s="33">
        <f>-'RPP GA Est &amp; True-Up'!I47</f>
        <v>3885090.15</v>
      </c>
      <c r="N46" s="135"/>
      <c r="O46" s="33">
        <v>5007750.5784493499</v>
      </c>
      <c r="P46" s="33">
        <v>1288440.3599999999</v>
      </c>
      <c r="Q46" s="33">
        <f>'RPP GA Est &amp; True-Up'!N47</f>
        <v>6023205.5622537015</v>
      </c>
      <c r="R46" s="40">
        <f t="shared" si="9"/>
        <v>-2303895.343804352</v>
      </c>
      <c r="S46" s="135"/>
      <c r="T46" s="33">
        <f>'RPP GA Est &amp; True-Up'!S47</f>
        <v>6581267.1321873674</v>
      </c>
      <c r="U46" s="40">
        <f t="shared" si="2"/>
        <v>-2861956.9137380179</v>
      </c>
      <c r="V46" s="40">
        <f t="shared" si="3"/>
        <v>-558089.07373801805</v>
      </c>
      <c r="X46" s="33">
        <f t="shared" si="4"/>
        <v>4527893.5477462979</v>
      </c>
      <c r="Y46" s="33">
        <v>-7929216.6100000003</v>
      </c>
      <c r="Z46" s="136"/>
      <c r="AA46" s="33">
        <f t="shared" si="5"/>
        <v>3969831.977812632</v>
      </c>
      <c r="AB46" s="33">
        <f t="shared" si="6"/>
        <v>-7929216.6100000003</v>
      </c>
    </row>
    <row r="47" spans="1:28" x14ac:dyDescent="0.35">
      <c r="A47" s="135">
        <v>43313</v>
      </c>
      <c r="B47" s="135">
        <f t="shared" si="1"/>
        <v>43373</v>
      </c>
      <c r="C47" s="135"/>
      <c r="D47" s="33">
        <v>4157696.61</v>
      </c>
      <c r="E47" s="33">
        <v>1791734.74</v>
      </c>
      <c r="F47" s="33">
        <v>8255010.9500000002</v>
      </c>
      <c r="G47" s="33">
        <v>3337955.9200000004</v>
      </c>
      <c r="H47" s="33">
        <v>-4120159.0199999996</v>
      </c>
      <c r="I47" s="40">
        <f t="shared" si="11"/>
        <v>-782203.09999999916</v>
      </c>
      <c r="J47" s="135"/>
      <c r="K47" s="40">
        <v>3500155.6588864573</v>
      </c>
      <c r="L47" s="40">
        <v>3640076.3999999994</v>
      </c>
      <c r="M47" s="33">
        <f>-'RPP GA Est &amp; True-Up'!I48</f>
        <v>3736334.79</v>
      </c>
      <c r="N47" s="135"/>
      <c r="O47" s="33">
        <v>5324894.9160005804</v>
      </c>
      <c r="P47" s="33">
        <v>1986939</v>
      </c>
      <c r="Q47" s="33">
        <f>'RPP GA Est &amp; True-Up'!N48</f>
        <v>4120159.0379675692</v>
      </c>
      <c r="R47" s="40">
        <f t="shared" si="9"/>
        <v>-782203.12196698878</v>
      </c>
      <c r="S47" s="135"/>
      <c r="T47" s="33">
        <f>'RPP GA Est &amp; True-Up'!S48</f>
        <v>4428879.3903487958</v>
      </c>
      <c r="U47" s="40">
        <f t="shared" si="2"/>
        <v>-1090923.4743482154</v>
      </c>
      <c r="V47" s="40">
        <f t="shared" si="3"/>
        <v>-308720.37434821622</v>
      </c>
      <c r="X47" s="33">
        <f t="shared" si="4"/>
        <v>5926586.6520324303</v>
      </c>
      <c r="Y47" s="33">
        <v>-5749232.4400000004</v>
      </c>
      <c r="Z47" s="136"/>
      <c r="AA47" s="33">
        <f t="shared" si="5"/>
        <v>5617866.2996512037</v>
      </c>
      <c r="AB47" s="33">
        <f t="shared" si="6"/>
        <v>-5749232.4400000004</v>
      </c>
    </row>
    <row r="48" spans="1:28" x14ac:dyDescent="0.35">
      <c r="A48" s="135">
        <v>43344</v>
      </c>
      <c r="B48" s="135">
        <f t="shared" si="1"/>
        <v>43404</v>
      </c>
      <c r="C48" s="135"/>
      <c r="D48" s="33">
        <v>3688543.82</v>
      </c>
      <c r="E48" s="33">
        <v>1732072.17</v>
      </c>
      <c r="F48" s="33">
        <v>8641228.3000000007</v>
      </c>
      <c r="G48" s="33">
        <v>2971679.09</v>
      </c>
      <c r="H48" s="33">
        <v>-4580220</v>
      </c>
      <c r="I48" s="40">
        <f t="shared" si="11"/>
        <v>-1608540.9100000001</v>
      </c>
      <c r="J48" s="135"/>
      <c r="K48" s="40">
        <v>3655371.2030947916</v>
      </c>
      <c r="L48" s="40">
        <v>3586874.3900000057</v>
      </c>
      <c r="M48" s="33">
        <f>-'RPP GA Est &amp; True-Up'!I49</f>
        <v>3474760.91</v>
      </c>
      <c r="N48" s="135"/>
      <c r="O48" s="33">
        <v>4917700.3024671301</v>
      </c>
      <c r="P48" s="33">
        <v>1946021.2200000002</v>
      </c>
      <c r="Q48" s="33">
        <f>'RPP GA Est &amp; True-Up'!N49</f>
        <v>4580220.6810813565</v>
      </c>
      <c r="R48" s="40">
        <f t="shared" si="9"/>
        <v>-1608541.598614227</v>
      </c>
      <c r="S48" s="135"/>
      <c r="T48" s="33">
        <f>'RPP GA Est &amp; True-Up'!S49</f>
        <v>4816399.8121948987</v>
      </c>
      <c r="U48" s="40">
        <f t="shared" si="2"/>
        <v>-1844720.7297277693</v>
      </c>
      <c r="V48" s="40">
        <f t="shared" si="3"/>
        <v>-236179.81972776912</v>
      </c>
      <c r="X48" s="33">
        <f t="shared" si="4"/>
        <v>5793079.7889186442</v>
      </c>
      <c r="Y48" s="33">
        <v>-5528069.5599999996</v>
      </c>
      <c r="Z48" s="136"/>
      <c r="AA48" s="33">
        <f t="shared" si="5"/>
        <v>5556900.6578051019</v>
      </c>
      <c r="AB48" s="33">
        <f t="shared" si="6"/>
        <v>-5528069.5599999996</v>
      </c>
    </row>
    <row r="49" spans="1:28" x14ac:dyDescent="0.35">
      <c r="A49" s="135">
        <v>43374</v>
      </c>
      <c r="B49" s="135">
        <f t="shared" si="1"/>
        <v>43434</v>
      </c>
      <c r="C49" s="135"/>
      <c r="D49" s="33">
        <v>1611982.16</v>
      </c>
      <c r="E49" s="33">
        <v>2253040.3199999998</v>
      </c>
      <c r="F49" s="33">
        <v>11063993.33</v>
      </c>
      <c r="G49" s="33">
        <v>3308403.0500000003</v>
      </c>
      <c r="H49" s="33">
        <v>-5804332</v>
      </c>
      <c r="I49" s="40">
        <f t="shared" si="11"/>
        <v>-2495928.9499999997</v>
      </c>
      <c r="J49" s="135"/>
      <c r="K49" s="40">
        <v>5041744.2919024182</v>
      </c>
      <c r="L49" s="40">
        <v>3729268.7699999921</v>
      </c>
      <c r="M49" s="33">
        <f>-'RPP GA Est &amp; True-Up'!I50</f>
        <v>3784286.1399999899</v>
      </c>
      <c r="N49" s="135"/>
      <c r="O49" s="33">
        <v>5035786.9677025303</v>
      </c>
      <c r="P49" s="33">
        <v>1727391.1300000001</v>
      </c>
      <c r="Q49" s="33">
        <f>'RPP GA Est &amp; True-Up'!N50</f>
        <v>5804332.4104673592</v>
      </c>
      <c r="R49" s="40">
        <f t="shared" si="9"/>
        <v>-2495936.5727648288</v>
      </c>
      <c r="S49" s="135"/>
      <c r="T49" s="33">
        <f>'RPP GA Est &amp; True-Up'!S50</f>
        <v>5623722.1173725678</v>
      </c>
      <c r="U49" s="40">
        <f t="shared" si="2"/>
        <v>-2315326.2796700373</v>
      </c>
      <c r="V49" s="40">
        <f t="shared" si="3"/>
        <v>180602.67032996239</v>
      </c>
      <c r="X49" s="33">
        <f t="shared" si="4"/>
        <v>7512701.2395326411</v>
      </c>
      <c r="Y49" s="33">
        <v>-5195571.66</v>
      </c>
      <c r="Z49" s="136"/>
      <c r="AA49" s="33">
        <f t="shared" si="5"/>
        <v>7693311.5326274326</v>
      </c>
      <c r="AB49" s="33">
        <f t="shared" si="6"/>
        <v>-5195571.66</v>
      </c>
    </row>
    <row r="50" spans="1:28" s="9" customFormat="1" x14ac:dyDescent="0.35">
      <c r="A50" s="38">
        <v>43405</v>
      </c>
      <c r="B50" s="38">
        <f t="shared" si="1"/>
        <v>43465</v>
      </c>
      <c r="C50" s="38"/>
      <c r="D50" s="33">
        <v>3072200.97</v>
      </c>
      <c r="E50" s="33">
        <v>1858280.41</v>
      </c>
      <c r="F50" s="33">
        <v>9619971.1500000004</v>
      </c>
      <c r="G50" s="33">
        <v>3324288.3900000006</v>
      </c>
      <c r="H50" s="33">
        <v>-7552484</v>
      </c>
      <c r="I50" s="40">
        <f t="shared" si="11"/>
        <v>-4228195.6099999994</v>
      </c>
      <c r="J50" s="38"/>
      <c r="K50" s="33">
        <v>4047494.7574620796</v>
      </c>
      <c r="L50" s="33">
        <v>5024177.9899999863</v>
      </c>
      <c r="M50" s="33">
        <f>-'RPP GA Est &amp; True-Up'!I51</f>
        <v>4972548.48999999</v>
      </c>
      <c r="N50" s="38"/>
      <c r="O50" s="33">
        <v>4061185.79923436</v>
      </c>
      <c r="P50" s="33">
        <v>736897.40999999992</v>
      </c>
      <c r="Q50" s="33">
        <f>'RPP GA Est &amp; True-Up'!N51</f>
        <v>7552484.2654843424</v>
      </c>
      <c r="R50" s="33">
        <f t="shared" si="9"/>
        <v>-4228195.876249982</v>
      </c>
      <c r="S50" s="38"/>
      <c r="T50" s="33">
        <f>'RPP GA Est &amp; True-Up'!S51</f>
        <v>6295026.1135819135</v>
      </c>
      <c r="U50" s="40">
        <f t="shared" si="2"/>
        <v>-2970737.7243475537</v>
      </c>
      <c r="V50" s="40">
        <f t="shared" si="3"/>
        <v>1257457.8856524457</v>
      </c>
      <c r="W50" s="40"/>
      <c r="X50" s="33">
        <f t="shared" si="4"/>
        <v>3925767.2945156582</v>
      </c>
      <c r="Y50" s="33">
        <v>-6037326.4500000002</v>
      </c>
      <c r="Z50" s="136"/>
      <c r="AA50" s="33">
        <f t="shared" si="5"/>
        <v>5183225.446418087</v>
      </c>
      <c r="AB50" s="33">
        <f t="shared" si="6"/>
        <v>-6037326.4500000002</v>
      </c>
    </row>
    <row r="51" spans="1:28" x14ac:dyDescent="0.35">
      <c r="A51" s="135">
        <v>43435</v>
      </c>
      <c r="B51" s="135">
        <f t="shared" si="1"/>
        <v>43496</v>
      </c>
      <c r="C51" s="135"/>
      <c r="D51" s="33">
        <v>3482936.32</v>
      </c>
      <c r="E51" s="33">
        <v>1693255.1</v>
      </c>
      <c r="F51" s="33">
        <v>7528755.8899999997</v>
      </c>
      <c r="G51" s="33">
        <v>3220939.9000000004</v>
      </c>
      <c r="H51" s="33">
        <v>-2998346</v>
      </c>
      <c r="I51" s="40">
        <f t="shared" si="11"/>
        <v>222593.90000000037</v>
      </c>
      <c r="J51" s="135"/>
      <c r="K51" s="40">
        <v>3016313.3916334636</v>
      </c>
      <c r="L51" s="40">
        <v>3747180.4399999906</v>
      </c>
      <c r="M51" s="33">
        <f>-'RPP GA Est &amp; True-Up'!I52</f>
        <v>3741843.8499999898</v>
      </c>
      <c r="N51" s="135"/>
      <c r="O51" s="33">
        <v>4677068.9869109103</v>
      </c>
      <c r="P51" s="33">
        <v>1456129.09</v>
      </c>
      <c r="Q51" s="33">
        <f>'RPP GA Est &amp; True-Up'!N52</f>
        <v>2998346.7106718784</v>
      </c>
      <c r="R51" s="40">
        <f t="shared" si="9"/>
        <v>222593.18623903207</v>
      </c>
      <c r="S51" s="135"/>
      <c r="T51" s="33">
        <f>'RPP GA Est &amp; True-Up'!S52</f>
        <v>3923400.4432097888</v>
      </c>
      <c r="U51" s="40">
        <f t="shared" si="2"/>
        <v>-702460.54629887827</v>
      </c>
      <c r="V51" s="40">
        <f t="shared" si="3"/>
        <v>-925054.44629887864</v>
      </c>
      <c r="X51" s="33">
        <f t="shared" si="4"/>
        <v>6223664.2793281218</v>
      </c>
      <c r="Y51" s="33">
        <v>-6830828.8999999994</v>
      </c>
      <c r="Z51" s="136"/>
      <c r="AA51" s="33">
        <f t="shared" si="5"/>
        <v>5298610.5467902115</v>
      </c>
      <c r="AB51" s="33">
        <f t="shared" si="6"/>
        <v>-6830828.8999999994</v>
      </c>
    </row>
    <row r="52" spans="1:28" x14ac:dyDescent="0.35">
      <c r="A52" s="133"/>
      <c r="B52" s="133"/>
      <c r="C52" s="133"/>
      <c r="D52" s="40"/>
      <c r="E52" s="40"/>
      <c r="F52" s="40"/>
      <c r="G52" s="40"/>
      <c r="H52" s="40"/>
      <c r="I52" s="40"/>
      <c r="J52" s="133"/>
      <c r="K52" s="40"/>
      <c r="L52" s="40"/>
      <c r="M52" s="40"/>
      <c r="N52" s="133"/>
      <c r="O52" s="40"/>
      <c r="P52" s="40"/>
      <c r="Q52" s="40"/>
      <c r="R52" s="40"/>
      <c r="S52" s="133"/>
      <c r="T52" s="40"/>
      <c r="U52" s="40"/>
      <c r="V52" s="40"/>
      <c r="X52" s="40"/>
      <c r="Y52" s="40"/>
      <c r="Z52" s="133"/>
      <c r="AA52" s="40"/>
      <c r="AB52" s="40"/>
    </row>
    <row r="53" spans="1:28" x14ac:dyDescent="0.35">
      <c r="A53" s="39" t="s">
        <v>4</v>
      </c>
      <c r="B53" s="133"/>
      <c r="C53" s="133"/>
      <c r="D53" s="40">
        <f t="shared" ref="D53:I53" si="12">SUM(D4:D15)</f>
        <v>34487799.620000005</v>
      </c>
      <c r="E53" s="40">
        <f t="shared" si="12"/>
        <v>6021020.6699999999</v>
      </c>
      <c r="F53" s="40">
        <f t="shared" si="12"/>
        <v>108527848.5</v>
      </c>
      <c r="G53" s="40">
        <f t="shared" si="12"/>
        <v>48125033.060000002</v>
      </c>
      <c r="H53" s="40">
        <f t="shared" si="12"/>
        <v>-51517292.660000004</v>
      </c>
      <c r="I53" s="40">
        <f t="shared" si="12"/>
        <v>-3392259.5999999996</v>
      </c>
      <c r="J53" s="133"/>
      <c r="K53" s="40">
        <f t="shared" ref="K53:M53" si="13">SUM(K4:K15)</f>
        <v>59286332.310000002</v>
      </c>
      <c r="L53" s="40">
        <f t="shared" si="13"/>
        <v>57633821.509999998</v>
      </c>
      <c r="M53" s="40">
        <f t="shared" si="13"/>
        <v>57631064.169669233</v>
      </c>
      <c r="N53" s="133"/>
      <c r="O53" s="40">
        <f t="shared" ref="O53:U53" si="14">SUM(O4:O15)</f>
        <v>64591343.948959991</v>
      </c>
      <c r="P53" s="40">
        <f t="shared" si="14"/>
        <v>16466310.866500003</v>
      </c>
      <c r="Q53" s="40">
        <f t="shared" si="14"/>
        <v>51517292.670000002</v>
      </c>
      <c r="R53" s="40">
        <f t="shared" si="14"/>
        <v>-3392259.5875400053</v>
      </c>
      <c r="S53" s="136"/>
      <c r="T53" s="40">
        <f t="shared" si="14"/>
        <v>49054092.985346407</v>
      </c>
      <c r="U53" s="39">
        <f t="shared" si="14"/>
        <v>-929059.90288640745</v>
      </c>
      <c r="V53" s="40">
        <f>SUM(V4:V15)</f>
        <v>2463199.6971135922</v>
      </c>
      <c r="X53" s="40">
        <f t="shared" ref="X53:Y53" si="15">SUM(X4:X15)</f>
        <v>63031576.499999993</v>
      </c>
      <c r="Y53" s="40">
        <f t="shared" si="15"/>
        <v>-61828986.289999992</v>
      </c>
      <c r="Z53" s="136"/>
      <c r="AA53" s="40">
        <f t="shared" ref="AA53:AB53" si="16">SUM(AA4:AA15)</f>
        <v>65494776.184653595</v>
      </c>
      <c r="AB53" s="40">
        <f t="shared" si="16"/>
        <v>-61828986.289999992</v>
      </c>
    </row>
    <row r="54" spans="1:28" x14ac:dyDescent="0.35">
      <c r="A54" s="39" t="s">
        <v>0</v>
      </c>
      <c r="B54" s="133"/>
      <c r="C54" s="133"/>
      <c r="D54" s="40">
        <f t="shared" ref="D54:I54" si="17">SUM(D16:D27)</f>
        <v>24535885.210000001</v>
      </c>
      <c r="E54" s="40">
        <f t="shared" si="17"/>
        <v>7603428.4299999997</v>
      </c>
      <c r="F54" s="40">
        <f t="shared" si="17"/>
        <v>134999506.30000001</v>
      </c>
      <c r="G54" s="40">
        <f t="shared" si="17"/>
        <v>61255428.43999999</v>
      </c>
      <c r="H54" s="40">
        <f t="shared" si="17"/>
        <v>-62654862.030000001</v>
      </c>
      <c r="I54" s="40">
        <f t="shared" si="17"/>
        <v>-1399433.5899999971</v>
      </c>
      <c r="J54" s="133"/>
      <c r="K54" s="40">
        <f t="shared" ref="K54:M54" si="18">SUM(K16:K27)</f>
        <v>72480044.400776699</v>
      </c>
      <c r="L54" s="40">
        <f t="shared" si="18"/>
        <v>72144607.050000012</v>
      </c>
      <c r="M54" s="40">
        <f t="shared" si="18"/>
        <v>72069206.819999993</v>
      </c>
      <c r="N54" s="133"/>
      <c r="O54" s="40">
        <f t="shared" ref="O54:U54" si="19">SUM(O16:O27)</f>
        <v>71790702.84725</v>
      </c>
      <c r="P54" s="40">
        <f t="shared" si="19"/>
        <v>10535274.39961</v>
      </c>
      <c r="Q54" s="40">
        <f t="shared" si="19"/>
        <v>62654864.183613591</v>
      </c>
      <c r="R54" s="40">
        <f t="shared" si="19"/>
        <v>-1399435.7359735975</v>
      </c>
      <c r="S54" s="136"/>
      <c r="T54" s="40">
        <f t="shared" si="19"/>
        <v>62330051.762836911</v>
      </c>
      <c r="U54" s="39">
        <f t="shared" si="19"/>
        <v>-1074623.3151969099</v>
      </c>
      <c r="V54" s="40">
        <f>SUM(V16:V27)</f>
        <v>324810.27480308712</v>
      </c>
      <c r="X54" s="40">
        <f t="shared" ref="X54:Y54" si="20">SUM(X16:X27)</f>
        <v>79948070.546386406</v>
      </c>
      <c r="Y54" s="40">
        <f t="shared" si="20"/>
        <v>-80941910.950000018</v>
      </c>
      <c r="Z54" s="136"/>
      <c r="AA54" s="40">
        <f t="shared" ref="AA54:AB54" si="21">SUM(AA16:AA27)</f>
        <v>80272882.967163101</v>
      </c>
      <c r="AB54" s="40">
        <f t="shared" si="21"/>
        <v>-80941910.950000018</v>
      </c>
    </row>
    <row r="55" spans="1:28" x14ac:dyDescent="0.35">
      <c r="A55" s="39" t="s">
        <v>1</v>
      </c>
      <c r="B55" s="133"/>
      <c r="C55" s="133"/>
      <c r="D55" s="40">
        <f t="shared" ref="D55:I55" si="22">SUM(D28:D39)</f>
        <v>22682847.620000001</v>
      </c>
      <c r="E55" s="40">
        <f t="shared" si="22"/>
        <v>15608989.510000002</v>
      </c>
      <c r="F55" s="40">
        <f t="shared" si="22"/>
        <v>127192333.53</v>
      </c>
      <c r="G55" s="40">
        <f t="shared" si="22"/>
        <v>53376578.130000003</v>
      </c>
      <c r="H55" s="40">
        <f t="shared" si="22"/>
        <v>-65817899</v>
      </c>
      <c r="I55" s="40">
        <f t="shared" si="22"/>
        <v>-12441320.870000001</v>
      </c>
      <c r="J55" s="133"/>
      <c r="K55" s="40">
        <f t="shared" ref="K55:M55" si="23">SUM(K28:K39)</f>
        <v>61927771.065372184</v>
      </c>
      <c r="L55" s="40">
        <f t="shared" si="23"/>
        <v>60921900.769999996</v>
      </c>
      <c r="M55" s="40">
        <f t="shared" si="23"/>
        <v>60825929.169999994</v>
      </c>
      <c r="N55" s="133"/>
      <c r="O55" s="40">
        <f t="shared" ref="O55:U55" si="24">SUM(O28:O39)</f>
        <v>64079734.562690005</v>
      </c>
      <c r="P55" s="40">
        <f t="shared" si="24"/>
        <v>10704293.939999999</v>
      </c>
      <c r="Q55" s="40">
        <f t="shared" si="24"/>
        <v>65817897.098406963</v>
      </c>
      <c r="R55" s="40">
        <f t="shared" si="24"/>
        <v>-12442456.475716963</v>
      </c>
      <c r="S55" s="136"/>
      <c r="T55" s="40">
        <f t="shared" si="24"/>
        <v>65856138.290095866</v>
      </c>
      <c r="U55" s="39">
        <f t="shared" si="24"/>
        <v>-12480697.667405864</v>
      </c>
      <c r="V55" s="40">
        <f>SUM(V28:V39)</f>
        <v>-39376.797405863646</v>
      </c>
      <c r="X55" s="40">
        <f t="shared" ref="X55:Y55" si="25">SUM(X28:X39)</f>
        <v>76983425.941593051</v>
      </c>
      <c r="Y55" s="40">
        <f t="shared" si="25"/>
        <v>-77870401.439999998</v>
      </c>
      <c r="Z55" s="136"/>
      <c r="AA55" s="40">
        <f t="shared" ref="AA55:AB55" si="26">SUM(AA28:AA39)</f>
        <v>76945184.749904141</v>
      </c>
      <c r="AB55" s="40">
        <f t="shared" si="26"/>
        <v>-77870401.439999998</v>
      </c>
    </row>
    <row r="56" spans="1:28" x14ac:dyDescent="0.35">
      <c r="A56" s="39" t="s">
        <v>2</v>
      </c>
      <c r="B56" s="133"/>
      <c r="C56" s="133"/>
      <c r="D56" s="40">
        <f t="shared" ref="D56:I56" si="27">SUM(D40:D51)</f>
        <v>36213947.239999995</v>
      </c>
      <c r="E56" s="40">
        <f t="shared" si="27"/>
        <v>22272241.91</v>
      </c>
      <c r="F56" s="40">
        <f t="shared" si="27"/>
        <v>109659064.27000001</v>
      </c>
      <c r="G56" s="40">
        <f t="shared" si="27"/>
        <v>41109864.629999995</v>
      </c>
      <c r="H56" s="40">
        <f t="shared" si="27"/>
        <v>-62133087.019999996</v>
      </c>
      <c r="I56" s="40">
        <f t="shared" si="27"/>
        <v>-21023222.390000001</v>
      </c>
      <c r="J56" s="133"/>
      <c r="K56" s="40">
        <f t="shared" ref="K56:M56" si="28">SUM(K40:K51)</f>
        <v>46832460.512237608</v>
      </c>
      <c r="L56" s="40">
        <f t="shared" si="28"/>
        <v>47532347.329999983</v>
      </c>
      <c r="M56" s="40">
        <f t="shared" si="28"/>
        <v>47748351.709999971</v>
      </c>
      <c r="N56" s="133"/>
      <c r="O56" s="40">
        <f t="shared" ref="O56:U56" si="29">SUM(O40:O51)</f>
        <v>58166924.282670133</v>
      </c>
      <c r="P56" s="40">
        <f t="shared" si="29"/>
        <v>17058072.390000001</v>
      </c>
      <c r="Q56" s="40">
        <f t="shared" si="29"/>
        <v>62133086.525568247</v>
      </c>
      <c r="R56" s="40">
        <f t="shared" si="29"/>
        <v>-21024234.632898122</v>
      </c>
      <c r="S56" s="136"/>
      <c r="T56" s="40">
        <f t="shared" si="29"/>
        <v>62261229.167903006</v>
      </c>
      <c r="U56" s="39">
        <f t="shared" si="29"/>
        <v>-21152377.275232874</v>
      </c>
      <c r="V56" s="40">
        <f>SUM(V40:V51)</f>
        <v>-129154.88523287792</v>
      </c>
      <c r="X56" s="40">
        <f t="shared" ref="X56:Y56" si="30">SUM(X40:X51)</f>
        <v>69798219.654431745</v>
      </c>
      <c r="Y56" s="40">
        <f t="shared" si="30"/>
        <v>-70498801.080000013</v>
      </c>
      <c r="Z56" s="136"/>
      <c r="AA56" s="40">
        <f t="shared" ref="AA56:AB56" si="31">SUM(AA40:AA51)</f>
        <v>69670077.012096986</v>
      </c>
      <c r="AB56" s="40">
        <f t="shared" si="31"/>
        <v>-70498801.080000013</v>
      </c>
    </row>
    <row r="57" spans="1:28" x14ac:dyDescent="0.35">
      <c r="A57" s="133"/>
      <c r="B57" s="133"/>
      <c r="C57" s="133"/>
      <c r="D57" s="40"/>
      <c r="E57" s="40"/>
      <c r="F57" s="40"/>
      <c r="G57" s="40"/>
      <c r="H57" s="40"/>
      <c r="I57" s="40"/>
      <c r="J57" s="133"/>
      <c r="K57" s="40"/>
      <c r="L57" s="40"/>
      <c r="M57" s="40"/>
      <c r="N57" s="133"/>
      <c r="O57" s="40"/>
      <c r="P57" s="40"/>
      <c r="Q57" s="40"/>
      <c r="R57" s="40"/>
      <c r="S57" s="133"/>
      <c r="T57" s="40"/>
      <c r="U57" s="40"/>
      <c r="V57" s="40"/>
      <c r="X57" s="40"/>
      <c r="Y57" s="40"/>
      <c r="Z57" s="133"/>
      <c r="AA57" s="40"/>
      <c r="AB57" s="40"/>
    </row>
    <row r="58" spans="1:28" x14ac:dyDescent="0.35">
      <c r="A58" s="144" t="s">
        <v>160</v>
      </c>
      <c r="B58" s="32"/>
      <c r="C58" s="33"/>
      <c r="D58" s="33"/>
      <c r="E58" s="40"/>
      <c r="F58" s="40"/>
      <c r="G58" s="40"/>
      <c r="H58" s="40"/>
      <c r="I58" s="40"/>
      <c r="J58" s="40"/>
      <c r="K58" s="40"/>
      <c r="L58" s="40"/>
      <c r="M58" s="40"/>
      <c r="N58" s="133"/>
      <c r="O58" s="40"/>
      <c r="P58" s="40"/>
      <c r="Q58" s="40"/>
      <c r="R58" s="40"/>
      <c r="S58" s="133"/>
      <c r="T58" s="40"/>
      <c r="U58" s="40"/>
      <c r="V58" s="40"/>
      <c r="X58" s="40"/>
      <c r="Y58" s="40"/>
      <c r="Z58" s="133"/>
      <c r="AA58" s="40"/>
      <c r="AB58" s="40"/>
    </row>
    <row r="59" spans="1:28" x14ac:dyDescent="0.35">
      <c r="A59" s="39"/>
      <c r="B59" s="6" t="s">
        <v>296</v>
      </c>
      <c r="C59" s="6" t="s">
        <v>297</v>
      </c>
      <c r="D59" s="6" t="s">
        <v>300</v>
      </c>
      <c r="E59" s="40"/>
      <c r="F59" s="40"/>
      <c r="G59" s="40"/>
      <c r="H59" s="40"/>
      <c r="I59" s="40"/>
      <c r="J59" s="133"/>
      <c r="K59" s="40"/>
      <c r="L59" s="40"/>
      <c r="M59" s="40"/>
      <c r="N59" s="133"/>
      <c r="O59" s="40"/>
      <c r="P59" s="40"/>
      <c r="Q59" s="40"/>
      <c r="R59" s="40"/>
      <c r="S59" s="133"/>
      <c r="T59" s="40"/>
      <c r="U59" s="39"/>
      <c r="V59" s="40"/>
      <c r="X59" s="40"/>
      <c r="Y59" s="40"/>
      <c r="Z59" s="133"/>
      <c r="AA59" s="40"/>
      <c r="AB59" s="40"/>
    </row>
    <row r="60" spans="1:28" x14ac:dyDescent="0.35">
      <c r="A60" s="50" t="s">
        <v>159</v>
      </c>
      <c r="B60" s="50" t="s">
        <v>157</v>
      </c>
      <c r="C60" s="50" t="s">
        <v>158</v>
      </c>
      <c r="D60" s="50" t="s">
        <v>149</v>
      </c>
      <c r="E60" s="40"/>
      <c r="F60" s="40"/>
      <c r="G60" s="40"/>
      <c r="H60" s="40"/>
      <c r="I60" s="40"/>
      <c r="J60" s="40"/>
      <c r="K60" s="40"/>
      <c r="L60" s="40"/>
      <c r="M60" s="40"/>
      <c r="N60" s="133"/>
      <c r="O60" s="40"/>
      <c r="P60" s="40"/>
      <c r="Q60" s="40"/>
      <c r="R60" s="40"/>
      <c r="S60" s="133"/>
      <c r="T60" s="40"/>
      <c r="U60" s="40"/>
      <c r="V60" s="40"/>
      <c r="X60" s="40"/>
      <c r="Y60" s="40"/>
      <c r="Z60" s="133"/>
      <c r="AA60" s="40"/>
      <c r="AB60" s="40"/>
    </row>
    <row r="61" spans="1:28" x14ac:dyDescent="0.35">
      <c r="A61" s="34" t="s">
        <v>4</v>
      </c>
      <c r="B61" s="30">
        <f>R53</f>
        <v>-3392259.5875400053</v>
      </c>
      <c r="C61" s="30">
        <f>U53</f>
        <v>-929059.90288640745</v>
      </c>
      <c r="D61" s="30">
        <f>C61-B61</f>
        <v>2463199.6846535979</v>
      </c>
      <c r="E61" s="40"/>
      <c r="F61" s="40"/>
      <c r="G61" s="40"/>
      <c r="H61" s="40"/>
      <c r="I61" s="40"/>
      <c r="J61" s="40"/>
      <c r="K61" s="40"/>
      <c r="L61" s="40"/>
      <c r="M61" s="40"/>
      <c r="N61" s="133"/>
      <c r="O61" s="40"/>
      <c r="P61" s="40"/>
      <c r="Q61" s="40"/>
      <c r="R61" s="40"/>
      <c r="S61" s="133"/>
      <c r="T61" s="54"/>
      <c r="U61" s="54"/>
      <c r="V61" s="54"/>
      <c r="W61" s="54"/>
      <c r="X61" s="40"/>
      <c r="Y61" s="40"/>
      <c r="Z61" s="133"/>
      <c r="AA61" s="40"/>
      <c r="AB61" s="40"/>
    </row>
    <row r="62" spans="1:28" x14ac:dyDescent="0.35">
      <c r="A62" s="35" t="s">
        <v>0</v>
      </c>
      <c r="B62" s="31">
        <f>R54</f>
        <v>-1399435.7359735975</v>
      </c>
      <c r="C62" s="31">
        <f>U54</f>
        <v>-1074623.3151969099</v>
      </c>
      <c r="D62" s="31">
        <f t="shared" ref="D62" si="32">C62-B62</f>
        <v>324812.42077668756</v>
      </c>
      <c r="E62" s="40"/>
      <c r="F62" s="40"/>
      <c r="G62" s="40"/>
      <c r="H62" s="40"/>
      <c r="I62" s="40"/>
      <c r="J62" s="40"/>
      <c r="K62" s="40"/>
      <c r="L62" s="40"/>
      <c r="M62" s="40"/>
      <c r="N62" s="133"/>
      <c r="O62" s="40"/>
      <c r="P62" s="40"/>
      <c r="Q62" s="40"/>
      <c r="R62" s="40"/>
      <c r="S62" s="133"/>
      <c r="T62" s="54"/>
      <c r="U62" s="54"/>
      <c r="V62" s="54"/>
      <c r="W62" s="54"/>
      <c r="X62" s="40"/>
      <c r="Y62" s="40"/>
      <c r="Z62" s="133"/>
      <c r="AA62" s="40"/>
      <c r="AB62" s="40"/>
    </row>
    <row r="63" spans="1:28" ht="14.5" customHeight="1" x14ac:dyDescent="0.35">
      <c r="A63" s="36"/>
      <c r="B63" s="36">
        <f>SUM(B61:B62)</f>
        <v>-4791695.3235136028</v>
      </c>
      <c r="C63" s="36">
        <f>SUM(C61:C62)</f>
        <v>-2003683.2180833174</v>
      </c>
      <c r="D63" s="37">
        <f>SUM(D61:D62)</f>
        <v>2788012.1054302854</v>
      </c>
      <c r="E63" s="40"/>
      <c r="F63" s="40"/>
      <c r="G63" s="40"/>
      <c r="H63" s="40"/>
      <c r="I63" s="40"/>
      <c r="J63" s="40"/>
      <c r="K63" s="40"/>
      <c r="L63" s="40"/>
      <c r="M63" s="40"/>
      <c r="N63" s="133"/>
      <c r="O63" s="40"/>
      <c r="P63" s="55"/>
      <c r="Q63" s="55"/>
      <c r="R63" s="55"/>
      <c r="S63" s="133"/>
      <c r="T63" s="54"/>
      <c r="U63" s="54"/>
      <c r="V63" s="54"/>
      <c r="W63" s="54"/>
      <c r="X63" s="40"/>
      <c r="Y63" s="40"/>
      <c r="Z63" s="133"/>
      <c r="AA63" s="40"/>
      <c r="AB63" s="40"/>
    </row>
    <row r="64" spans="1:28" x14ac:dyDescent="0.35">
      <c r="A64" s="40"/>
      <c r="B64" s="40"/>
      <c r="C64" s="40"/>
      <c r="D64" s="40"/>
      <c r="E64" s="40"/>
      <c r="F64" s="40"/>
      <c r="G64" s="40"/>
      <c r="H64" s="40"/>
      <c r="I64" s="40"/>
      <c r="J64" s="40"/>
      <c r="K64" s="40"/>
      <c r="L64" s="40"/>
      <c r="M64" s="40"/>
      <c r="N64" s="133"/>
      <c r="O64" s="55"/>
      <c r="P64" s="55"/>
      <c r="Q64" s="55"/>
      <c r="R64" s="55"/>
      <c r="S64" s="133"/>
      <c r="T64" s="54"/>
      <c r="U64" s="54"/>
      <c r="V64" s="54"/>
      <c r="W64" s="54"/>
      <c r="X64" s="55"/>
      <c r="Y64" s="55"/>
      <c r="Z64" s="133"/>
      <c r="AA64" s="55"/>
      <c r="AB64" s="55"/>
    </row>
    <row r="65" spans="1:28" x14ac:dyDescent="0.35">
      <c r="A65" s="133"/>
      <c r="B65" s="133"/>
      <c r="C65" s="133"/>
      <c r="D65" s="40"/>
      <c r="E65" s="40"/>
      <c r="F65" s="40"/>
      <c r="G65" s="40"/>
      <c r="H65" s="40"/>
      <c r="I65" s="40"/>
      <c r="J65" s="133"/>
      <c r="K65" s="40"/>
      <c r="L65" s="40"/>
      <c r="M65" s="40"/>
      <c r="N65" s="133"/>
      <c r="O65" s="40"/>
      <c r="P65" s="40"/>
      <c r="Q65" s="40"/>
      <c r="R65" s="40"/>
      <c r="S65" s="133"/>
      <c r="T65" s="40"/>
      <c r="U65" s="40"/>
      <c r="V65" s="40"/>
      <c r="X65" s="40"/>
      <c r="Y65" s="40"/>
      <c r="Z65" s="133"/>
      <c r="AA65" s="40"/>
      <c r="AB65" s="40"/>
    </row>
    <row r="66" spans="1:28" x14ac:dyDescent="0.35">
      <c r="A66" s="144" t="s">
        <v>187</v>
      </c>
      <c r="B66" s="2" t="s">
        <v>185</v>
      </c>
      <c r="C66" s="133"/>
      <c r="D66" s="40"/>
      <c r="E66" s="40"/>
      <c r="F66" s="40"/>
      <c r="G66" s="40"/>
      <c r="H66" s="40"/>
      <c r="I66" s="40"/>
      <c r="J66" s="133"/>
      <c r="K66" s="40"/>
      <c r="L66" s="40"/>
      <c r="M66" s="40"/>
      <c r="N66" s="133"/>
      <c r="O66" s="40"/>
      <c r="P66" s="40"/>
      <c r="Q66" s="40"/>
      <c r="R66" s="40"/>
      <c r="S66" s="133"/>
      <c r="T66" s="40"/>
      <c r="U66" s="40"/>
      <c r="V66" s="40"/>
      <c r="X66" s="40"/>
      <c r="Y66" s="40"/>
      <c r="Z66" s="133"/>
      <c r="AA66" s="40"/>
      <c r="AB66" s="40"/>
    </row>
    <row r="67" spans="1:28" x14ac:dyDescent="0.35">
      <c r="A67" s="52" t="s">
        <v>182</v>
      </c>
      <c r="B67" s="133" t="s">
        <v>186</v>
      </c>
      <c r="C67" s="133"/>
      <c r="D67" s="40"/>
      <c r="E67" s="40"/>
      <c r="F67" s="40"/>
      <c r="G67" s="40"/>
      <c r="H67" s="40"/>
      <c r="I67" s="40"/>
      <c r="J67" s="133"/>
      <c r="K67" s="40"/>
      <c r="L67" s="40"/>
      <c r="M67" s="40"/>
      <c r="N67" s="133"/>
      <c r="O67" s="40"/>
      <c r="P67" s="40"/>
      <c r="Q67" s="40"/>
      <c r="R67" s="40"/>
      <c r="S67" s="133"/>
      <c r="T67" s="40"/>
      <c r="U67" s="40"/>
      <c r="V67" s="40"/>
      <c r="X67" s="40"/>
      <c r="Y67" s="40"/>
      <c r="Z67" s="133"/>
      <c r="AA67" s="40"/>
      <c r="AB67" s="40"/>
    </row>
    <row r="68" spans="1:28" x14ac:dyDescent="0.35">
      <c r="A68" s="52" t="s">
        <v>183</v>
      </c>
      <c r="B68" s="133" t="s">
        <v>184</v>
      </c>
      <c r="C68" s="133"/>
      <c r="D68" s="40"/>
      <c r="E68" s="40"/>
      <c r="F68" s="40"/>
      <c r="G68" s="40"/>
      <c r="H68" s="40"/>
      <c r="I68" s="40"/>
      <c r="J68" s="133"/>
      <c r="K68" s="40"/>
      <c r="L68" s="40"/>
      <c r="M68" s="40"/>
      <c r="N68" s="133"/>
      <c r="O68" s="40"/>
      <c r="P68" s="40"/>
      <c r="Q68" s="40"/>
      <c r="R68" s="40"/>
      <c r="S68" s="133"/>
      <c r="T68" s="40"/>
      <c r="U68" s="40"/>
      <c r="V68" s="40"/>
      <c r="X68" s="40"/>
      <c r="Y68" s="40"/>
      <c r="Z68" s="133"/>
      <c r="AA68" s="40"/>
      <c r="AB68" s="40"/>
    </row>
    <row r="69" spans="1:28" x14ac:dyDescent="0.35">
      <c r="A69" s="52" t="s">
        <v>251</v>
      </c>
      <c r="B69" s="133" t="s">
        <v>188</v>
      </c>
      <c r="C69" s="133"/>
      <c r="D69" s="40"/>
      <c r="E69" s="40"/>
      <c r="F69" s="40"/>
      <c r="G69" s="40"/>
      <c r="H69" s="40"/>
      <c r="I69" s="40"/>
      <c r="J69" s="133"/>
      <c r="K69" s="40"/>
      <c r="L69" s="40"/>
      <c r="M69" s="40"/>
      <c r="N69" s="133"/>
      <c r="O69" s="40"/>
      <c r="P69" s="40"/>
      <c r="Q69" s="40"/>
      <c r="R69" s="40"/>
      <c r="S69" s="133"/>
      <c r="T69" s="40"/>
      <c r="U69" s="40"/>
      <c r="V69" s="40"/>
      <c r="X69" s="40"/>
      <c r="Y69" s="40"/>
      <c r="Z69" s="133"/>
      <c r="AA69" s="40"/>
      <c r="AB69" s="40"/>
    </row>
    <row r="70" spans="1:28" x14ac:dyDescent="0.35">
      <c r="A70" s="52" t="s">
        <v>131</v>
      </c>
      <c r="B70" s="133" t="s">
        <v>259</v>
      </c>
      <c r="C70" s="133"/>
      <c r="D70" s="40"/>
      <c r="E70" s="40"/>
      <c r="F70" s="40"/>
      <c r="G70" s="40"/>
      <c r="H70" s="40"/>
      <c r="I70" s="40"/>
      <c r="J70" s="133"/>
      <c r="K70" s="40"/>
      <c r="L70" s="40"/>
      <c r="M70" s="40"/>
      <c r="N70" s="133"/>
      <c r="O70" s="40"/>
      <c r="P70" s="40"/>
      <c r="Q70" s="40"/>
      <c r="R70" s="40"/>
      <c r="S70" s="133"/>
      <c r="T70" s="40"/>
      <c r="U70" s="40"/>
      <c r="V70" s="40"/>
      <c r="X70" s="40"/>
      <c r="Y70" s="40"/>
      <c r="Z70" s="133"/>
      <c r="AA70" s="40"/>
      <c r="AB70" s="40"/>
    </row>
    <row r="71" spans="1:28" x14ac:dyDescent="0.35">
      <c r="A71" s="52" t="s">
        <v>255</v>
      </c>
      <c r="B71" s="133" t="s">
        <v>285</v>
      </c>
      <c r="C71" s="133"/>
      <c r="D71" s="40"/>
      <c r="E71" s="40"/>
      <c r="F71" s="40"/>
      <c r="G71" s="40"/>
      <c r="H71" s="40"/>
      <c r="I71" s="40"/>
      <c r="J71" s="133"/>
      <c r="K71" s="40"/>
      <c r="L71" s="40"/>
      <c r="M71" s="40"/>
      <c r="N71" s="133"/>
      <c r="O71" s="40"/>
      <c r="P71" s="40"/>
      <c r="Q71" s="40"/>
      <c r="R71" s="40"/>
      <c r="S71" s="133"/>
      <c r="T71" s="40"/>
      <c r="U71" s="40"/>
      <c r="V71" s="40"/>
      <c r="X71" s="40"/>
      <c r="Y71" s="40"/>
      <c r="Z71" s="133"/>
      <c r="AA71" s="40"/>
      <c r="AB71" s="40"/>
    </row>
    <row r="72" spans="1:28" x14ac:dyDescent="0.35">
      <c r="A72" s="52" t="s">
        <v>256</v>
      </c>
      <c r="B72" s="133" t="s">
        <v>257</v>
      </c>
      <c r="C72" s="133"/>
      <c r="D72" s="40"/>
      <c r="E72" s="40"/>
      <c r="F72" s="40"/>
      <c r="G72" s="40"/>
      <c r="H72" s="40"/>
      <c r="I72" s="40"/>
      <c r="J72" s="133"/>
      <c r="K72" s="40"/>
      <c r="L72" s="40"/>
      <c r="M72" s="40"/>
      <c r="N72" s="133"/>
      <c r="O72" s="40"/>
      <c r="P72" s="40"/>
      <c r="Q72" s="40"/>
      <c r="R72" s="40"/>
      <c r="S72" s="133"/>
      <c r="T72" s="40"/>
      <c r="U72" s="40"/>
      <c r="V72" s="40"/>
      <c r="X72" s="40"/>
      <c r="Y72" s="40"/>
      <c r="Z72" s="133"/>
      <c r="AA72" s="40"/>
      <c r="AB72" s="40"/>
    </row>
    <row r="73" spans="1:28" x14ac:dyDescent="0.35">
      <c r="A73" s="52" t="s">
        <v>178</v>
      </c>
      <c r="B73" s="133" t="s">
        <v>298</v>
      </c>
      <c r="C73" s="133"/>
      <c r="D73" s="40"/>
      <c r="E73" s="40"/>
      <c r="F73" s="40"/>
      <c r="G73" s="40"/>
      <c r="H73" s="40"/>
      <c r="I73" s="40"/>
      <c r="J73" s="133"/>
      <c r="K73" s="40"/>
      <c r="L73" s="40"/>
      <c r="M73" s="40"/>
      <c r="N73" s="133"/>
      <c r="O73" s="40"/>
      <c r="P73" s="40"/>
      <c r="Q73" s="40"/>
      <c r="R73" s="40"/>
      <c r="S73" s="133"/>
      <c r="T73" s="40"/>
      <c r="U73" s="40"/>
      <c r="V73" s="40"/>
      <c r="X73" s="40"/>
      <c r="Y73" s="40"/>
      <c r="Z73" s="133"/>
      <c r="AA73" s="40"/>
      <c r="AB73" s="40"/>
    </row>
    <row r="74" spans="1:28" x14ac:dyDescent="0.35">
      <c r="A74" s="52" t="s">
        <v>258</v>
      </c>
      <c r="B74" s="133" t="s">
        <v>184</v>
      </c>
      <c r="C74" s="133"/>
      <c r="D74" s="40"/>
      <c r="E74" s="40"/>
      <c r="F74" s="40"/>
      <c r="G74" s="40"/>
      <c r="H74" s="40"/>
      <c r="I74" s="40"/>
      <c r="J74" s="133"/>
      <c r="K74" s="40"/>
      <c r="L74" s="40"/>
      <c r="M74" s="40"/>
      <c r="N74" s="133"/>
      <c r="O74" s="40"/>
      <c r="P74" s="40"/>
      <c r="Q74" s="40"/>
      <c r="R74" s="40"/>
      <c r="S74" s="133"/>
      <c r="T74" s="40"/>
      <c r="U74" s="40"/>
      <c r="V74" s="40"/>
      <c r="X74" s="40"/>
      <c r="Y74" s="40"/>
      <c r="Z74" s="133"/>
      <c r="AA74" s="40"/>
      <c r="AB74" s="40"/>
    </row>
    <row r="75" spans="1:28" x14ac:dyDescent="0.35">
      <c r="A75" s="52" t="s">
        <v>130</v>
      </c>
      <c r="B75" s="133" t="s">
        <v>184</v>
      </c>
      <c r="C75" s="133"/>
      <c r="D75" s="40"/>
      <c r="E75" s="40"/>
      <c r="F75" s="40"/>
      <c r="G75" s="40"/>
      <c r="H75" s="40"/>
      <c r="I75" s="40"/>
      <c r="J75" s="133"/>
      <c r="K75" s="40"/>
      <c r="L75" s="40"/>
      <c r="M75" s="40"/>
      <c r="N75" s="133"/>
      <c r="O75" s="40"/>
      <c r="P75" s="40"/>
      <c r="Q75" s="40"/>
      <c r="R75" s="40"/>
      <c r="S75" s="133"/>
      <c r="T75" s="40"/>
      <c r="U75" s="40"/>
      <c r="V75" s="40"/>
      <c r="X75" s="40"/>
      <c r="Y75" s="40"/>
      <c r="Z75" s="133"/>
      <c r="AA75" s="40"/>
      <c r="AB75" s="40"/>
    </row>
    <row r="76" spans="1:28" x14ac:dyDescent="0.35">
      <c r="A76" s="52"/>
      <c r="B76" s="133"/>
      <c r="C76" s="133"/>
      <c r="D76" s="40"/>
      <c r="E76" s="40"/>
      <c r="F76" s="40"/>
      <c r="G76" s="40"/>
      <c r="H76" s="40"/>
      <c r="I76" s="40"/>
      <c r="J76" s="133"/>
      <c r="K76" s="40"/>
      <c r="L76" s="40"/>
      <c r="M76" s="40"/>
      <c r="N76" s="133"/>
      <c r="O76" s="40"/>
      <c r="P76" s="40"/>
      <c r="Q76" s="40"/>
      <c r="R76" s="40"/>
      <c r="S76" s="133"/>
      <c r="T76" s="40"/>
      <c r="U76" s="40"/>
      <c r="V76" s="40"/>
      <c r="X76" s="40"/>
      <c r="Y76" s="40"/>
      <c r="Z76" s="133"/>
      <c r="AA76" s="40"/>
      <c r="AB76" s="40"/>
    </row>
    <row r="77" spans="1:28" x14ac:dyDescent="0.35">
      <c r="A77" s="52"/>
      <c r="B77" s="133"/>
      <c r="C77" s="133"/>
      <c r="D77" s="40"/>
      <c r="E77" s="40"/>
      <c r="F77" s="40"/>
      <c r="G77" s="40"/>
      <c r="H77" s="40"/>
      <c r="I77" s="40"/>
      <c r="J77" s="133"/>
      <c r="K77" s="40"/>
      <c r="L77" s="40"/>
      <c r="M77" s="40"/>
      <c r="N77" s="133"/>
      <c r="O77" s="40"/>
      <c r="P77" s="40"/>
      <c r="Q77" s="40"/>
      <c r="R77" s="40"/>
      <c r="S77" s="133"/>
      <c r="T77" s="40"/>
      <c r="U77" s="40"/>
      <c r="V77" s="40"/>
      <c r="X77" s="40"/>
      <c r="Y77" s="40"/>
      <c r="Z77" s="133"/>
      <c r="AA77" s="40"/>
      <c r="AB77" s="40"/>
    </row>
    <row r="78" spans="1:28" x14ac:dyDescent="0.35">
      <c r="A78" s="52"/>
      <c r="B78" s="133"/>
      <c r="C78" s="133"/>
      <c r="D78" s="40"/>
      <c r="E78" s="40"/>
      <c r="F78" s="40"/>
      <c r="G78" s="40"/>
      <c r="H78" s="40"/>
      <c r="I78" s="40"/>
      <c r="J78" s="133"/>
      <c r="K78" s="40"/>
      <c r="L78" s="40"/>
      <c r="M78" s="40"/>
      <c r="N78" s="133"/>
      <c r="O78" s="40"/>
      <c r="P78" s="40"/>
      <c r="Q78" s="40"/>
      <c r="R78" s="40"/>
      <c r="S78" s="133"/>
      <c r="T78" s="40"/>
      <c r="U78" s="40"/>
      <c r="V78" s="40"/>
      <c r="X78" s="40"/>
      <c r="Y78" s="40"/>
      <c r="Z78" s="133"/>
      <c r="AA78" s="40"/>
      <c r="AB78" s="40"/>
    </row>
    <row r="79" spans="1:28" x14ac:dyDescent="0.35">
      <c r="A79" s="52"/>
      <c r="B79" s="133"/>
      <c r="C79" s="133"/>
      <c r="D79" s="40"/>
      <c r="E79" s="40"/>
      <c r="F79" s="40"/>
      <c r="G79" s="40"/>
      <c r="H79" s="40"/>
      <c r="I79" s="40"/>
      <c r="J79" s="133"/>
      <c r="K79" s="40"/>
      <c r="L79" s="40"/>
      <c r="M79" s="40"/>
      <c r="N79" s="133"/>
      <c r="O79" s="40"/>
      <c r="P79" s="40"/>
      <c r="Q79" s="40"/>
      <c r="R79" s="40"/>
      <c r="S79" s="133"/>
      <c r="T79" s="40"/>
      <c r="U79" s="40"/>
      <c r="V79" s="40"/>
      <c r="X79" s="40"/>
      <c r="Y79" s="40"/>
      <c r="Z79" s="133"/>
      <c r="AA79" s="40"/>
      <c r="AB79" s="40"/>
    </row>
    <row r="80" spans="1:28" x14ac:dyDescent="0.35">
      <c r="A80" s="52"/>
      <c r="B80" s="133"/>
      <c r="C80" s="133"/>
      <c r="D80" s="40"/>
      <c r="E80" s="40"/>
      <c r="F80" s="40"/>
      <c r="G80" s="40"/>
      <c r="H80" s="40"/>
      <c r="I80" s="40"/>
      <c r="J80" s="133"/>
      <c r="K80" s="40"/>
      <c r="L80" s="40"/>
      <c r="M80" s="40"/>
      <c r="N80" s="133"/>
      <c r="O80" s="40"/>
      <c r="P80" s="40"/>
      <c r="Q80" s="40"/>
      <c r="R80" s="40"/>
      <c r="S80" s="133"/>
      <c r="T80" s="40"/>
      <c r="U80" s="40"/>
      <c r="V80" s="40"/>
      <c r="X80" s="40"/>
      <c r="Y80" s="40"/>
      <c r="Z80" s="133"/>
      <c r="AA80" s="40"/>
      <c r="AB80" s="40"/>
    </row>
    <row r="81" spans="1:28" x14ac:dyDescent="0.35">
      <c r="A81" s="133"/>
      <c r="B81" s="133"/>
      <c r="C81" s="133"/>
      <c r="D81" s="40"/>
      <c r="E81" s="40"/>
      <c r="F81" s="40"/>
      <c r="G81" s="40"/>
      <c r="H81" s="40"/>
      <c r="I81" s="40"/>
      <c r="J81" s="133"/>
      <c r="K81" s="40"/>
      <c r="L81" s="40"/>
      <c r="M81" s="40"/>
      <c r="N81" s="133"/>
      <c r="O81" s="40"/>
      <c r="P81" s="40"/>
      <c r="Q81" s="40"/>
      <c r="R81" s="40"/>
      <c r="S81" s="133"/>
      <c r="T81" s="40"/>
      <c r="U81" s="40"/>
      <c r="V81" s="40"/>
      <c r="X81" s="40"/>
      <c r="Y81" s="40"/>
      <c r="Z81" s="133"/>
      <c r="AA81" s="40"/>
      <c r="AB81" s="40"/>
    </row>
    <row r="82" spans="1:28" x14ac:dyDescent="0.35">
      <c r="A82" s="133"/>
      <c r="B82" s="133"/>
      <c r="C82" s="133"/>
      <c r="D82" s="40"/>
      <c r="E82" s="40"/>
      <c r="F82" s="40"/>
      <c r="G82" s="40"/>
      <c r="H82" s="40"/>
      <c r="I82" s="40"/>
      <c r="J82" s="133"/>
      <c r="K82" s="40"/>
      <c r="L82" s="40"/>
      <c r="M82" s="40"/>
      <c r="N82" s="133"/>
      <c r="O82" s="40"/>
      <c r="P82" s="40"/>
      <c r="Q82" s="40"/>
      <c r="R82" s="40"/>
      <c r="S82" s="133"/>
      <c r="T82" s="40"/>
      <c r="U82" s="40"/>
      <c r="V82" s="40"/>
      <c r="X82" s="40"/>
      <c r="Y82" s="40"/>
      <c r="Z82" s="133"/>
      <c r="AA82" s="40"/>
      <c r="AB82" s="40"/>
    </row>
    <row r="83" spans="1:28" x14ac:dyDescent="0.35">
      <c r="A83" s="133"/>
      <c r="B83" s="133"/>
      <c r="C83" s="133"/>
      <c r="D83" s="40"/>
      <c r="E83" s="40"/>
      <c r="F83" s="40"/>
      <c r="G83" s="40"/>
      <c r="H83" s="40"/>
      <c r="I83" s="40"/>
      <c r="J83" s="133"/>
      <c r="K83" s="40"/>
      <c r="L83" s="40"/>
      <c r="M83" s="40"/>
      <c r="N83" s="133"/>
      <c r="O83" s="40"/>
      <c r="P83" s="40"/>
      <c r="Q83" s="40"/>
      <c r="R83" s="40"/>
      <c r="S83" s="133"/>
      <c r="T83" s="40"/>
      <c r="U83" s="40"/>
      <c r="V83" s="40"/>
      <c r="X83" s="40"/>
      <c r="Y83" s="40"/>
      <c r="Z83" s="133"/>
      <c r="AA83" s="40"/>
      <c r="AB83" s="40"/>
    </row>
  </sheetData>
  <mergeCells count="6">
    <mergeCell ref="X2:Y2"/>
    <mergeCell ref="AA2:AB2"/>
    <mergeCell ref="O2:R2"/>
    <mergeCell ref="T2:V2"/>
    <mergeCell ref="D2:I2"/>
    <mergeCell ref="K2:M2"/>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80" zoomScaleNormal="80" workbookViewId="0">
      <selection activeCell="F14" sqref="F14"/>
    </sheetView>
  </sheetViews>
  <sheetFormatPr defaultRowHeight="14.5" x14ac:dyDescent="0.35"/>
  <cols>
    <col min="1" max="1" width="10.81640625" customWidth="1"/>
    <col min="2" max="10" width="17.1796875" customWidth="1"/>
    <col min="11" max="11" width="10" bestFit="1" customWidth="1"/>
  </cols>
  <sheetData>
    <row r="1" spans="1:11" s="159" customFormat="1" ht="15" thickBot="1" x14ac:dyDescent="0.4">
      <c r="A1" s="6"/>
      <c r="B1" s="6" t="s">
        <v>23</v>
      </c>
      <c r="C1" s="6" t="s">
        <v>27</v>
      </c>
      <c r="D1" s="6" t="s">
        <v>314</v>
      </c>
      <c r="E1" s="6" t="s">
        <v>170</v>
      </c>
      <c r="F1" s="6" t="s">
        <v>171</v>
      </c>
      <c r="G1" s="6" t="s">
        <v>172</v>
      </c>
      <c r="H1" s="6" t="s">
        <v>173</v>
      </c>
      <c r="I1" s="6" t="s">
        <v>174</v>
      </c>
      <c r="J1" s="6" t="s">
        <v>321</v>
      </c>
      <c r="K1" s="6"/>
    </row>
    <row r="2" spans="1:11" s="159" customFormat="1" ht="15" thickBot="1" x14ac:dyDescent="0.4">
      <c r="A2" s="6"/>
      <c r="B2" s="327" t="s">
        <v>319</v>
      </c>
      <c r="C2" s="328"/>
      <c r="D2" s="328"/>
      <c r="E2" s="328"/>
      <c r="F2" s="328"/>
      <c r="G2" s="328"/>
      <c r="H2" s="328"/>
      <c r="I2" s="328"/>
      <c r="J2" s="329"/>
      <c r="K2" s="6"/>
    </row>
    <row r="3" spans="1:11" x14ac:dyDescent="0.35">
      <c r="A3" s="3"/>
      <c r="B3" s="324" t="s">
        <v>301</v>
      </c>
      <c r="C3" s="325"/>
      <c r="D3" s="326"/>
      <c r="E3" s="325" t="s">
        <v>302</v>
      </c>
      <c r="F3" s="325"/>
      <c r="G3" s="326"/>
      <c r="H3" s="302" t="s">
        <v>315</v>
      </c>
      <c r="I3" s="303"/>
      <c r="J3" s="169" t="s">
        <v>318</v>
      </c>
      <c r="K3" s="3"/>
    </row>
    <row r="4" spans="1:11" ht="29.5" thickBot="1" x14ac:dyDescent="0.4">
      <c r="A4" s="3"/>
      <c r="B4" s="155" t="s">
        <v>311</v>
      </c>
      <c r="C4" s="157" t="s">
        <v>312</v>
      </c>
      <c r="D4" s="158" t="s">
        <v>313</v>
      </c>
      <c r="E4" s="161" t="s">
        <v>311</v>
      </c>
      <c r="F4" s="157" t="s">
        <v>312</v>
      </c>
      <c r="G4" s="158" t="s">
        <v>313</v>
      </c>
      <c r="H4" s="167" t="s">
        <v>316</v>
      </c>
      <c r="I4" s="168" t="s">
        <v>317</v>
      </c>
      <c r="J4" s="170"/>
      <c r="K4" s="3"/>
    </row>
    <row r="5" spans="1:11" x14ac:dyDescent="0.35">
      <c r="A5" s="160" t="s">
        <v>4</v>
      </c>
      <c r="B5" s="162">
        <v>46471586.270000003</v>
      </c>
      <c r="C5" s="54">
        <f>'Table 2'!X53</f>
        <v>63031576.499999993</v>
      </c>
      <c r="D5" s="163">
        <f>SUM(B5:C5)</f>
        <v>109503162.77</v>
      </c>
      <c r="E5" s="162">
        <v>-43880181.649999999</v>
      </c>
      <c r="F5" s="54">
        <f>'Table 2'!Y53</f>
        <v>-61828986.289999992</v>
      </c>
      <c r="G5" s="163">
        <f>SUM(E5:F5)</f>
        <v>-105709167.94</v>
      </c>
      <c r="H5" s="162">
        <f>61463.06-6976.31-14643.97+661320-2648301.39-414214.59+227179.26-8860.94</f>
        <v>-2143034.8800000004</v>
      </c>
      <c r="I5" s="163">
        <v>-4005347.93</v>
      </c>
      <c r="J5" s="171">
        <f>-(D5+G5+H5+I5)</f>
        <v>2354387.9800000023</v>
      </c>
      <c r="K5" s="173"/>
    </row>
    <row r="6" spans="1:11" x14ac:dyDescent="0.35">
      <c r="A6" s="160" t="s">
        <v>0</v>
      </c>
      <c r="B6" s="162">
        <f>C5</f>
        <v>63031576.499999993</v>
      </c>
      <c r="C6" s="54">
        <f>'Table 2'!X54</f>
        <v>79948070.546386406</v>
      </c>
      <c r="D6" s="163">
        <f t="shared" ref="D6:D8" si="0">SUM(B6:C6)</f>
        <v>142979647.04638639</v>
      </c>
      <c r="E6" s="162">
        <f>F5</f>
        <v>-61828986.289999992</v>
      </c>
      <c r="F6" s="54">
        <f>'Table 2'!Y54</f>
        <v>-80941910.950000018</v>
      </c>
      <c r="G6" s="163">
        <f t="shared" ref="G6:G8" si="1">SUM(E6:F6)</f>
        <v>-142770897.24000001</v>
      </c>
      <c r="H6" s="162">
        <f>39427.5-6976.31-14643.97-1762048.56-268780.6+127098.13-1977713.53-41920.5</f>
        <v>-3905557.84</v>
      </c>
      <c r="I6" s="163">
        <v>324616.03000000003</v>
      </c>
      <c r="J6" s="171">
        <f t="shared" ref="J6:J7" si="2">-(D6+G6+H6+I6)</f>
        <v>3372192.0036136182</v>
      </c>
      <c r="K6" s="173"/>
    </row>
    <row r="7" spans="1:11" x14ac:dyDescent="0.35">
      <c r="A7" s="160" t="s">
        <v>1</v>
      </c>
      <c r="B7" s="162">
        <f t="shared" ref="B7:B8" si="3">C6</f>
        <v>79948070.546386406</v>
      </c>
      <c r="C7" s="54">
        <f>'Table 2'!X55</f>
        <v>76983425.941593051</v>
      </c>
      <c r="D7" s="163">
        <f t="shared" si="0"/>
        <v>156931496.48797947</v>
      </c>
      <c r="E7" s="162">
        <f t="shared" ref="E7:E8" si="4">F6</f>
        <v>-80941910.950000018</v>
      </c>
      <c r="F7" s="54">
        <f>'Table 2'!Y55</f>
        <v>-77870401.439999998</v>
      </c>
      <c r="G7" s="163">
        <f t="shared" si="1"/>
        <v>-158812312.39000002</v>
      </c>
      <c r="H7" s="162">
        <f>7233.15+1445619.32-20900.38+122857.12-1331356.3-29380.03</f>
        <v>194072.87999999992</v>
      </c>
      <c r="I7" s="163">
        <f>-J5</f>
        <v>-2354387.9800000023</v>
      </c>
      <c r="J7" s="171">
        <f t="shared" si="2"/>
        <v>4041131.0020205462</v>
      </c>
      <c r="K7" s="173"/>
    </row>
    <row r="8" spans="1:11" ht="15" thickBot="1" x14ac:dyDescent="0.4">
      <c r="A8" s="160" t="s">
        <v>2</v>
      </c>
      <c r="B8" s="164">
        <f t="shared" si="3"/>
        <v>76983425.941593051</v>
      </c>
      <c r="C8" s="165">
        <f>'Table 2'!X56</f>
        <v>69798219.654431745</v>
      </c>
      <c r="D8" s="166">
        <f t="shared" si="0"/>
        <v>146781645.59602481</v>
      </c>
      <c r="E8" s="164">
        <f t="shared" si="4"/>
        <v>-77870401.439999998</v>
      </c>
      <c r="F8" s="165">
        <f>'Table 2'!Y56</f>
        <v>-70498801.080000013</v>
      </c>
      <c r="G8" s="166">
        <f t="shared" si="1"/>
        <v>-148369202.52000001</v>
      </c>
      <c r="H8" s="164">
        <f>41252.61+1553559.54+152814.24-651784.89-36314.94</f>
        <v>1059526.56</v>
      </c>
      <c r="I8" s="166">
        <f>-J6</f>
        <v>-3372192.0036136182</v>
      </c>
      <c r="J8" s="172">
        <f>-(D8+G8+H8+I8)</f>
        <v>3900222.3675888176</v>
      </c>
      <c r="K8" s="173"/>
    </row>
    <row r="9" spans="1:11" x14ac:dyDescent="0.35">
      <c r="A9" s="3"/>
      <c r="B9" s="40"/>
      <c r="C9" s="40"/>
      <c r="D9" s="40"/>
      <c r="E9" s="40"/>
      <c r="F9" s="40"/>
      <c r="G9" s="40"/>
      <c r="H9" s="40"/>
      <c r="I9" s="40"/>
      <c r="J9" s="40"/>
      <c r="K9" s="3"/>
    </row>
    <row r="10" spans="1:11" s="159" customFormat="1" ht="15" thickBot="1" x14ac:dyDescent="0.4">
      <c r="A10" s="6"/>
      <c r="B10" s="6" t="s">
        <v>175</v>
      </c>
      <c r="C10" s="6" t="s">
        <v>176</v>
      </c>
      <c r="D10" s="6" t="s">
        <v>322</v>
      </c>
      <c r="E10" s="6" t="s">
        <v>324</v>
      </c>
      <c r="F10" s="6" t="s">
        <v>325</v>
      </c>
      <c r="G10" s="6" t="s">
        <v>323</v>
      </c>
      <c r="H10" s="6" t="s">
        <v>326</v>
      </c>
      <c r="I10" s="6" t="s">
        <v>303</v>
      </c>
      <c r="J10" s="6" t="s">
        <v>327</v>
      </c>
      <c r="K10" s="6"/>
    </row>
    <row r="11" spans="1:11" ht="15" thickBot="1" x14ac:dyDescent="0.4">
      <c r="A11" s="6"/>
      <c r="B11" s="327" t="s">
        <v>320</v>
      </c>
      <c r="C11" s="328"/>
      <c r="D11" s="328"/>
      <c r="E11" s="328"/>
      <c r="F11" s="328"/>
      <c r="G11" s="328"/>
      <c r="H11" s="328"/>
      <c r="I11" s="328"/>
      <c r="J11" s="329"/>
      <c r="K11" s="3"/>
    </row>
    <row r="12" spans="1:11" x14ac:dyDescent="0.35">
      <c r="A12" s="3"/>
      <c r="B12" s="324" t="s">
        <v>301</v>
      </c>
      <c r="C12" s="325"/>
      <c r="D12" s="326"/>
      <c r="E12" s="325" t="s">
        <v>302</v>
      </c>
      <c r="F12" s="325"/>
      <c r="G12" s="326"/>
      <c r="H12" s="302" t="s">
        <v>315</v>
      </c>
      <c r="I12" s="303"/>
      <c r="J12" s="169" t="s">
        <v>318</v>
      </c>
      <c r="K12" s="3"/>
    </row>
    <row r="13" spans="1:11" ht="29.5" thickBot="1" x14ac:dyDescent="0.4">
      <c r="A13" s="3"/>
      <c r="B13" s="155" t="s">
        <v>311</v>
      </c>
      <c r="C13" s="157" t="s">
        <v>312</v>
      </c>
      <c r="D13" s="158" t="s">
        <v>313</v>
      </c>
      <c r="E13" s="161" t="s">
        <v>311</v>
      </c>
      <c r="F13" s="157" t="s">
        <v>312</v>
      </c>
      <c r="G13" s="158" t="s">
        <v>313</v>
      </c>
      <c r="H13" s="167" t="s">
        <v>316</v>
      </c>
      <c r="I13" s="168" t="s">
        <v>317</v>
      </c>
      <c r="J13" s="170"/>
      <c r="K13" s="3"/>
    </row>
    <row r="14" spans="1:11" x14ac:dyDescent="0.35">
      <c r="A14" s="160" t="s">
        <v>4</v>
      </c>
      <c r="B14" s="162">
        <v>46471586.270000003</v>
      </c>
      <c r="C14" s="54">
        <f>'Table 2'!AA53</f>
        <v>65494776.184653595</v>
      </c>
      <c r="D14" s="163">
        <f>SUM(B14:C14)</f>
        <v>111966362.45465359</v>
      </c>
      <c r="E14" s="162">
        <v>-43880181.649999999</v>
      </c>
      <c r="F14" s="54">
        <f>'Table 2'!AB53</f>
        <v>-61828986.289999992</v>
      </c>
      <c r="G14" s="163">
        <f>SUM(E14:F14)</f>
        <v>-105709167.94</v>
      </c>
      <c r="H14" s="162">
        <f>61463.06-6976.31-14643.97+661320-2648301.39-414214.59+227179.26-8860.94</f>
        <v>-2143034.8800000004</v>
      </c>
      <c r="I14" s="163">
        <v>-4005347.93</v>
      </c>
      <c r="J14" s="171">
        <f>-(D14+G14+H14+I14)</f>
        <v>-108811.70465359278</v>
      </c>
      <c r="K14" s="3"/>
    </row>
    <row r="15" spans="1:11" x14ac:dyDescent="0.35">
      <c r="A15" s="160" t="s">
        <v>0</v>
      </c>
      <c r="B15" s="162">
        <f>C14</f>
        <v>65494776.184653595</v>
      </c>
      <c r="C15" s="54">
        <f>'Table 2'!AA54</f>
        <v>80272882.967163101</v>
      </c>
      <c r="D15" s="163">
        <f t="shared" ref="D15:D17" si="5">SUM(B15:C15)</f>
        <v>145767659.1518167</v>
      </c>
      <c r="E15" s="162">
        <f>F14</f>
        <v>-61828986.289999992</v>
      </c>
      <c r="F15" s="54">
        <f>'Table 2'!AB54</f>
        <v>-80941910.950000018</v>
      </c>
      <c r="G15" s="163">
        <f t="shared" ref="G15:G17" si="6">SUM(E15:F15)</f>
        <v>-142770897.24000001</v>
      </c>
      <c r="H15" s="162">
        <f>39427.5-6976.31-14643.97-1762048.56-268780.6+127098.13-1977713.53-41920.5</f>
        <v>-3905557.84</v>
      </c>
      <c r="I15" s="163">
        <v>324616.03000000003</v>
      </c>
      <c r="J15" s="171">
        <f t="shared" ref="J15:J16" si="7">-(D15+G15+H15+I15)</f>
        <v>584179.89818331343</v>
      </c>
      <c r="K15" s="3"/>
    </row>
    <row r="16" spans="1:11" x14ac:dyDescent="0.35">
      <c r="A16" s="160" t="s">
        <v>1</v>
      </c>
      <c r="B16" s="162">
        <f t="shared" ref="B16:B17" si="8">C15</f>
        <v>80272882.967163101</v>
      </c>
      <c r="C16" s="54">
        <f>'Table 2'!AA55</f>
        <v>76945184.749904141</v>
      </c>
      <c r="D16" s="163">
        <f t="shared" si="5"/>
        <v>157218067.71706724</v>
      </c>
      <c r="E16" s="162">
        <f t="shared" ref="E16:E17" si="9">F15</f>
        <v>-80941910.950000018</v>
      </c>
      <c r="F16" s="54">
        <f>'Table 2'!AB55</f>
        <v>-77870401.439999998</v>
      </c>
      <c r="G16" s="163">
        <f t="shared" si="6"/>
        <v>-158812312.39000002</v>
      </c>
      <c r="H16" s="162">
        <f>7233.15+1445619.32-20900.38+122857.12-1331356.3-29380.03</f>
        <v>194072.87999999992</v>
      </c>
      <c r="I16" s="163">
        <f>-J14</f>
        <v>108811.70465359278</v>
      </c>
      <c r="J16" s="171">
        <f t="shared" si="7"/>
        <v>1291360.0882791812</v>
      </c>
      <c r="K16" s="3"/>
    </row>
    <row r="17" spans="1:11" ht="15" thickBot="1" x14ac:dyDescent="0.4">
      <c r="A17" s="160" t="s">
        <v>2</v>
      </c>
      <c r="B17" s="164">
        <f t="shared" si="8"/>
        <v>76945184.749904141</v>
      </c>
      <c r="C17" s="165">
        <f>'Table 2'!AA56</f>
        <v>69670077.012096986</v>
      </c>
      <c r="D17" s="166">
        <f t="shared" si="5"/>
        <v>146615261.76200113</v>
      </c>
      <c r="E17" s="164">
        <f t="shared" si="9"/>
        <v>-77870401.439999998</v>
      </c>
      <c r="F17" s="165">
        <f>'Table 2'!AB56</f>
        <v>-70498801.080000013</v>
      </c>
      <c r="G17" s="166">
        <f t="shared" si="6"/>
        <v>-148369202.52000001</v>
      </c>
      <c r="H17" s="164">
        <f>41252.61+1553559.54+152814.24-651784.89-36314.94</f>
        <v>1059526.56</v>
      </c>
      <c r="I17" s="166">
        <f>-J15</f>
        <v>-584179.89818331343</v>
      </c>
      <c r="J17" s="172">
        <f>-(D17+G17+H17+I17)</f>
        <v>1278594.0961821971</v>
      </c>
      <c r="K17" s="3"/>
    </row>
    <row r="18" spans="1:11" x14ac:dyDescent="0.35">
      <c r="A18" s="3"/>
      <c r="B18" s="3"/>
      <c r="C18" s="3"/>
      <c r="D18" s="3"/>
      <c r="E18" s="3"/>
      <c r="F18" s="3"/>
      <c r="G18" s="3"/>
      <c r="H18" s="3"/>
      <c r="I18" s="3"/>
      <c r="J18" s="3"/>
      <c r="K18" s="3"/>
    </row>
    <row r="19" spans="1:11" x14ac:dyDescent="0.35">
      <c r="A19" s="144" t="s">
        <v>161</v>
      </c>
      <c r="B19" s="133"/>
      <c r="C19" s="133"/>
      <c r="D19" s="133"/>
      <c r="E19" s="133"/>
      <c r="F19" s="133"/>
      <c r="G19" s="133"/>
      <c r="H19" s="133"/>
      <c r="I19" s="133"/>
      <c r="J19" s="133"/>
      <c r="K19" s="3"/>
    </row>
    <row r="20" spans="1:11" x14ac:dyDescent="0.35">
      <c r="A20" s="39"/>
      <c r="B20" s="6" t="s">
        <v>310</v>
      </c>
      <c r="C20" s="6" t="s">
        <v>310</v>
      </c>
      <c r="D20" s="6" t="s">
        <v>310</v>
      </c>
      <c r="E20" s="6" t="s">
        <v>328</v>
      </c>
      <c r="F20" s="6" t="s">
        <v>329</v>
      </c>
      <c r="G20" s="6"/>
      <c r="H20" s="6"/>
      <c r="I20" s="6"/>
      <c r="J20" s="6"/>
      <c r="K20" s="3"/>
    </row>
    <row r="21" spans="1:11" x14ac:dyDescent="0.35">
      <c r="A21" s="145"/>
      <c r="B21" s="316" t="s">
        <v>162</v>
      </c>
      <c r="C21" s="317"/>
      <c r="D21" s="318"/>
      <c r="E21" s="319" t="s">
        <v>163</v>
      </c>
      <c r="F21" s="320"/>
      <c r="G21" s="320"/>
      <c r="H21" s="320"/>
      <c r="I21" s="321"/>
      <c r="J21" s="322" t="s">
        <v>164</v>
      </c>
      <c r="K21" s="3"/>
    </row>
    <row r="22" spans="1:11" x14ac:dyDescent="0.35">
      <c r="A22" s="146" t="s">
        <v>159</v>
      </c>
      <c r="B22" s="147" t="s">
        <v>165</v>
      </c>
      <c r="C22" s="148" t="s">
        <v>140</v>
      </c>
      <c r="D22" s="149" t="s">
        <v>6</v>
      </c>
      <c r="E22" s="147" t="s">
        <v>166</v>
      </c>
      <c r="F22" s="148" t="s">
        <v>140</v>
      </c>
      <c r="G22" s="148" t="s">
        <v>167</v>
      </c>
      <c r="H22" s="148" t="s">
        <v>168</v>
      </c>
      <c r="I22" s="149" t="s">
        <v>6</v>
      </c>
      <c r="J22" s="323"/>
      <c r="K22" s="3"/>
    </row>
    <row r="23" spans="1:11" x14ac:dyDescent="0.35">
      <c r="A23" s="137"/>
      <c r="B23" s="138"/>
      <c r="C23" s="139"/>
      <c r="D23" s="140"/>
      <c r="E23" s="138"/>
      <c r="F23" s="139"/>
      <c r="G23" s="139"/>
      <c r="H23" s="139"/>
      <c r="I23" s="140"/>
      <c r="J23" s="137"/>
      <c r="K23" s="3"/>
    </row>
    <row r="24" spans="1:11" x14ac:dyDescent="0.35">
      <c r="A24" s="141" t="s">
        <v>4</v>
      </c>
      <c r="B24" s="41">
        <f>'Table 2'!R53</f>
        <v>-3392259.5875400053</v>
      </c>
      <c r="C24" s="42">
        <f>'Table 2'!U53</f>
        <v>-929059.90288640745</v>
      </c>
      <c r="D24" s="43">
        <f>C24-B24</f>
        <v>2463199.6846535979</v>
      </c>
      <c r="E24" s="41">
        <f>J5</f>
        <v>2354387.9800000023</v>
      </c>
      <c r="F24" s="42">
        <f>J14</f>
        <v>-108811.70465359278</v>
      </c>
      <c r="G24" s="42">
        <f>F24-E24</f>
        <v>-2463199.6846535951</v>
      </c>
      <c r="H24" s="42">
        <v>0</v>
      </c>
      <c r="I24" s="43">
        <f>G24+H24</f>
        <v>-2463199.6846535951</v>
      </c>
      <c r="J24" s="44">
        <f>ROUND(D24+I24, 0)</f>
        <v>0</v>
      </c>
      <c r="K24" s="3"/>
    </row>
    <row r="25" spans="1:11" x14ac:dyDescent="0.35">
      <c r="A25" s="141" t="s">
        <v>0</v>
      </c>
      <c r="B25" s="41">
        <f>'Table 2'!R54</f>
        <v>-1399435.7359735975</v>
      </c>
      <c r="C25" s="42">
        <f>'Table 2'!U54</f>
        <v>-1074623.3151969099</v>
      </c>
      <c r="D25" s="43">
        <f>C25-B25</f>
        <v>324812.42077668756</v>
      </c>
      <c r="E25" s="41">
        <f t="shared" ref="E25:E27" si="10">J6</f>
        <v>3372192.0036136182</v>
      </c>
      <c r="F25" s="42">
        <f t="shared" ref="F25:F27" si="11">J15</f>
        <v>584179.89818331343</v>
      </c>
      <c r="G25" s="42">
        <f>F25-E25</f>
        <v>-2788012.105430305</v>
      </c>
      <c r="H25" s="42">
        <f>-G24</f>
        <v>2463199.6846535951</v>
      </c>
      <c r="I25" s="43">
        <f>G25+H25</f>
        <v>-324812.42077670991</v>
      </c>
      <c r="J25" s="44">
        <f>ROUND(D25+I25, 0)</f>
        <v>0</v>
      </c>
      <c r="K25" s="3"/>
    </row>
    <row r="26" spans="1:11" x14ac:dyDescent="0.35">
      <c r="A26" s="141" t="s">
        <v>1</v>
      </c>
      <c r="B26" s="41">
        <f>'Table 2'!R55</f>
        <v>-12442456.475716963</v>
      </c>
      <c r="C26" s="42">
        <f>'Table 2'!U55</f>
        <v>-12480697.667405864</v>
      </c>
      <c r="D26" s="43">
        <f>C26-B26</f>
        <v>-38241.191688900813</v>
      </c>
      <c r="E26" s="41">
        <f t="shared" si="10"/>
        <v>4041131.0020205462</v>
      </c>
      <c r="F26" s="42">
        <f t="shared" si="11"/>
        <v>1291360.0882791812</v>
      </c>
      <c r="G26" s="42">
        <f>F26-E26</f>
        <v>-2749770.9137413651</v>
      </c>
      <c r="H26" s="42">
        <f>-G25</f>
        <v>2788012.105430305</v>
      </c>
      <c r="I26" s="43">
        <f>G26+H26</f>
        <v>38241.191688939929</v>
      </c>
      <c r="J26" s="44">
        <f>ROUND(D26+I26, 0)</f>
        <v>0</v>
      </c>
      <c r="K26" s="3"/>
    </row>
    <row r="27" spans="1:11" x14ac:dyDescent="0.35">
      <c r="A27" s="141" t="s">
        <v>2</v>
      </c>
      <c r="B27" s="41">
        <f>'Table 2'!R56</f>
        <v>-21024234.632898122</v>
      </c>
      <c r="C27" s="42">
        <f>'Table 2'!U56</f>
        <v>-21152377.275232874</v>
      </c>
      <c r="D27" s="43">
        <f>C27-B27</f>
        <v>-128142.64233475178</v>
      </c>
      <c r="E27" s="41">
        <f t="shared" si="10"/>
        <v>3900222.3675888176</v>
      </c>
      <c r="F27" s="42">
        <f t="shared" si="11"/>
        <v>1278594.0961821971</v>
      </c>
      <c r="G27" s="42">
        <f>F27-E27</f>
        <v>-2621628.2714066207</v>
      </c>
      <c r="H27" s="42">
        <f>-G26</f>
        <v>2749770.9137413651</v>
      </c>
      <c r="I27" s="43">
        <f>G27+H27</f>
        <v>128142.64233474433</v>
      </c>
      <c r="J27" s="44">
        <f>ROUND(D27+I27, 0)</f>
        <v>0</v>
      </c>
      <c r="K27" s="3"/>
    </row>
    <row r="28" spans="1:11" x14ac:dyDescent="0.35">
      <c r="A28" s="142" t="s">
        <v>3</v>
      </c>
      <c r="B28" s="45"/>
      <c r="C28" s="46"/>
      <c r="D28" s="47"/>
      <c r="E28" s="45"/>
      <c r="F28" s="46"/>
      <c r="G28" s="46"/>
      <c r="H28" s="31">
        <f>-G27</f>
        <v>2621628.2714066207</v>
      </c>
      <c r="I28" s="48">
        <f>G28+H28</f>
        <v>2621628.2714066207</v>
      </c>
      <c r="J28" s="49">
        <f>D28+I28</f>
        <v>2621628.2714066207</v>
      </c>
      <c r="K28" s="3"/>
    </row>
    <row r="29" spans="1:11" x14ac:dyDescent="0.35">
      <c r="A29" s="150"/>
      <c r="B29" s="151">
        <f t="shared" ref="B29:J29" si="12">SUM(B24:B28)</f>
        <v>-38258386.43212869</v>
      </c>
      <c r="C29" s="152">
        <f t="shared" si="12"/>
        <v>-35636758.160722055</v>
      </c>
      <c r="D29" s="153">
        <f t="shared" si="12"/>
        <v>2621628.2714066328</v>
      </c>
      <c r="E29" s="151">
        <f t="shared" si="12"/>
        <v>13667933.353222985</v>
      </c>
      <c r="F29" s="152">
        <f t="shared" si="12"/>
        <v>3045322.3779910989</v>
      </c>
      <c r="G29" s="152">
        <f t="shared" si="12"/>
        <v>-10622610.975231886</v>
      </c>
      <c r="H29" s="152">
        <f t="shared" si="12"/>
        <v>10622610.975231886</v>
      </c>
      <c r="I29" s="153">
        <f t="shared" si="12"/>
        <v>0</v>
      </c>
      <c r="J29" s="154">
        <f t="shared" si="12"/>
        <v>2621628.2714066207</v>
      </c>
      <c r="K29" s="3"/>
    </row>
    <row r="30" spans="1:11" x14ac:dyDescent="0.35">
      <c r="A30" s="3"/>
      <c r="B30" s="3"/>
      <c r="C30" s="3"/>
      <c r="D30" s="3"/>
      <c r="E30" s="3"/>
      <c r="F30" s="3"/>
      <c r="G30" s="3"/>
      <c r="H30" s="3"/>
      <c r="I30" s="3"/>
      <c r="J30" s="3"/>
      <c r="K30" s="3"/>
    </row>
    <row r="31" spans="1:11" x14ac:dyDescent="0.35">
      <c r="A31" s="2" t="s">
        <v>187</v>
      </c>
      <c r="B31" s="2" t="s">
        <v>185</v>
      </c>
      <c r="C31" s="3"/>
      <c r="D31" s="3"/>
      <c r="E31" s="3"/>
      <c r="F31" s="3"/>
      <c r="G31" s="3"/>
      <c r="H31" s="3"/>
      <c r="I31" s="3"/>
      <c r="J31" s="3"/>
      <c r="K31" s="3"/>
    </row>
    <row r="32" spans="1:11" x14ac:dyDescent="0.35">
      <c r="A32" s="174" t="s">
        <v>23</v>
      </c>
      <c r="B32" s="3" t="s">
        <v>330</v>
      </c>
      <c r="C32" s="3"/>
      <c r="D32" s="3"/>
      <c r="E32" s="3"/>
      <c r="F32" s="3"/>
      <c r="G32" s="3"/>
      <c r="H32" s="3"/>
      <c r="I32" s="3"/>
      <c r="J32" s="3"/>
      <c r="K32" s="3"/>
    </row>
    <row r="33" spans="1:11" x14ac:dyDescent="0.35">
      <c r="A33" s="174" t="s">
        <v>27</v>
      </c>
      <c r="B33" s="3" t="s">
        <v>331</v>
      </c>
      <c r="C33" s="3"/>
      <c r="D33" s="3"/>
      <c r="E33" s="3"/>
      <c r="F33" s="3"/>
      <c r="G33" s="3"/>
      <c r="H33" s="3"/>
      <c r="I33" s="3"/>
      <c r="J33" s="3"/>
      <c r="K33" s="3"/>
    </row>
    <row r="34" spans="1:11" x14ac:dyDescent="0.35">
      <c r="A34" s="174" t="s">
        <v>169</v>
      </c>
      <c r="B34" s="3" t="s">
        <v>184</v>
      </c>
      <c r="C34" s="3"/>
      <c r="D34" s="3"/>
      <c r="E34" s="3"/>
      <c r="F34" s="3"/>
      <c r="G34" s="3"/>
      <c r="H34" s="3"/>
      <c r="I34" s="3"/>
      <c r="J34" s="3"/>
      <c r="K34" s="3"/>
    </row>
    <row r="35" spans="1:11" x14ac:dyDescent="0.35">
      <c r="A35" s="174" t="s">
        <v>170</v>
      </c>
      <c r="B35" s="3" t="s">
        <v>332</v>
      </c>
      <c r="C35" s="3"/>
      <c r="D35" s="3"/>
      <c r="E35" s="3"/>
      <c r="F35" s="3"/>
      <c r="G35" s="3"/>
      <c r="H35" s="3"/>
      <c r="I35" s="3"/>
      <c r="J35" s="3"/>
      <c r="K35" s="3"/>
    </row>
    <row r="36" spans="1:11" x14ac:dyDescent="0.35">
      <c r="A36" s="174" t="s">
        <v>171</v>
      </c>
      <c r="B36" s="3" t="s">
        <v>333</v>
      </c>
      <c r="C36" s="3"/>
      <c r="D36" s="3"/>
      <c r="E36" s="3"/>
      <c r="F36" s="3"/>
      <c r="G36" s="3"/>
      <c r="H36" s="3"/>
      <c r="I36" s="3"/>
      <c r="J36" s="3"/>
      <c r="K36" s="3"/>
    </row>
    <row r="37" spans="1:11" x14ac:dyDescent="0.35">
      <c r="A37" s="174" t="s">
        <v>183</v>
      </c>
      <c r="B37" s="3" t="s">
        <v>184</v>
      </c>
      <c r="C37" s="3"/>
      <c r="D37" s="3"/>
      <c r="E37" s="3"/>
      <c r="F37" s="3"/>
      <c r="G37" s="3"/>
      <c r="H37" s="3"/>
      <c r="I37" s="3"/>
      <c r="J37" s="3"/>
      <c r="K37" s="3"/>
    </row>
    <row r="38" spans="1:11" x14ac:dyDescent="0.35">
      <c r="A38" s="174" t="s">
        <v>173</v>
      </c>
      <c r="B38" s="3" t="s">
        <v>334</v>
      </c>
      <c r="C38" s="3"/>
      <c r="D38" s="3"/>
      <c r="E38" s="3"/>
      <c r="F38" s="3"/>
      <c r="G38" s="3"/>
      <c r="H38" s="3"/>
      <c r="I38" s="3"/>
      <c r="J38" s="3"/>
      <c r="K38" s="3"/>
    </row>
    <row r="39" spans="1:11" x14ac:dyDescent="0.35">
      <c r="A39" s="174" t="s">
        <v>174</v>
      </c>
      <c r="B39" s="3" t="s">
        <v>335</v>
      </c>
      <c r="C39" s="3"/>
      <c r="D39" s="3"/>
      <c r="E39" s="3"/>
      <c r="F39" s="3"/>
      <c r="G39" s="3"/>
      <c r="H39" s="3"/>
      <c r="I39" s="3"/>
      <c r="J39" s="3"/>
      <c r="K39" s="3"/>
    </row>
    <row r="40" spans="1:11" x14ac:dyDescent="0.35">
      <c r="A40" s="174" t="s">
        <v>131</v>
      </c>
      <c r="B40" s="3" t="s">
        <v>184</v>
      </c>
      <c r="C40" s="3"/>
      <c r="D40" s="3"/>
      <c r="E40" s="3"/>
      <c r="F40" s="3"/>
      <c r="G40" s="3"/>
      <c r="H40" s="3"/>
      <c r="I40" s="3"/>
      <c r="J40" s="3"/>
      <c r="K40" s="3"/>
    </row>
    <row r="41" spans="1:11" x14ac:dyDescent="0.35">
      <c r="A41" s="174" t="s">
        <v>175</v>
      </c>
      <c r="B41" s="3" t="s">
        <v>336</v>
      </c>
      <c r="C41" s="3"/>
      <c r="D41" s="3"/>
      <c r="E41" s="3"/>
      <c r="F41" s="3"/>
      <c r="G41" s="3"/>
      <c r="H41" s="3"/>
      <c r="I41" s="3"/>
      <c r="J41" s="3"/>
      <c r="K41" s="3"/>
    </row>
    <row r="42" spans="1:11" x14ac:dyDescent="0.35">
      <c r="A42" s="174" t="s">
        <v>176</v>
      </c>
      <c r="B42" s="3" t="s">
        <v>337</v>
      </c>
      <c r="C42" s="3"/>
      <c r="D42" s="3"/>
      <c r="E42" s="3"/>
      <c r="F42" s="3"/>
      <c r="G42" s="3"/>
      <c r="H42" s="3"/>
      <c r="I42" s="3"/>
      <c r="J42" s="3"/>
      <c r="K42" s="3"/>
    </row>
    <row r="43" spans="1:11" x14ac:dyDescent="0.35">
      <c r="A43" s="174" t="s">
        <v>289</v>
      </c>
      <c r="B43" s="3" t="s">
        <v>184</v>
      </c>
      <c r="C43" s="3"/>
      <c r="D43" s="3"/>
      <c r="E43" s="3"/>
      <c r="F43" s="3"/>
      <c r="G43" s="3"/>
      <c r="H43" s="3"/>
      <c r="I43" s="3"/>
      <c r="J43" s="3"/>
      <c r="K43" s="3"/>
    </row>
    <row r="44" spans="1:11" x14ac:dyDescent="0.35">
      <c r="A44" s="174" t="s">
        <v>256</v>
      </c>
      <c r="B44" s="3" t="s">
        <v>338</v>
      </c>
      <c r="C44" s="3"/>
      <c r="D44" s="3"/>
      <c r="E44" s="3"/>
      <c r="F44" s="3"/>
      <c r="G44" s="3"/>
      <c r="H44" s="3"/>
      <c r="I44" s="3"/>
      <c r="J44" s="3"/>
      <c r="K44" s="3"/>
    </row>
    <row r="45" spans="1:11" x14ac:dyDescent="0.35">
      <c r="A45" s="174" t="s">
        <v>178</v>
      </c>
      <c r="B45" s="3" t="s">
        <v>339</v>
      </c>
      <c r="C45" s="3"/>
      <c r="D45" s="3"/>
      <c r="E45" s="3"/>
      <c r="F45" s="3"/>
      <c r="G45" s="3"/>
      <c r="H45" s="3"/>
      <c r="I45" s="3"/>
      <c r="J45" s="3"/>
      <c r="K45" s="3"/>
    </row>
    <row r="46" spans="1:11" x14ac:dyDescent="0.35">
      <c r="A46" s="174" t="s">
        <v>258</v>
      </c>
      <c r="B46" s="3" t="s">
        <v>184</v>
      </c>
      <c r="C46" s="3"/>
      <c r="D46" s="3"/>
      <c r="E46" s="3"/>
      <c r="F46" s="3"/>
      <c r="G46" s="3"/>
      <c r="H46" s="3"/>
      <c r="I46" s="3"/>
      <c r="J46" s="3"/>
      <c r="K46" s="3"/>
    </row>
    <row r="47" spans="1:11" x14ac:dyDescent="0.35">
      <c r="A47" s="174" t="s">
        <v>130</v>
      </c>
      <c r="B47" s="3" t="s">
        <v>334</v>
      </c>
      <c r="C47" s="3"/>
      <c r="D47" s="3"/>
      <c r="E47" s="3"/>
      <c r="F47" s="3"/>
      <c r="G47" s="3"/>
      <c r="H47" s="3"/>
      <c r="I47" s="3"/>
      <c r="J47" s="3"/>
      <c r="K47" s="3"/>
    </row>
    <row r="48" spans="1:11" x14ac:dyDescent="0.35">
      <c r="A48" s="174" t="s">
        <v>303</v>
      </c>
      <c r="B48" s="3" t="s">
        <v>335</v>
      </c>
      <c r="C48" s="3"/>
      <c r="D48" s="3"/>
      <c r="E48" s="3"/>
      <c r="F48" s="3"/>
      <c r="G48" s="3"/>
      <c r="H48" s="3"/>
      <c r="I48" s="3"/>
      <c r="J48" s="3"/>
      <c r="K48" s="3"/>
    </row>
    <row r="49" spans="1:11" x14ac:dyDescent="0.35">
      <c r="A49" s="174" t="s">
        <v>304</v>
      </c>
      <c r="B49" s="3" t="s">
        <v>184</v>
      </c>
      <c r="C49" s="3"/>
      <c r="D49" s="3"/>
      <c r="E49" s="3"/>
      <c r="F49" s="3"/>
      <c r="G49" s="3"/>
      <c r="H49" s="3"/>
      <c r="I49" s="3"/>
      <c r="J49" s="3"/>
      <c r="K49" s="3"/>
    </row>
    <row r="50" spans="1:11" x14ac:dyDescent="0.35">
      <c r="A50" s="174"/>
      <c r="B50" s="3"/>
      <c r="C50" s="3"/>
      <c r="D50" s="3"/>
      <c r="E50" s="3"/>
      <c r="F50" s="3"/>
      <c r="G50" s="3"/>
      <c r="H50" s="3"/>
      <c r="I50" s="3"/>
      <c r="J50" s="3"/>
      <c r="K50" s="3"/>
    </row>
  </sheetData>
  <mergeCells count="11">
    <mergeCell ref="B2:J2"/>
    <mergeCell ref="B11:J11"/>
    <mergeCell ref="B12:D12"/>
    <mergeCell ref="E12:G12"/>
    <mergeCell ref="H12:I12"/>
    <mergeCell ref="B21:D21"/>
    <mergeCell ref="E21:I21"/>
    <mergeCell ref="J21:J22"/>
    <mergeCell ref="B3:D3"/>
    <mergeCell ref="E3:G3"/>
    <mergeCell ref="H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33"/>
  <sheetViews>
    <sheetView zoomScale="60" zoomScaleNormal="60" workbookViewId="0">
      <pane xSplit="1" ySplit="1" topLeftCell="B90" activePane="bottomRight" state="frozen"/>
      <selection pane="topRight" activeCell="B1" sqref="B1"/>
      <selection pane="bottomLeft" activeCell="A2" sqref="A2"/>
      <selection pane="bottomRight" activeCell="E131" sqref="E131"/>
    </sheetView>
  </sheetViews>
  <sheetFormatPr defaultColWidth="10.453125" defaultRowHeight="18" x14ac:dyDescent="0.5"/>
  <cols>
    <col min="1" max="1" width="66.1796875" style="60" customWidth="1"/>
    <col min="2" max="4" width="21.54296875" style="60" customWidth="1"/>
    <col min="5" max="5" width="23.26953125" style="60" bestFit="1" customWidth="1"/>
    <col min="6" max="52" width="21.54296875" style="60" customWidth="1"/>
    <col min="53" max="53" width="3.81640625" style="60" customWidth="1"/>
    <col min="54" max="54" width="23.453125" style="60" customWidth="1"/>
    <col min="55" max="57" width="18.54296875" style="15" customWidth="1"/>
    <col min="58" max="16384" width="10.453125" style="15"/>
  </cols>
  <sheetData>
    <row r="1" spans="1:56" s="16" customFormat="1" ht="20" thickBot="1" x14ac:dyDescent="0.65">
      <c r="A1" s="61"/>
      <c r="B1" s="119">
        <v>41913</v>
      </c>
      <c r="C1" s="119">
        <v>41944</v>
      </c>
      <c r="D1" s="119">
        <v>41974</v>
      </c>
      <c r="E1" s="62">
        <v>42005</v>
      </c>
      <c r="F1" s="62">
        <v>42036</v>
      </c>
      <c r="G1" s="62">
        <v>42064</v>
      </c>
      <c r="H1" s="62">
        <v>42095</v>
      </c>
      <c r="I1" s="62">
        <v>42125</v>
      </c>
      <c r="J1" s="62">
        <v>42156</v>
      </c>
      <c r="K1" s="62">
        <v>42186</v>
      </c>
      <c r="L1" s="62">
        <v>42217</v>
      </c>
      <c r="M1" s="62">
        <v>42248</v>
      </c>
      <c r="N1" s="62">
        <v>42278</v>
      </c>
      <c r="O1" s="62">
        <v>42309</v>
      </c>
      <c r="P1" s="62">
        <v>42339</v>
      </c>
      <c r="Q1" s="62">
        <v>42370</v>
      </c>
      <c r="R1" s="62">
        <v>42401</v>
      </c>
      <c r="S1" s="62">
        <v>42430</v>
      </c>
      <c r="T1" s="62">
        <v>42461</v>
      </c>
      <c r="U1" s="62">
        <v>42491</v>
      </c>
      <c r="V1" s="62">
        <v>42522</v>
      </c>
      <c r="W1" s="62">
        <v>42552</v>
      </c>
      <c r="X1" s="62">
        <v>42583</v>
      </c>
      <c r="Y1" s="62">
        <v>42615</v>
      </c>
      <c r="Z1" s="62">
        <v>42646</v>
      </c>
      <c r="AA1" s="62">
        <v>42675</v>
      </c>
      <c r="AB1" s="62">
        <v>42705</v>
      </c>
      <c r="AC1" s="62">
        <v>42736</v>
      </c>
      <c r="AD1" s="62">
        <v>42767</v>
      </c>
      <c r="AE1" s="62">
        <v>42796</v>
      </c>
      <c r="AF1" s="62">
        <v>42827</v>
      </c>
      <c r="AG1" s="62">
        <v>42857</v>
      </c>
      <c r="AH1" s="62">
        <v>42888</v>
      </c>
      <c r="AI1" s="62">
        <v>42919</v>
      </c>
      <c r="AJ1" s="62">
        <v>42950</v>
      </c>
      <c r="AK1" s="62">
        <v>42979</v>
      </c>
      <c r="AL1" s="62">
        <v>43009</v>
      </c>
      <c r="AM1" s="62">
        <v>43040</v>
      </c>
      <c r="AN1" s="62">
        <v>43070</v>
      </c>
      <c r="AO1" s="62">
        <v>43102</v>
      </c>
      <c r="AP1" s="62">
        <v>43134</v>
      </c>
      <c r="AQ1" s="62">
        <v>43162</v>
      </c>
      <c r="AR1" s="62">
        <v>43194</v>
      </c>
      <c r="AS1" s="62">
        <v>43225</v>
      </c>
      <c r="AT1" s="62">
        <v>43257</v>
      </c>
      <c r="AU1" s="62">
        <v>43287</v>
      </c>
      <c r="AV1" s="62">
        <v>43319</v>
      </c>
      <c r="AW1" s="62">
        <v>43350</v>
      </c>
      <c r="AX1" s="62">
        <v>43381</v>
      </c>
      <c r="AY1" s="62">
        <v>43413</v>
      </c>
      <c r="AZ1" s="62">
        <v>43444</v>
      </c>
      <c r="BA1" s="62"/>
      <c r="BB1" s="23" t="s">
        <v>5</v>
      </c>
    </row>
    <row r="2" spans="1:56" s="68" customFormat="1" ht="19.5" x14ac:dyDescent="0.6">
      <c r="A2" s="65" t="s">
        <v>133</v>
      </c>
      <c r="B2" s="118" t="s">
        <v>249</v>
      </c>
      <c r="C2" s="120"/>
      <c r="D2" s="120"/>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7"/>
    </row>
    <row r="3" spans="1:56" ht="20.25" customHeight="1" x14ac:dyDescent="0.5">
      <c r="A3" s="19" t="s">
        <v>189</v>
      </c>
      <c r="B3" s="121">
        <v>23275.96</v>
      </c>
      <c r="C3" s="121">
        <v>217158.95</v>
      </c>
      <c r="D3" s="121">
        <v>4488394.72</v>
      </c>
      <c r="E3" s="18">
        <v>79404.25</v>
      </c>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64">
        <f>SUM(B3:BA3)</f>
        <v>4808233.88</v>
      </c>
      <c r="BC3" s="20"/>
      <c r="BD3" s="20"/>
    </row>
    <row r="4" spans="1:56" ht="20.25" customHeight="1" x14ac:dyDescent="0.5">
      <c r="A4" s="19" t="s">
        <v>190</v>
      </c>
      <c r="B4" s="121"/>
      <c r="C4" s="121">
        <v>20058.48</v>
      </c>
      <c r="D4" s="121">
        <v>129128.88</v>
      </c>
      <c r="E4" s="18">
        <v>3122257.31</v>
      </c>
      <c r="F4" s="18">
        <v>23858.3</v>
      </c>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64">
        <f t="shared" ref="BB4:BB63" si="0">SUM(B4:BA4)</f>
        <v>3295302.9699999997</v>
      </c>
      <c r="BC4" s="20"/>
      <c r="BD4" s="20"/>
    </row>
    <row r="5" spans="1:56" ht="20.25" customHeight="1" x14ac:dyDescent="0.5">
      <c r="A5" s="19" t="s">
        <v>191</v>
      </c>
      <c r="B5" s="121"/>
      <c r="C5" s="121"/>
      <c r="D5" s="121">
        <v>33030.61</v>
      </c>
      <c r="E5" s="18">
        <v>154467.73000000001</v>
      </c>
      <c r="F5" s="18">
        <v>2326014.3199999998</v>
      </c>
      <c r="G5" s="18">
        <v>64556.63</v>
      </c>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64">
        <f t="shared" si="0"/>
        <v>2578069.2899999996</v>
      </c>
      <c r="BC5" s="20"/>
      <c r="BD5" s="20"/>
    </row>
    <row r="6" spans="1:56" ht="20.25" customHeight="1" x14ac:dyDescent="0.5">
      <c r="A6" s="19" t="s">
        <v>192</v>
      </c>
      <c r="B6" s="122"/>
      <c r="C6" s="122"/>
      <c r="D6" s="122"/>
      <c r="E6" s="18">
        <v>9500.27</v>
      </c>
      <c r="F6" s="18">
        <v>67782.210000000006</v>
      </c>
      <c r="G6" s="18">
        <v>3895756.18</v>
      </c>
      <c r="H6" s="18">
        <v>68512.75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64">
        <f t="shared" si="0"/>
        <v>4041551.41</v>
      </c>
    </row>
    <row r="7" spans="1:56" ht="20.25" customHeight="1" x14ac:dyDescent="0.5">
      <c r="A7" s="19" t="s">
        <v>193</v>
      </c>
      <c r="B7" s="122"/>
      <c r="C7" s="122"/>
      <c r="D7" s="122"/>
      <c r="E7" s="18"/>
      <c r="F7" s="18">
        <v>11698.06</v>
      </c>
      <c r="G7" s="18">
        <v>151932.13</v>
      </c>
      <c r="H7" s="18">
        <v>5513306.0199999996</v>
      </c>
      <c r="I7" s="18">
        <v>125294.12</v>
      </c>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64">
        <f t="shared" si="0"/>
        <v>5802230.3300000001</v>
      </c>
    </row>
    <row r="8" spans="1:56" ht="20.25" customHeight="1" x14ac:dyDescent="0.5">
      <c r="A8" s="19" t="s">
        <v>194</v>
      </c>
      <c r="B8" s="122"/>
      <c r="C8" s="122"/>
      <c r="D8" s="122"/>
      <c r="E8" s="18"/>
      <c r="F8" s="18"/>
      <c r="G8" s="18">
        <v>13539.99</v>
      </c>
      <c r="H8" s="18">
        <v>117377.36</v>
      </c>
      <c r="I8" s="18">
        <v>5625754.8799999999</v>
      </c>
      <c r="J8" s="18">
        <v>41008.94</v>
      </c>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64">
        <f t="shared" si="0"/>
        <v>5797681.1699999999</v>
      </c>
    </row>
    <row r="9" spans="1:56" ht="20.25" customHeight="1" x14ac:dyDescent="0.5">
      <c r="A9" s="19" t="s">
        <v>195</v>
      </c>
      <c r="B9" s="122"/>
      <c r="C9" s="122"/>
      <c r="D9" s="122"/>
      <c r="E9" s="18"/>
      <c r="F9" s="18"/>
      <c r="G9" s="18"/>
      <c r="H9" s="18">
        <v>18732.93</v>
      </c>
      <c r="I9" s="18">
        <v>234676.33</v>
      </c>
      <c r="J9" s="18">
        <v>5830147.3700000001</v>
      </c>
      <c r="K9" s="18">
        <v>93147.99</v>
      </c>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64">
        <f t="shared" si="0"/>
        <v>6176704.6200000001</v>
      </c>
    </row>
    <row r="10" spans="1:56" ht="20.25" customHeight="1" x14ac:dyDescent="0.5">
      <c r="A10" s="19" t="s">
        <v>196</v>
      </c>
      <c r="B10" s="122"/>
      <c r="C10" s="122"/>
      <c r="D10" s="122"/>
      <c r="E10" s="18"/>
      <c r="F10" s="18"/>
      <c r="G10" s="18"/>
      <c r="H10" s="18"/>
      <c r="I10" s="18">
        <v>14047.95</v>
      </c>
      <c r="J10" s="18">
        <v>66153.929999999993</v>
      </c>
      <c r="K10" s="18">
        <v>4897541.59</v>
      </c>
      <c r="L10" s="18">
        <v>104723.7</v>
      </c>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64">
        <f t="shared" si="0"/>
        <v>5082467.17</v>
      </c>
    </row>
    <row r="11" spans="1:56" ht="20.25" customHeight="1" x14ac:dyDescent="0.5">
      <c r="A11" s="19" t="s">
        <v>197</v>
      </c>
      <c r="B11" s="122"/>
      <c r="C11" s="122"/>
      <c r="D11" s="122"/>
      <c r="E11" s="18"/>
      <c r="F11" s="18"/>
      <c r="G11" s="18"/>
      <c r="H11" s="18"/>
      <c r="I11" s="18"/>
      <c r="J11" s="18">
        <v>23348.43</v>
      </c>
      <c r="K11" s="18">
        <v>174503.88</v>
      </c>
      <c r="L11" s="18">
        <v>4835355.17</v>
      </c>
      <c r="M11" s="18">
        <v>39212.36</v>
      </c>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64">
        <f t="shared" si="0"/>
        <v>5072419.84</v>
      </c>
    </row>
    <row r="12" spans="1:56" ht="20.25" customHeight="1" x14ac:dyDescent="0.5">
      <c r="A12" s="19" t="s">
        <v>198</v>
      </c>
      <c r="B12" s="122"/>
      <c r="C12" s="122"/>
      <c r="D12" s="122"/>
      <c r="E12" s="18"/>
      <c r="F12" s="18"/>
      <c r="G12" s="18"/>
      <c r="H12" s="18"/>
      <c r="I12" s="18"/>
      <c r="J12" s="18"/>
      <c r="K12" s="18">
        <v>14899.97</v>
      </c>
      <c r="L12" s="18">
        <v>131682.92000000001</v>
      </c>
      <c r="M12" s="18">
        <v>4088387.78</v>
      </c>
      <c r="N12" s="18">
        <v>42581.23</v>
      </c>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64">
        <f t="shared" si="0"/>
        <v>4277551.9000000004</v>
      </c>
    </row>
    <row r="13" spans="1:56" ht="20.25" customHeight="1" x14ac:dyDescent="0.5">
      <c r="A13" s="19" t="s">
        <v>199</v>
      </c>
      <c r="B13" s="122"/>
      <c r="C13" s="122"/>
      <c r="D13" s="122"/>
      <c r="E13" s="18"/>
      <c r="F13" s="18"/>
      <c r="G13" s="18"/>
      <c r="H13" s="18"/>
      <c r="I13" s="18"/>
      <c r="J13" s="18"/>
      <c r="K13" s="18"/>
      <c r="L13" s="18">
        <v>24047.79</v>
      </c>
      <c r="M13" s="18">
        <v>134936.82999999999</v>
      </c>
      <c r="N13" s="18">
        <v>4463163.33</v>
      </c>
      <c r="O13" s="18">
        <v>125716.81</v>
      </c>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64">
        <f t="shared" si="0"/>
        <v>4747864.76</v>
      </c>
    </row>
    <row r="14" spans="1:56" ht="20.25" customHeight="1" x14ac:dyDescent="0.5">
      <c r="A14" s="19" t="s">
        <v>200</v>
      </c>
      <c r="B14" s="122"/>
      <c r="C14" s="122"/>
      <c r="D14" s="122"/>
      <c r="E14" s="18"/>
      <c r="F14" s="18"/>
      <c r="G14" s="18"/>
      <c r="H14" s="18"/>
      <c r="I14" s="18"/>
      <c r="J14" s="18"/>
      <c r="K14" s="18"/>
      <c r="L14" s="18"/>
      <c r="M14" s="18">
        <v>9461.81</v>
      </c>
      <c r="N14" s="18">
        <v>87055.61</v>
      </c>
      <c r="O14" s="18">
        <v>6502619.5599999996</v>
      </c>
      <c r="P14" s="18">
        <v>52379.93</v>
      </c>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64">
        <f t="shared" si="0"/>
        <v>6651516.9099999992</v>
      </c>
    </row>
    <row r="15" spans="1:56" ht="20.25" customHeight="1" x14ac:dyDescent="0.5">
      <c r="A15" s="19" t="s">
        <v>201</v>
      </c>
      <c r="B15" s="122"/>
      <c r="C15" s="122"/>
      <c r="D15" s="122"/>
      <c r="E15" s="18"/>
      <c r="F15" s="18"/>
      <c r="G15" s="18"/>
      <c r="H15" s="18"/>
      <c r="I15" s="18"/>
      <c r="J15" s="18"/>
      <c r="K15" s="18"/>
      <c r="L15" s="18"/>
      <c r="M15" s="18"/>
      <c r="N15" s="18">
        <v>13089.36</v>
      </c>
      <c r="O15" s="18">
        <v>196085.06</v>
      </c>
      <c r="P15" s="18">
        <v>5471571.3499999996</v>
      </c>
      <c r="Q15" s="18">
        <v>153855.01999999999</v>
      </c>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64">
        <f t="shared" si="0"/>
        <v>5834600.7899999991</v>
      </c>
    </row>
    <row r="16" spans="1:56" ht="20.25" customHeight="1" x14ac:dyDescent="0.5">
      <c r="A16" s="19" t="s">
        <v>202</v>
      </c>
      <c r="B16" s="122"/>
      <c r="C16" s="122"/>
      <c r="D16" s="122"/>
      <c r="E16" s="18"/>
      <c r="F16" s="18"/>
      <c r="G16" s="18"/>
      <c r="H16" s="18">
        <v>-24.9</v>
      </c>
      <c r="I16" s="18">
        <v>-2751.13</v>
      </c>
      <c r="J16" s="18">
        <v>-3312.92</v>
      </c>
      <c r="K16" s="18">
        <v>-3666.12</v>
      </c>
      <c r="L16" s="18">
        <v>-4782.58</v>
      </c>
      <c r="M16" s="18">
        <v>-3500.73</v>
      </c>
      <c r="N16" s="18">
        <v>-3534.75</v>
      </c>
      <c r="O16" s="18">
        <v>13119.81</v>
      </c>
      <c r="P16" s="18">
        <v>132315.03</v>
      </c>
      <c r="Q16" s="18">
        <v>5408279.1200000001</v>
      </c>
      <c r="R16" s="18">
        <v>48500.25</v>
      </c>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64">
        <f t="shared" si="0"/>
        <v>5580641.0800000001</v>
      </c>
    </row>
    <row r="17" spans="1:54" ht="20.25" customHeight="1" x14ac:dyDescent="0.5">
      <c r="A17" s="19" t="s">
        <v>203</v>
      </c>
      <c r="B17" s="122"/>
      <c r="C17" s="122"/>
      <c r="D17" s="122"/>
      <c r="E17" s="18"/>
      <c r="F17" s="18"/>
      <c r="G17" s="18"/>
      <c r="H17" s="18">
        <v>7.74</v>
      </c>
      <c r="I17" s="18">
        <v>2660.62</v>
      </c>
      <c r="J17" s="18">
        <v>3312.92</v>
      </c>
      <c r="K17" s="18">
        <v>3666.12</v>
      </c>
      <c r="L17" s="18">
        <v>4782.58</v>
      </c>
      <c r="M17" s="18">
        <v>3500.73</v>
      </c>
      <c r="N17" s="18">
        <v>3534.75</v>
      </c>
      <c r="O17" s="18">
        <v>4569.97</v>
      </c>
      <c r="P17" s="18">
        <v>35142.75</v>
      </c>
      <c r="Q17" s="18">
        <v>205647.08</v>
      </c>
      <c r="R17" s="18">
        <v>5678319.0199999996</v>
      </c>
      <c r="S17" s="18">
        <v>76923.289999999994</v>
      </c>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64">
        <f t="shared" si="0"/>
        <v>6022067.5699999994</v>
      </c>
    </row>
    <row r="18" spans="1:54" ht="20.25" customHeight="1" x14ac:dyDescent="0.5">
      <c r="A18" s="19" t="s">
        <v>204</v>
      </c>
      <c r="B18" s="122"/>
      <c r="C18" s="122"/>
      <c r="D18" s="122"/>
      <c r="E18" s="18"/>
      <c r="F18" s="18"/>
      <c r="G18" s="18"/>
      <c r="H18" s="18"/>
      <c r="I18" s="18"/>
      <c r="J18" s="18"/>
      <c r="K18" s="18"/>
      <c r="L18" s="18"/>
      <c r="M18" s="18"/>
      <c r="N18" s="18"/>
      <c r="O18" s="18"/>
      <c r="P18" s="18"/>
      <c r="Q18" s="18">
        <v>17624.71</v>
      </c>
      <c r="R18" s="18">
        <v>138110.25</v>
      </c>
      <c r="S18" s="18">
        <v>6301344.1299999999</v>
      </c>
      <c r="T18" s="18">
        <v>114720.09</v>
      </c>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64">
        <f t="shared" si="0"/>
        <v>6571799.1799999997</v>
      </c>
    </row>
    <row r="19" spans="1:54" ht="20.25" customHeight="1" x14ac:dyDescent="0.5">
      <c r="A19" s="19" t="s">
        <v>205</v>
      </c>
      <c r="B19" s="122"/>
      <c r="C19" s="122"/>
      <c r="D19" s="122"/>
      <c r="E19" s="18"/>
      <c r="F19" s="18"/>
      <c r="G19" s="18"/>
      <c r="H19" s="18"/>
      <c r="I19" s="18"/>
      <c r="J19" s="18"/>
      <c r="K19" s="18"/>
      <c r="L19" s="18"/>
      <c r="M19" s="18"/>
      <c r="N19" s="18"/>
      <c r="O19" s="18"/>
      <c r="P19" s="18"/>
      <c r="Q19" s="18"/>
      <c r="R19" s="18">
        <v>23601.287639050312</v>
      </c>
      <c r="S19" s="18">
        <v>195047.28583986303</v>
      </c>
      <c r="T19" s="18">
        <v>6279803.1942977728</v>
      </c>
      <c r="U19" s="18">
        <v>97874.59</v>
      </c>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64">
        <f t="shared" si="0"/>
        <v>6596326.3577766856</v>
      </c>
    </row>
    <row r="20" spans="1:54" ht="20.25" customHeight="1" x14ac:dyDescent="0.5">
      <c r="A20" s="19" t="s">
        <v>206</v>
      </c>
      <c r="B20" s="122"/>
      <c r="C20" s="122"/>
      <c r="D20" s="122"/>
      <c r="E20" s="18"/>
      <c r="F20" s="18"/>
      <c r="G20" s="18"/>
      <c r="H20" s="18"/>
      <c r="I20" s="18"/>
      <c r="J20" s="18"/>
      <c r="K20" s="18"/>
      <c r="L20" s="18"/>
      <c r="M20" s="18"/>
      <c r="N20" s="18"/>
      <c r="O20" s="18"/>
      <c r="P20" s="18"/>
      <c r="Q20" s="18"/>
      <c r="R20" s="18"/>
      <c r="S20" s="18">
        <v>17438</v>
      </c>
      <c r="T20" s="18">
        <v>143386.91</v>
      </c>
      <c r="U20" s="18">
        <v>6226276.8700000001</v>
      </c>
      <c r="V20" s="18">
        <v>53706.07</v>
      </c>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64">
        <f t="shared" si="0"/>
        <v>6440807.8500000006</v>
      </c>
    </row>
    <row r="21" spans="1:54" ht="20.25" customHeight="1" x14ac:dyDescent="0.5">
      <c r="A21" s="19" t="s">
        <v>207</v>
      </c>
      <c r="B21" s="122"/>
      <c r="C21" s="122"/>
      <c r="D21" s="122"/>
      <c r="E21" s="18"/>
      <c r="F21" s="18"/>
      <c r="G21" s="18"/>
      <c r="H21" s="18"/>
      <c r="I21" s="18"/>
      <c r="J21" s="18"/>
      <c r="K21" s="18"/>
      <c r="L21" s="18"/>
      <c r="M21" s="18"/>
      <c r="N21" s="18"/>
      <c r="O21" s="18"/>
      <c r="P21" s="18"/>
      <c r="Q21" s="18"/>
      <c r="R21" s="18"/>
      <c r="S21" s="18"/>
      <c r="T21" s="21">
        <v>13565.93</v>
      </c>
      <c r="U21" s="21">
        <v>177405.93</v>
      </c>
      <c r="V21" s="21">
        <v>5666259.25</v>
      </c>
      <c r="W21" s="18">
        <v>144691.94</v>
      </c>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64">
        <f t="shared" si="0"/>
        <v>6001923.0500000007</v>
      </c>
    </row>
    <row r="22" spans="1:54" ht="20.25" customHeight="1" x14ac:dyDescent="0.5">
      <c r="A22" s="19" t="s">
        <v>208</v>
      </c>
      <c r="B22" s="122"/>
      <c r="C22" s="122"/>
      <c r="D22" s="122"/>
      <c r="E22" s="18"/>
      <c r="F22" s="18"/>
      <c r="G22" s="18"/>
      <c r="H22" s="18"/>
      <c r="I22" s="18"/>
      <c r="J22" s="18"/>
      <c r="K22" s="18"/>
      <c r="L22" s="18"/>
      <c r="M22" s="18"/>
      <c r="N22" s="18"/>
      <c r="O22" s="18"/>
      <c r="P22" s="18"/>
      <c r="Q22" s="18"/>
      <c r="R22" s="18"/>
      <c r="S22" s="18"/>
      <c r="T22" s="18"/>
      <c r="U22" s="18">
        <v>21304.3</v>
      </c>
      <c r="V22" s="18">
        <v>142664.76</v>
      </c>
      <c r="W22" s="18">
        <v>5096540.41</v>
      </c>
      <c r="X22" s="18">
        <v>80480.800000000003</v>
      </c>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64">
        <f t="shared" si="0"/>
        <v>5340990.2699999996</v>
      </c>
    </row>
    <row r="23" spans="1:54" ht="20.25" customHeight="1" x14ac:dyDescent="0.5">
      <c r="A23" s="19" t="s">
        <v>209</v>
      </c>
      <c r="B23" s="122"/>
      <c r="C23" s="122"/>
      <c r="D23" s="122"/>
      <c r="E23" s="18"/>
      <c r="F23" s="18"/>
      <c r="G23" s="18"/>
      <c r="H23" s="18"/>
      <c r="I23" s="18"/>
      <c r="J23" s="18"/>
      <c r="K23" s="18"/>
      <c r="L23" s="18"/>
      <c r="M23" s="18"/>
      <c r="N23" s="18"/>
      <c r="O23" s="18"/>
      <c r="P23" s="18"/>
      <c r="Q23" s="18"/>
      <c r="R23" s="18"/>
      <c r="S23" s="18"/>
      <c r="T23" s="18"/>
      <c r="U23" s="18"/>
      <c r="V23" s="18">
        <v>23837.45</v>
      </c>
      <c r="W23" s="18">
        <v>177119.96</v>
      </c>
      <c r="X23" s="18">
        <v>4635687.72</v>
      </c>
      <c r="Y23" s="18">
        <v>139441.9</v>
      </c>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64">
        <f t="shared" si="0"/>
        <v>4976087.03</v>
      </c>
    </row>
    <row r="24" spans="1:54" ht="20.25" customHeight="1" x14ac:dyDescent="0.5">
      <c r="A24" s="19" t="s">
        <v>210</v>
      </c>
      <c r="B24" s="122"/>
      <c r="C24" s="122"/>
      <c r="D24" s="122"/>
      <c r="E24" s="18"/>
      <c r="F24" s="18"/>
      <c r="G24" s="18"/>
      <c r="H24" s="18"/>
      <c r="I24" s="18"/>
      <c r="J24" s="18"/>
      <c r="K24" s="18"/>
      <c r="L24" s="18"/>
      <c r="M24" s="18"/>
      <c r="N24" s="18"/>
      <c r="O24" s="18"/>
      <c r="P24" s="18"/>
      <c r="Q24" s="18"/>
      <c r="R24" s="18"/>
      <c r="S24" s="18"/>
      <c r="T24" s="18"/>
      <c r="U24" s="18"/>
      <c r="V24" s="18"/>
      <c r="W24" s="18">
        <v>15300.25</v>
      </c>
      <c r="X24" s="18">
        <v>88557.82</v>
      </c>
      <c r="Y24" s="18">
        <v>5732315.21</v>
      </c>
      <c r="Z24" s="18">
        <v>123167.24</v>
      </c>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64">
        <f t="shared" si="0"/>
        <v>5959340.5200000005</v>
      </c>
    </row>
    <row r="25" spans="1:54" ht="20.25" customHeight="1" x14ac:dyDescent="0.5">
      <c r="A25" s="19" t="s">
        <v>211</v>
      </c>
      <c r="B25" s="122"/>
      <c r="C25" s="122"/>
      <c r="D25" s="122"/>
      <c r="E25" s="18"/>
      <c r="F25" s="18"/>
      <c r="G25" s="18"/>
      <c r="H25" s="18"/>
      <c r="I25" s="18"/>
      <c r="J25" s="18"/>
      <c r="K25" s="18"/>
      <c r="L25" s="18"/>
      <c r="M25" s="18"/>
      <c r="N25" s="18"/>
      <c r="O25" s="18"/>
      <c r="P25" s="18"/>
      <c r="Q25" s="18"/>
      <c r="R25" s="18"/>
      <c r="S25" s="18"/>
      <c r="T25" s="18"/>
      <c r="U25" s="18"/>
      <c r="V25" s="18"/>
      <c r="W25" s="18"/>
      <c r="X25" s="18">
        <v>19632.553</v>
      </c>
      <c r="Y25" s="18">
        <v>182183.96</v>
      </c>
      <c r="Z25" s="18">
        <v>6628276.5499999998</v>
      </c>
      <c r="AA25" s="18">
        <v>71866.06</v>
      </c>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64">
        <f t="shared" si="0"/>
        <v>6901959.1229999997</v>
      </c>
    </row>
    <row r="26" spans="1:54" ht="20.25" customHeight="1" x14ac:dyDescent="0.5">
      <c r="A26" s="19" t="s">
        <v>212</v>
      </c>
      <c r="B26" s="122"/>
      <c r="C26" s="122"/>
      <c r="D26" s="122"/>
      <c r="E26" s="18"/>
      <c r="F26" s="18"/>
      <c r="G26" s="18"/>
      <c r="H26" s="18"/>
      <c r="I26" s="18"/>
      <c r="J26" s="18"/>
      <c r="K26" s="18"/>
      <c r="L26" s="18"/>
      <c r="M26" s="18"/>
      <c r="N26" s="18"/>
      <c r="O26" s="18"/>
      <c r="P26" s="18"/>
      <c r="Q26" s="18"/>
      <c r="R26" s="18"/>
      <c r="S26" s="18"/>
      <c r="T26" s="18"/>
      <c r="U26" s="18"/>
      <c r="V26" s="18"/>
      <c r="W26" s="18"/>
      <c r="X26" s="18"/>
      <c r="Y26" s="18">
        <v>14076.25</v>
      </c>
      <c r="Z26" s="18">
        <v>134298.66</v>
      </c>
      <c r="AA26" s="18">
        <v>6459507.25</v>
      </c>
      <c r="AB26" s="18">
        <v>71516.53</v>
      </c>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64">
        <f t="shared" si="0"/>
        <v>6679398.6900000004</v>
      </c>
    </row>
    <row r="27" spans="1:54" ht="20.25" customHeight="1" x14ac:dyDescent="0.5">
      <c r="A27" s="19" t="s">
        <v>213</v>
      </c>
      <c r="B27" s="122"/>
      <c r="C27" s="122"/>
      <c r="D27" s="122"/>
      <c r="E27" s="18"/>
      <c r="F27" s="18"/>
      <c r="G27" s="18"/>
      <c r="H27" s="18"/>
      <c r="I27" s="18"/>
      <c r="J27" s="18"/>
      <c r="K27" s="18"/>
      <c r="L27" s="18"/>
      <c r="M27" s="18"/>
      <c r="N27" s="18"/>
      <c r="O27" s="18"/>
      <c r="P27" s="18"/>
      <c r="Q27" s="18"/>
      <c r="R27" s="18"/>
      <c r="S27" s="18"/>
      <c r="T27" s="18"/>
      <c r="U27" s="18"/>
      <c r="V27" s="18"/>
      <c r="W27" s="18"/>
      <c r="X27" s="18"/>
      <c r="Y27" s="18"/>
      <c r="Z27" s="18">
        <v>20881.46</v>
      </c>
      <c r="AA27" s="18">
        <v>197719.9</v>
      </c>
      <c r="AB27" s="18">
        <v>5034695.96</v>
      </c>
      <c r="AC27" s="18">
        <v>75320.41</v>
      </c>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64">
        <f t="shared" si="0"/>
        <v>5328617.7300000004</v>
      </c>
    </row>
    <row r="28" spans="1:54" ht="20.25" customHeight="1" x14ac:dyDescent="0.5">
      <c r="A28" s="19" t="s">
        <v>214</v>
      </c>
      <c r="B28" s="122"/>
      <c r="C28" s="122"/>
      <c r="D28" s="122"/>
      <c r="E28" s="18"/>
      <c r="F28" s="18"/>
      <c r="G28" s="18"/>
      <c r="H28" s="18"/>
      <c r="I28" s="18"/>
      <c r="J28" s="18"/>
      <c r="K28" s="18"/>
      <c r="L28" s="18"/>
      <c r="M28" s="18"/>
      <c r="N28" s="18"/>
      <c r="O28" s="18"/>
      <c r="P28" s="18"/>
      <c r="Q28" s="18"/>
      <c r="R28" s="18"/>
      <c r="S28" s="18"/>
      <c r="T28" s="18"/>
      <c r="U28" s="18"/>
      <c r="V28" s="18"/>
      <c r="W28" s="18"/>
      <c r="X28" s="18"/>
      <c r="Y28" s="18"/>
      <c r="Z28" s="18"/>
      <c r="AA28" s="18">
        <v>10935.32</v>
      </c>
      <c r="AB28" s="18">
        <v>147375.57</v>
      </c>
      <c r="AC28" s="18">
        <v>4993277.18</v>
      </c>
      <c r="AD28" s="18">
        <v>44159.79</v>
      </c>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64">
        <f t="shared" si="0"/>
        <v>5195747.8599999994</v>
      </c>
    </row>
    <row r="29" spans="1:54" ht="20.25" customHeight="1" x14ac:dyDescent="0.5">
      <c r="A29" s="19" t="s">
        <v>215</v>
      </c>
      <c r="B29" s="122"/>
      <c r="C29" s="122"/>
      <c r="D29" s="122"/>
      <c r="E29" s="18"/>
      <c r="F29" s="18"/>
      <c r="G29" s="18"/>
      <c r="H29" s="18"/>
      <c r="I29" s="18"/>
      <c r="J29" s="18"/>
      <c r="K29" s="18"/>
      <c r="L29" s="18"/>
      <c r="M29" s="18"/>
      <c r="N29" s="18"/>
      <c r="O29" s="18"/>
      <c r="P29" s="18"/>
      <c r="Q29" s="18"/>
      <c r="R29" s="18"/>
      <c r="S29" s="18"/>
      <c r="T29" s="18"/>
      <c r="U29" s="18"/>
      <c r="V29" s="18"/>
      <c r="W29" s="18"/>
      <c r="X29" s="18"/>
      <c r="Y29" s="18"/>
      <c r="Z29" s="18"/>
      <c r="AA29" s="18"/>
      <c r="AB29" s="18">
        <v>28262.87</v>
      </c>
      <c r="AC29" s="18">
        <v>168324.73</v>
      </c>
      <c r="AD29" s="18">
        <v>3947082.1</v>
      </c>
      <c r="AE29" s="18">
        <v>48442.55</v>
      </c>
      <c r="AF29" s="18"/>
      <c r="AG29" s="18"/>
      <c r="AH29" s="18"/>
      <c r="AI29" s="18"/>
      <c r="AJ29" s="18"/>
      <c r="AK29" s="18"/>
      <c r="AL29" s="18"/>
      <c r="AM29" s="18"/>
      <c r="AN29" s="18"/>
      <c r="AO29" s="18"/>
      <c r="AP29" s="18"/>
      <c r="AQ29" s="18"/>
      <c r="AR29" s="18"/>
      <c r="AS29" s="18"/>
      <c r="AT29" s="18"/>
      <c r="AU29" s="18"/>
      <c r="AV29" s="18"/>
      <c r="AW29" s="18"/>
      <c r="AX29" s="18"/>
      <c r="AY29" s="18"/>
      <c r="AZ29" s="18"/>
      <c r="BA29" s="18"/>
      <c r="BB29" s="64">
        <f t="shared" si="0"/>
        <v>4192112.25</v>
      </c>
    </row>
    <row r="30" spans="1:54" ht="20.25" customHeight="1" x14ac:dyDescent="0.5">
      <c r="A30" s="19" t="s">
        <v>216</v>
      </c>
      <c r="B30" s="122"/>
      <c r="C30" s="122"/>
      <c r="D30" s="122"/>
      <c r="E30" s="18"/>
      <c r="F30" s="18"/>
      <c r="G30" s="18"/>
      <c r="H30" s="18"/>
      <c r="I30" s="18"/>
      <c r="J30" s="18"/>
      <c r="K30" s="18"/>
      <c r="L30" s="18"/>
      <c r="M30" s="18"/>
      <c r="N30" s="18"/>
      <c r="O30" s="18"/>
      <c r="P30" s="18"/>
      <c r="Q30" s="18"/>
      <c r="R30" s="18"/>
      <c r="S30" s="18"/>
      <c r="T30" s="18"/>
      <c r="U30" s="18"/>
      <c r="V30" s="18"/>
      <c r="W30" s="18"/>
      <c r="X30" s="18"/>
      <c r="Y30" s="18"/>
      <c r="Z30" s="18"/>
      <c r="AA30" s="18"/>
      <c r="AB30" s="18">
        <v>15.51</v>
      </c>
      <c r="AC30" s="18">
        <v>10412.540000000001</v>
      </c>
      <c r="AD30" s="18">
        <v>712619.4</v>
      </c>
      <c r="AE30" s="18">
        <v>4241299.8499999996</v>
      </c>
      <c r="AF30" s="18">
        <v>144698.64000000001</v>
      </c>
      <c r="AG30" s="18"/>
      <c r="AH30" s="18"/>
      <c r="AI30" s="18"/>
      <c r="AJ30" s="18"/>
      <c r="AK30" s="18"/>
      <c r="AL30" s="18"/>
      <c r="AM30" s="18"/>
      <c r="AN30" s="18"/>
      <c r="AO30" s="18"/>
      <c r="AP30" s="18"/>
      <c r="AQ30" s="18"/>
      <c r="AR30" s="18"/>
      <c r="AS30" s="18"/>
      <c r="AT30" s="18"/>
      <c r="AU30" s="18"/>
      <c r="AV30" s="18"/>
      <c r="AW30" s="18"/>
      <c r="AX30" s="18"/>
      <c r="AY30" s="18"/>
      <c r="AZ30" s="18"/>
      <c r="BA30" s="18"/>
      <c r="BB30" s="64">
        <f t="shared" si="0"/>
        <v>5109045.9399999995</v>
      </c>
    </row>
    <row r="31" spans="1:54" ht="20.25" customHeight="1" x14ac:dyDescent="0.5">
      <c r="A31" s="19" t="s">
        <v>217</v>
      </c>
      <c r="B31" s="122"/>
      <c r="C31" s="122"/>
      <c r="D31" s="122"/>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v>34206.19</v>
      </c>
      <c r="AE31" s="18">
        <v>157824.68</v>
      </c>
      <c r="AF31" s="18">
        <v>5584013.8899999997</v>
      </c>
      <c r="AG31" s="18">
        <v>90859.6</v>
      </c>
      <c r="AH31" s="18"/>
      <c r="AI31" s="18"/>
      <c r="AJ31" s="18"/>
      <c r="AK31" s="18"/>
      <c r="AL31" s="18"/>
      <c r="AM31" s="18"/>
      <c r="AN31" s="18"/>
      <c r="AO31" s="18"/>
      <c r="AP31" s="18"/>
      <c r="AQ31" s="18"/>
      <c r="AR31" s="18"/>
      <c r="AS31" s="18"/>
      <c r="AT31" s="18"/>
      <c r="AU31" s="18"/>
      <c r="AV31" s="18"/>
      <c r="AW31" s="18"/>
      <c r="AX31" s="18"/>
      <c r="AY31" s="18"/>
      <c r="AZ31" s="18"/>
      <c r="BA31" s="18"/>
      <c r="BB31" s="64">
        <f t="shared" si="0"/>
        <v>5866904.3599999994</v>
      </c>
    </row>
    <row r="32" spans="1:54" ht="20.25" customHeight="1" x14ac:dyDescent="0.5">
      <c r="A32" s="19" t="s">
        <v>218</v>
      </c>
      <c r="B32" s="122"/>
      <c r="C32" s="122"/>
      <c r="D32" s="122"/>
      <c r="E32" s="18"/>
      <c r="F32" s="18"/>
      <c r="G32" s="18"/>
      <c r="H32" s="18"/>
      <c r="I32" s="18"/>
      <c r="J32" s="18"/>
      <c r="K32" s="18"/>
      <c r="L32" s="18"/>
      <c r="M32" s="18"/>
      <c r="N32" s="18"/>
      <c r="O32" s="18"/>
      <c r="P32" s="18"/>
      <c r="Q32" s="18"/>
      <c r="R32" s="18"/>
      <c r="S32" s="18"/>
      <c r="T32" s="18"/>
      <c r="U32" s="18"/>
      <c r="V32" s="18"/>
      <c r="W32" s="18"/>
      <c r="X32" s="18"/>
      <c r="Y32" s="18"/>
      <c r="Z32" s="18"/>
      <c r="AA32" s="18"/>
      <c r="AB32" s="18">
        <v>1.96</v>
      </c>
      <c r="AC32" s="18">
        <v>836.7</v>
      </c>
      <c r="AD32" s="18">
        <v>-972.3</v>
      </c>
      <c r="AE32" s="18">
        <v>-3509.37</v>
      </c>
      <c r="AF32" s="18">
        <v>190414.99</v>
      </c>
      <c r="AG32" s="18">
        <v>6888695.04</v>
      </c>
      <c r="AH32" s="18">
        <v>130842.07</v>
      </c>
      <c r="AI32" s="18"/>
      <c r="AJ32" s="18"/>
      <c r="AK32" s="18"/>
      <c r="AL32" s="18"/>
      <c r="AM32" s="18"/>
      <c r="AN32" s="18"/>
      <c r="AO32" s="18"/>
      <c r="AP32" s="18"/>
      <c r="AQ32" s="18"/>
      <c r="AR32" s="18"/>
      <c r="AS32" s="18"/>
      <c r="AT32" s="18"/>
      <c r="AU32" s="18"/>
      <c r="AV32" s="18"/>
      <c r="AW32" s="18"/>
      <c r="AX32" s="18"/>
      <c r="AY32" s="18"/>
      <c r="AZ32" s="18"/>
      <c r="BA32" s="18"/>
      <c r="BB32" s="64">
        <f t="shared" si="0"/>
        <v>7206309.0899999999</v>
      </c>
    </row>
    <row r="33" spans="1:54" ht="20.25" customHeight="1" x14ac:dyDescent="0.5">
      <c r="A33" s="19" t="s">
        <v>219</v>
      </c>
      <c r="B33" s="122"/>
      <c r="C33" s="122"/>
      <c r="D33" s="122"/>
      <c r="E33" s="18"/>
      <c r="F33" s="18"/>
      <c r="G33" s="18"/>
      <c r="H33" s="18"/>
      <c r="I33" s="18"/>
      <c r="J33" s="18"/>
      <c r="K33" s="18"/>
      <c r="L33" s="18"/>
      <c r="M33" s="18"/>
      <c r="N33" s="18"/>
      <c r="O33" s="18"/>
      <c r="P33" s="18"/>
      <c r="Q33" s="18"/>
      <c r="R33" s="18"/>
      <c r="S33" s="18"/>
      <c r="T33" s="18"/>
      <c r="U33" s="18"/>
      <c r="V33" s="18"/>
      <c r="W33" s="18"/>
      <c r="X33" s="18"/>
      <c r="Y33" s="18"/>
      <c r="Z33" s="18"/>
      <c r="AA33" s="18"/>
      <c r="AB33" s="18"/>
      <c r="AC33" s="18">
        <v>438.97</v>
      </c>
      <c r="AD33" s="18">
        <v>4957.7299999999996</v>
      </c>
      <c r="AE33" s="18">
        <v>45714</v>
      </c>
      <c r="AF33" s="18">
        <v>38894.629999999997</v>
      </c>
      <c r="AG33" s="18">
        <v>100645.41</v>
      </c>
      <c r="AH33" s="18">
        <v>6719608.3799999999</v>
      </c>
      <c r="AI33" s="18">
        <v>199865.42</v>
      </c>
      <c r="AJ33" s="18"/>
      <c r="AK33" s="18"/>
      <c r="AL33" s="18"/>
      <c r="AM33" s="18"/>
      <c r="AN33" s="18"/>
      <c r="AO33" s="18"/>
      <c r="AP33" s="18"/>
      <c r="AQ33" s="18"/>
      <c r="AR33" s="18"/>
      <c r="AS33" s="18"/>
      <c r="AT33" s="18"/>
      <c r="AU33" s="18"/>
      <c r="AV33" s="18"/>
      <c r="AW33" s="18"/>
      <c r="AX33" s="18"/>
      <c r="AY33" s="18"/>
      <c r="AZ33" s="18"/>
      <c r="BA33" s="18"/>
      <c r="BB33" s="64">
        <f t="shared" si="0"/>
        <v>7110124.54</v>
      </c>
    </row>
    <row r="34" spans="1:54" ht="20.25" customHeight="1" x14ac:dyDescent="0.5">
      <c r="A34" s="19" t="s">
        <v>220</v>
      </c>
      <c r="B34" s="122"/>
      <c r="C34" s="122"/>
      <c r="D34" s="122"/>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v>3073.94</v>
      </c>
      <c r="AF34" s="18">
        <v>19472.5</v>
      </c>
      <c r="AG34" s="18">
        <v>61868.34</v>
      </c>
      <c r="AH34" s="18">
        <v>117920.12</v>
      </c>
      <c r="AI34" s="21">
        <v>4686316.07</v>
      </c>
      <c r="AJ34" s="18">
        <v>101649.95</v>
      </c>
      <c r="AK34" s="18"/>
      <c r="AL34" s="18"/>
      <c r="AM34" s="18"/>
      <c r="AN34" s="18"/>
      <c r="AO34" s="18"/>
      <c r="AP34" s="18"/>
      <c r="AQ34" s="18"/>
      <c r="AR34" s="18"/>
      <c r="AS34" s="18"/>
      <c r="AT34" s="18"/>
      <c r="AU34" s="18"/>
      <c r="AV34" s="18"/>
      <c r="AW34" s="18"/>
      <c r="AX34" s="18"/>
      <c r="AY34" s="18"/>
      <c r="AZ34" s="18"/>
      <c r="BA34" s="18"/>
      <c r="BB34" s="64">
        <f t="shared" si="0"/>
        <v>4990300.9200000009</v>
      </c>
    </row>
    <row r="35" spans="1:54" ht="20.25" customHeight="1" x14ac:dyDescent="0.5">
      <c r="A35" s="19" t="s">
        <v>221</v>
      </c>
      <c r="B35" s="122"/>
      <c r="C35" s="122"/>
      <c r="D35" s="122"/>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v>820.22</v>
      </c>
      <c r="AF35" s="18">
        <v>36984.22</v>
      </c>
      <c r="AG35" s="18">
        <v>44700.51</v>
      </c>
      <c r="AH35" s="18">
        <v>82351.55</v>
      </c>
      <c r="AI35" s="21">
        <v>119619.45</v>
      </c>
      <c r="AJ35" s="18">
        <v>4266957.42</v>
      </c>
      <c r="AK35" s="18">
        <v>142725.32</v>
      </c>
      <c r="AL35" s="18"/>
      <c r="AM35" s="18"/>
      <c r="AN35" s="18"/>
      <c r="AO35" s="18"/>
      <c r="AP35" s="18"/>
      <c r="AQ35" s="18"/>
      <c r="AR35" s="18"/>
      <c r="AS35" s="18"/>
      <c r="AT35" s="18"/>
      <c r="AU35" s="18"/>
      <c r="AV35" s="18"/>
      <c r="AW35" s="18"/>
      <c r="AX35" s="18"/>
      <c r="AY35" s="18"/>
      <c r="AZ35" s="18"/>
      <c r="BA35" s="18"/>
      <c r="BB35" s="64">
        <f t="shared" si="0"/>
        <v>4694158.6900000004</v>
      </c>
    </row>
    <row r="36" spans="1:54" ht="20.25" customHeight="1" x14ac:dyDescent="0.5">
      <c r="A36" s="19" t="s">
        <v>222</v>
      </c>
      <c r="B36" s="122"/>
      <c r="C36" s="122"/>
      <c r="D36" s="122"/>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v>54713.42</v>
      </c>
      <c r="AH36" s="18">
        <v>65148.68</v>
      </c>
      <c r="AI36" s="18">
        <v>84645.63</v>
      </c>
      <c r="AJ36" s="18">
        <v>149117.88</v>
      </c>
      <c r="AK36" s="18">
        <v>3623713.84</v>
      </c>
      <c r="AL36" s="18">
        <v>146138.95000000001</v>
      </c>
      <c r="AM36" s="18"/>
      <c r="AN36" s="18"/>
      <c r="AO36" s="18"/>
      <c r="AP36" s="18"/>
      <c r="AQ36" s="18"/>
      <c r="AR36" s="18"/>
      <c r="AS36" s="18"/>
      <c r="AT36" s="18"/>
      <c r="AU36" s="18"/>
      <c r="AV36" s="18"/>
      <c r="AW36" s="18"/>
      <c r="AX36" s="18"/>
      <c r="AY36" s="18"/>
      <c r="AZ36" s="18"/>
      <c r="BA36" s="18"/>
      <c r="BB36" s="64">
        <f t="shared" si="0"/>
        <v>4123478.4</v>
      </c>
    </row>
    <row r="37" spans="1:54" ht="20.25" customHeight="1" x14ac:dyDescent="0.5">
      <c r="A37" s="19" t="s">
        <v>223</v>
      </c>
      <c r="B37" s="122"/>
      <c r="C37" s="122"/>
      <c r="D37" s="122"/>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v>1448.5199153111996</v>
      </c>
      <c r="AI37" s="18">
        <v>8324.5701486000016</v>
      </c>
      <c r="AJ37" s="18">
        <v>7507.8559768332998</v>
      </c>
      <c r="AK37" s="18">
        <v>64541.720815161614</v>
      </c>
      <c r="AL37" s="18">
        <v>4924303.0388312507</v>
      </c>
      <c r="AM37" s="18">
        <v>81352.321489911948</v>
      </c>
      <c r="AN37" s="18"/>
      <c r="AO37" s="18"/>
      <c r="AP37" s="18"/>
      <c r="AQ37" s="18"/>
      <c r="AR37" s="18"/>
      <c r="AS37" s="18"/>
      <c r="AT37" s="18"/>
      <c r="AU37" s="18"/>
      <c r="AV37" s="18"/>
      <c r="AW37" s="18"/>
      <c r="AX37" s="18"/>
      <c r="AY37" s="18"/>
      <c r="AZ37" s="18"/>
      <c r="BA37" s="18"/>
      <c r="BB37" s="64">
        <f t="shared" si="0"/>
        <v>5087478.0271770684</v>
      </c>
    </row>
    <row r="38" spans="1:54" ht="20.25" customHeight="1" x14ac:dyDescent="0.5">
      <c r="A38" s="19" t="s">
        <v>224</v>
      </c>
      <c r="B38" s="122"/>
      <c r="C38" s="122"/>
      <c r="D38" s="122"/>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v>6537.16</v>
      </c>
      <c r="AG38" s="18">
        <v>9008.18</v>
      </c>
      <c r="AH38" s="18">
        <v>20995.22</v>
      </c>
      <c r="AI38" s="18">
        <v>8371.9500000000007</v>
      </c>
      <c r="AJ38" s="18">
        <v>24631.73</v>
      </c>
      <c r="AK38" s="18">
        <v>38474.71</v>
      </c>
      <c r="AL38" s="18">
        <v>112054.23</v>
      </c>
      <c r="AM38" s="18">
        <v>3741215.9</v>
      </c>
      <c r="AN38" s="18">
        <v>106977.12</v>
      </c>
      <c r="AO38" s="18"/>
      <c r="AP38" s="18"/>
      <c r="AQ38" s="18"/>
      <c r="AR38" s="18"/>
      <c r="AS38" s="18"/>
      <c r="AT38" s="18"/>
      <c r="AU38" s="18"/>
      <c r="AV38" s="18"/>
      <c r="AW38" s="18"/>
      <c r="AX38" s="18"/>
      <c r="AY38" s="18"/>
      <c r="AZ38" s="18"/>
      <c r="BA38" s="18"/>
      <c r="BB38" s="64">
        <f t="shared" si="0"/>
        <v>4068266.2</v>
      </c>
    </row>
    <row r="39" spans="1:54" ht="20.25" customHeight="1" x14ac:dyDescent="0.5">
      <c r="A39" s="19" t="s">
        <v>225</v>
      </c>
      <c r="B39" s="122"/>
      <c r="C39" s="122"/>
      <c r="D39" s="122"/>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v>4414.34</v>
      </c>
      <c r="AI39" s="18">
        <v>19765.45</v>
      </c>
      <c r="AJ39" s="18">
        <v>17783.63</v>
      </c>
      <c r="AK39" s="18">
        <v>31095.85</v>
      </c>
      <c r="AL39" s="18">
        <v>72631.8</v>
      </c>
      <c r="AM39" s="18">
        <v>205296.2</v>
      </c>
      <c r="AN39" s="18">
        <v>3728957.92</v>
      </c>
      <c r="AO39" s="18">
        <v>96602.577647684797</v>
      </c>
      <c r="AP39" s="18"/>
      <c r="AQ39" s="18"/>
      <c r="AR39" s="18"/>
      <c r="AS39" s="18"/>
      <c r="AT39" s="18"/>
      <c r="AU39" s="18"/>
      <c r="AV39" s="18"/>
      <c r="AW39" s="18"/>
      <c r="AX39" s="18"/>
      <c r="AY39" s="18"/>
      <c r="AZ39" s="18"/>
      <c r="BA39" s="18"/>
      <c r="BB39" s="64">
        <f t="shared" si="0"/>
        <v>4176547.7676476846</v>
      </c>
    </row>
    <row r="40" spans="1:54" ht="20.25" customHeight="1" x14ac:dyDescent="0.5">
      <c r="A40" s="19" t="s">
        <v>226</v>
      </c>
      <c r="B40" s="122"/>
      <c r="C40" s="122"/>
      <c r="D40" s="122"/>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v>1061.4214325520002</v>
      </c>
      <c r="AI40" s="18">
        <v>2029.7285704079998</v>
      </c>
      <c r="AJ40" s="18">
        <v>4462.3275052092004</v>
      </c>
      <c r="AK40" s="18">
        <v>11994.502395462396</v>
      </c>
      <c r="AL40" s="18">
        <v>80848.149596463132</v>
      </c>
      <c r="AM40" s="18">
        <v>64028.111633934393</v>
      </c>
      <c r="AN40" s="18">
        <v>114532.05706108653</v>
      </c>
      <c r="AO40" s="18">
        <v>2822142.2918540114</v>
      </c>
      <c r="AP40" s="18">
        <v>92430.62</v>
      </c>
      <c r="AQ40" s="18"/>
      <c r="AR40" s="18"/>
      <c r="AS40" s="18"/>
      <c r="AT40" s="18"/>
      <c r="AU40" s="18"/>
      <c r="AV40" s="18"/>
      <c r="AW40" s="18"/>
      <c r="AX40" s="18"/>
      <c r="AY40" s="18"/>
      <c r="AZ40" s="18"/>
      <c r="BA40" s="18"/>
      <c r="BB40" s="64">
        <f t="shared" si="0"/>
        <v>3193529.2100491272</v>
      </c>
    </row>
    <row r="41" spans="1:54" ht="20.25" customHeight="1" x14ac:dyDescent="0.5">
      <c r="A41" s="19" t="s">
        <v>227</v>
      </c>
      <c r="B41" s="122"/>
      <c r="C41" s="122"/>
      <c r="D41" s="122"/>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v>513</v>
      </c>
      <c r="AI41" s="18">
        <v>1309.9100000000001</v>
      </c>
      <c r="AJ41" s="18">
        <v>2092.2399999999998</v>
      </c>
      <c r="AK41" s="18">
        <v>3022.8</v>
      </c>
      <c r="AL41" s="18">
        <v>4686.47</v>
      </c>
      <c r="AM41" s="18">
        <v>5379.17</v>
      </c>
      <c r="AN41" s="18">
        <v>14380.22</v>
      </c>
      <c r="AO41" s="18">
        <v>99825.81</v>
      </c>
      <c r="AP41" s="18">
        <v>3045515.15</v>
      </c>
      <c r="AQ41" s="18">
        <v>119828.92</v>
      </c>
      <c r="AR41" s="18"/>
      <c r="AS41" s="18"/>
      <c r="AT41" s="18"/>
      <c r="AU41" s="18"/>
      <c r="AV41" s="18"/>
      <c r="AW41" s="18"/>
      <c r="AX41" s="18"/>
      <c r="AY41" s="18"/>
      <c r="AZ41" s="18"/>
      <c r="BA41" s="18"/>
      <c r="BB41" s="64">
        <f t="shared" si="0"/>
        <v>3296553.69</v>
      </c>
    </row>
    <row r="42" spans="1:54" ht="20.25" customHeight="1" x14ac:dyDescent="0.5">
      <c r="A42" s="19" t="s">
        <v>228</v>
      </c>
      <c r="B42" s="122"/>
      <c r="C42" s="122"/>
      <c r="D42" s="122"/>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v>714.74</v>
      </c>
      <c r="AN42" s="18">
        <v>4115.57</v>
      </c>
      <c r="AO42" s="18">
        <v>25096.84</v>
      </c>
      <c r="AP42" s="18">
        <v>81411.899999999994</v>
      </c>
      <c r="AQ42" s="18">
        <v>3871131.36</v>
      </c>
      <c r="AR42" s="21">
        <v>136031.09</v>
      </c>
      <c r="AS42" s="21"/>
      <c r="AT42" s="21"/>
      <c r="AU42" s="21"/>
      <c r="AV42" s="21"/>
      <c r="AW42" s="21"/>
      <c r="AX42" s="21"/>
      <c r="AY42" s="21"/>
      <c r="AZ42" s="21"/>
      <c r="BA42" s="18"/>
      <c r="BB42" s="64">
        <f t="shared" si="0"/>
        <v>4118501.4999999995</v>
      </c>
    </row>
    <row r="43" spans="1:54" ht="20.25" customHeight="1" x14ac:dyDescent="0.5">
      <c r="A43" s="19" t="s">
        <v>229</v>
      </c>
      <c r="B43" s="122"/>
      <c r="C43" s="122"/>
      <c r="D43" s="122"/>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v>55268.1</v>
      </c>
      <c r="AR43" s="18">
        <v>3824652.56</v>
      </c>
      <c r="AS43" s="21">
        <v>108672.28644769976</v>
      </c>
      <c r="AT43" s="21"/>
      <c r="AU43" s="21"/>
      <c r="AV43" s="21"/>
      <c r="AW43" s="21"/>
      <c r="AX43" s="21"/>
      <c r="AY43" s="21"/>
      <c r="AZ43" s="21"/>
      <c r="BA43" s="18"/>
      <c r="BB43" s="64">
        <f t="shared" si="0"/>
        <v>3988592.9464476998</v>
      </c>
    </row>
    <row r="44" spans="1:54" ht="20.25" customHeight="1" x14ac:dyDescent="0.5">
      <c r="A44" s="19" t="s">
        <v>230</v>
      </c>
      <c r="B44" s="122"/>
      <c r="C44" s="122"/>
      <c r="D44" s="122"/>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v>30132.15493395838</v>
      </c>
      <c r="AS44" s="18">
        <v>4436676.6874681171</v>
      </c>
      <c r="AT44" s="18">
        <v>172239.06388619056</v>
      </c>
      <c r="AU44" s="18"/>
      <c r="AV44" s="18"/>
      <c r="AW44" s="18"/>
      <c r="AX44" s="18"/>
      <c r="AY44" s="18"/>
      <c r="AZ44" s="18"/>
      <c r="BA44" s="18"/>
      <c r="BB44" s="64">
        <f t="shared" si="0"/>
        <v>4639047.9062882662</v>
      </c>
    </row>
    <row r="45" spans="1:54" ht="20.25" customHeight="1" x14ac:dyDescent="0.5">
      <c r="A45" s="19" t="s">
        <v>231</v>
      </c>
      <c r="B45" s="122"/>
      <c r="C45" s="122"/>
      <c r="D45" s="122"/>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v>700.39210974770003</v>
      </c>
      <c r="AR45" s="18">
        <v>805.18931784149993</v>
      </c>
      <c r="AS45" s="18">
        <v>38755.790876440427</v>
      </c>
      <c r="AT45" s="18">
        <v>4887059.4947935482</v>
      </c>
      <c r="AU45" s="18">
        <v>141176.43706294734</v>
      </c>
      <c r="AV45" s="18"/>
      <c r="AW45" s="18"/>
      <c r="AX45" s="18"/>
      <c r="AY45" s="18"/>
      <c r="AZ45" s="18"/>
      <c r="BA45" s="18"/>
      <c r="BB45" s="64">
        <f t="shared" si="0"/>
        <v>5068497.3041605251</v>
      </c>
    </row>
    <row r="46" spans="1:54" ht="20.25" customHeight="1" x14ac:dyDescent="0.5">
      <c r="A46" s="19" t="s">
        <v>232</v>
      </c>
      <c r="B46" s="122"/>
      <c r="C46" s="122"/>
      <c r="D46" s="122"/>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v>-69.269082214099612</v>
      </c>
      <c r="AT46" s="18">
        <v>50102.401386604819</v>
      </c>
      <c r="AU46" s="18">
        <v>3403113.3750677533</v>
      </c>
      <c r="AV46" s="18">
        <v>86259.366098394996</v>
      </c>
      <c r="AW46" s="18"/>
      <c r="AX46" s="18"/>
      <c r="AY46" s="18"/>
      <c r="AZ46" s="18"/>
      <c r="BA46" s="18"/>
      <c r="BB46" s="64">
        <f t="shared" si="0"/>
        <v>3539405.8734705392</v>
      </c>
    </row>
    <row r="47" spans="1:54" ht="20.25" customHeight="1" x14ac:dyDescent="0.5">
      <c r="A47" s="19" t="s">
        <v>233</v>
      </c>
      <c r="B47" s="122"/>
      <c r="C47" s="122"/>
      <c r="D47" s="122"/>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v>32079.985488073144</v>
      </c>
      <c r="AV47" s="18">
        <v>3372522.6499357931</v>
      </c>
      <c r="AW47" s="18">
        <v>197431.30743000438</v>
      </c>
      <c r="AX47" s="18"/>
      <c r="AY47" s="18"/>
      <c r="AZ47" s="18"/>
      <c r="BA47" s="18"/>
      <c r="BB47" s="64">
        <f t="shared" si="0"/>
        <v>3602033.9428538703</v>
      </c>
    </row>
    <row r="48" spans="1:54" ht="20.25" customHeight="1" x14ac:dyDescent="0.5">
      <c r="A48" s="19" t="s">
        <v>234</v>
      </c>
      <c r="B48" s="122"/>
      <c r="C48" s="122"/>
      <c r="D48" s="122"/>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v>41373.64285226896</v>
      </c>
      <c r="AW48" s="18">
        <v>3415933.8956843419</v>
      </c>
      <c r="AX48" s="18">
        <v>107910.99687006325</v>
      </c>
      <c r="AY48" s="18"/>
      <c r="AZ48" s="18"/>
      <c r="BA48" s="18"/>
      <c r="BB48" s="64">
        <f t="shared" si="0"/>
        <v>3565218.5354066743</v>
      </c>
    </row>
    <row r="49" spans="1:57" ht="20.25" customHeight="1" x14ac:dyDescent="0.5">
      <c r="A49" s="19" t="s">
        <v>235</v>
      </c>
      <c r="B49" s="122"/>
      <c r="C49" s="122"/>
      <c r="D49" s="122"/>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v>42005.999980445587</v>
      </c>
      <c r="AX49" s="18">
        <v>4869595.1058615511</v>
      </c>
      <c r="AY49" s="18">
        <v>113690.13295154399</v>
      </c>
      <c r="AZ49" s="18"/>
      <c r="BA49" s="18"/>
      <c r="BB49" s="64">
        <f t="shared" si="0"/>
        <v>5025291.2387935407</v>
      </c>
    </row>
    <row r="50" spans="1:57" ht="20.25" customHeight="1" x14ac:dyDescent="0.5">
      <c r="A50" s="19" t="s">
        <v>236</v>
      </c>
      <c r="B50" s="122"/>
      <c r="C50" s="122"/>
      <c r="D50" s="122"/>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v>64238.1891708041</v>
      </c>
      <c r="AY50" s="18">
        <v>3871370.5707425028</v>
      </c>
      <c r="AZ50" s="18">
        <v>96182.090402844115</v>
      </c>
      <c r="BA50" s="18"/>
      <c r="BB50" s="64">
        <f t="shared" si="0"/>
        <v>4031790.8503161506</v>
      </c>
    </row>
    <row r="51" spans="1:57" ht="20.25" customHeight="1" x14ac:dyDescent="0.5">
      <c r="A51" s="19" t="s">
        <v>237</v>
      </c>
      <c r="B51" s="122"/>
      <c r="C51" s="122"/>
      <c r="D51" s="122"/>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v>58711.322270245488</v>
      </c>
      <c r="AZ51" s="18">
        <v>2882962.0900867409</v>
      </c>
      <c r="BA51" s="18"/>
      <c r="BB51" s="64">
        <f t="shared" si="0"/>
        <v>2941673.4123569862</v>
      </c>
    </row>
    <row r="52" spans="1:57" ht="20.25" customHeight="1" x14ac:dyDescent="0.5">
      <c r="A52" s="19" t="s">
        <v>238</v>
      </c>
      <c r="B52" s="122"/>
      <c r="C52" s="122"/>
      <c r="D52" s="122"/>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v>3722.7314977874998</v>
      </c>
      <c r="AZ52" s="18">
        <v>27295.659530788798</v>
      </c>
      <c r="BA52" s="18"/>
      <c r="BB52" s="64">
        <f t="shared" si="0"/>
        <v>31018.391028576298</v>
      </c>
    </row>
    <row r="53" spans="1:57" ht="20.25" customHeight="1" x14ac:dyDescent="0.5">
      <c r="A53" s="19" t="s">
        <v>239</v>
      </c>
      <c r="B53" s="122"/>
      <c r="C53" s="122"/>
      <c r="D53" s="122"/>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v>9873.5516130900014</v>
      </c>
      <c r="BA53" s="18"/>
      <c r="BB53" s="64">
        <f t="shared" si="0"/>
        <v>9873.5516130900014</v>
      </c>
    </row>
    <row r="54" spans="1:57" ht="20.25" customHeight="1" x14ac:dyDescent="0.5">
      <c r="A54" s="19" t="s">
        <v>240</v>
      </c>
      <c r="B54" s="122"/>
      <c r="C54" s="122"/>
      <c r="D54" s="122"/>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64">
        <f t="shared" si="0"/>
        <v>0</v>
      </c>
    </row>
    <row r="55" spans="1:57" ht="20.25" customHeight="1" x14ac:dyDescent="0.5">
      <c r="A55" s="19" t="s">
        <v>241</v>
      </c>
      <c r="B55" s="122"/>
      <c r="C55" s="122"/>
      <c r="D55" s="122"/>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64">
        <f t="shared" si="0"/>
        <v>0</v>
      </c>
    </row>
    <row r="56" spans="1:57" ht="20.25" customHeight="1" x14ac:dyDescent="0.5">
      <c r="A56" s="19" t="s">
        <v>242</v>
      </c>
      <c r="B56" s="122"/>
      <c r="C56" s="122"/>
      <c r="D56" s="122"/>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64">
        <f t="shared" si="0"/>
        <v>0</v>
      </c>
    </row>
    <row r="57" spans="1:57" ht="20.25" customHeight="1" x14ac:dyDescent="0.5">
      <c r="A57" s="19" t="s">
        <v>243</v>
      </c>
      <c r="B57" s="122"/>
      <c r="C57" s="122"/>
      <c r="D57" s="122"/>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64">
        <f t="shared" si="0"/>
        <v>0</v>
      </c>
    </row>
    <row r="58" spans="1:57" ht="20.25" customHeight="1" x14ac:dyDescent="0.5">
      <c r="A58" s="19" t="s">
        <v>244</v>
      </c>
      <c r="B58" s="122"/>
      <c r="C58" s="122"/>
      <c r="D58" s="122"/>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64">
        <f t="shared" si="0"/>
        <v>0</v>
      </c>
    </row>
    <row r="59" spans="1:57" ht="20.25" customHeight="1" x14ac:dyDescent="0.5">
      <c r="A59" s="19" t="s">
        <v>245</v>
      </c>
      <c r="B59" s="122"/>
      <c r="C59" s="122"/>
      <c r="D59" s="122"/>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64">
        <f t="shared" si="0"/>
        <v>0</v>
      </c>
    </row>
    <row r="60" spans="1:57" ht="20.25" customHeight="1" x14ac:dyDescent="0.5">
      <c r="A60" s="19" t="s">
        <v>246</v>
      </c>
      <c r="B60" s="122"/>
      <c r="C60" s="122"/>
      <c r="D60" s="122"/>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64">
        <f t="shared" si="0"/>
        <v>0</v>
      </c>
    </row>
    <row r="61" spans="1:57" ht="20.25" customHeight="1" x14ac:dyDescent="0.5">
      <c r="A61" s="19" t="s">
        <v>247</v>
      </c>
      <c r="B61" s="122"/>
      <c r="C61" s="122"/>
      <c r="D61" s="122"/>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64">
        <f t="shared" si="0"/>
        <v>0</v>
      </c>
    </row>
    <row r="62" spans="1:57" ht="20.25" customHeight="1" x14ac:dyDescent="0.5">
      <c r="A62" s="19" t="s">
        <v>248</v>
      </c>
      <c r="B62" s="122"/>
      <c r="C62" s="122"/>
      <c r="D62" s="122"/>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64">
        <f t="shared" si="0"/>
        <v>0</v>
      </c>
    </row>
    <row r="63" spans="1:57" ht="20.25" customHeight="1" thickBot="1" x14ac:dyDescent="0.55000000000000004">
      <c r="A63" s="19"/>
      <c r="B63" s="122"/>
      <c r="C63" s="122"/>
      <c r="D63" s="122"/>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64">
        <f t="shared" si="0"/>
        <v>0</v>
      </c>
    </row>
    <row r="64" spans="1:57" s="16" customFormat="1" ht="20" thickBot="1" x14ac:dyDescent="0.65">
      <c r="A64" s="69" t="s">
        <v>253</v>
      </c>
      <c r="B64" s="123"/>
      <c r="C64" s="123"/>
      <c r="D64" s="123"/>
      <c r="E64" s="69">
        <f t="shared" ref="E64:J64" si="1">SUM(E3:E21)</f>
        <v>3365629.56</v>
      </c>
      <c r="F64" s="69">
        <f t="shared" si="1"/>
        <v>2429352.8899999997</v>
      </c>
      <c r="G64" s="69">
        <f t="shared" si="1"/>
        <v>4125784.93</v>
      </c>
      <c r="H64" s="69">
        <f t="shared" si="1"/>
        <v>5717911.8999999994</v>
      </c>
      <c r="I64" s="69">
        <f t="shared" si="1"/>
        <v>5999682.7700000005</v>
      </c>
      <c r="J64" s="69">
        <f t="shared" si="1"/>
        <v>5960658.6699999999</v>
      </c>
      <c r="K64" s="69">
        <f t="shared" ref="K64:AB64" si="2">SUM(K3:K36)</f>
        <v>5180093.43</v>
      </c>
      <c r="L64" s="69">
        <f t="shared" si="2"/>
        <v>5095809.58</v>
      </c>
      <c r="M64" s="69">
        <f t="shared" si="2"/>
        <v>4271998.7799999993</v>
      </c>
      <c r="N64" s="69">
        <f t="shared" si="2"/>
        <v>4605889.5300000012</v>
      </c>
      <c r="O64" s="194">
        <f t="shared" si="2"/>
        <v>6842111.2099999981</v>
      </c>
      <c r="P64" s="194">
        <f t="shared" si="2"/>
        <v>5691409.0599999996</v>
      </c>
      <c r="Q64" s="69">
        <f t="shared" si="2"/>
        <v>5785405.9299999997</v>
      </c>
      <c r="R64" s="69">
        <f t="shared" si="2"/>
        <v>5888530.8076390503</v>
      </c>
      <c r="S64" s="69">
        <f t="shared" si="2"/>
        <v>6590752.705839863</v>
      </c>
      <c r="T64" s="69">
        <f t="shared" si="2"/>
        <v>6551476.1242977725</v>
      </c>
      <c r="U64" s="69">
        <f t="shared" si="2"/>
        <v>6522861.6899999995</v>
      </c>
      <c r="V64" s="69">
        <f t="shared" si="2"/>
        <v>5886467.5300000003</v>
      </c>
      <c r="W64" s="69">
        <f t="shared" si="2"/>
        <v>5433652.5600000005</v>
      </c>
      <c r="X64" s="69">
        <f t="shared" si="2"/>
        <v>4824358.8930000002</v>
      </c>
      <c r="Y64" s="69">
        <f t="shared" si="2"/>
        <v>6068017.3200000003</v>
      </c>
      <c r="Z64" s="69">
        <f t="shared" si="2"/>
        <v>6906623.9100000001</v>
      </c>
      <c r="AA64" s="69">
        <f t="shared" si="2"/>
        <v>6740028.5300000003</v>
      </c>
      <c r="AB64" s="69">
        <f t="shared" si="2"/>
        <v>5281868.4000000004</v>
      </c>
      <c r="AC64" s="69">
        <f>SUM(AC3:AC41)</f>
        <v>5248610.53</v>
      </c>
      <c r="AD64" s="69">
        <f>SUM(AD3:AD41)</f>
        <v>4742052.9100000011</v>
      </c>
      <c r="AE64" s="69">
        <f>SUM(AE3:AE41)</f>
        <v>4493665.8699999992</v>
      </c>
      <c r="AF64" s="69">
        <f>SUM(AF3:AF41)</f>
        <v>6021016.0299999993</v>
      </c>
      <c r="AG64" s="69">
        <f t="shared" ref="AG64:AN64" si="3">SUM(AG3:AG42)</f>
        <v>7250490.4999999991</v>
      </c>
      <c r="AH64" s="69">
        <f t="shared" si="3"/>
        <v>7144303.3013478629</v>
      </c>
      <c r="AI64" s="69">
        <f t="shared" si="3"/>
        <v>5130248.1787190093</v>
      </c>
      <c r="AJ64" s="69">
        <f t="shared" si="3"/>
        <v>4574203.0334820431</v>
      </c>
      <c r="AK64" s="69">
        <f t="shared" si="3"/>
        <v>3915568.7432106235</v>
      </c>
      <c r="AL64" s="69">
        <f t="shared" si="3"/>
        <v>5340662.6384277139</v>
      </c>
      <c r="AM64" s="69">
        <f t="shared" si="3"/>
        <v>4097986.4431238468</v>
      </c>
      <c r="AN64" s="69">
        <f t="shared" si="3"/>
        <v>3968962.8870610865</v>
      </c>
      <c r="AO64" s="69">
        <f>SUM(AO3:AO45)</f>
        <v>3043667.5195016959</v>
      </c>
      <c r="AP64" s="69">
        <f>SUM(AP3:AP45)</f>
        <v>3219357.67</v>
      </c>
      <c r="AQ64" s="69">
        <f>SUM(AQ3:AQ45)</f>
        <v>4046928.7721097474</v>
      </c>
      <c r="AR64" s="69">
        <f>SUM(AR3:AR45)</f>
        <v>3991620.9942517998</v>
      </c>
      <c r="AS64" s="69">
        <f>SUM(AS3:AS46)</f>
        <v>4584035.4957100442</v>
      </c>
      <c r="AT64" s="69">
        <f>SUM(AT3:AT46)</f>
        <v>5109400.9600663437</v>
      </c>
      <c r="AU64" s="69">
        <f>SUM(AU3:AU48)</f>
        <v>3576369.7976187738</v>
      </c>
      <c r="AV64" s="69">
        <f>SUM(AV3:AV48)</f>
        <v>3500155.6588864573</v>
      </c>
      <c r="AW64" s="69">
        <f>SUM(AW3:AW50)</f>
        <v>3655371.2030947916</v>
      </c>
      <c r="AX64" s="69">
        <f>SUM(AX3:AX50)</f>
        <v>5041744.2919024182</v>
      </c>
      <c r="AY64" s="69">
        <f>SUM(AY3:AY52)</f>
        <v>4047494.7574620796</v>
      </c>
      <c r="AZ64" s="69">
        <f>SUM(AZ3:AZ53)</f>
        <v>3016313.3916334636</v>
      </c>
      <c r="BA64" s="70">
        <f>SUM(BA3:BA52)</f>
        <v>0</v>
      </c>
      <c r="BB64" s="69">
        <f>SUM(BB3:BB62)</f>
        <v>245437655.8883864</v>
      </c>
      <c r="BE64" s="71"/>
    </row>
    <row r="65" spans="1:55" x14ac:dyDescent="0.5">
      <c r="A65" s="19"/>
      <c r="B65" s="122"/>
      <c r="C65" s="122"/>
      <c r="D65" s="122"/>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63"/>
    </row>
    <row r="66" spans="1:55" x14ac:dyDescent="0.5">
      <c r="A66" s="19"/>
      <c r="B66" s="122"/>
      <c r="C66" s="122"/>
      <c r="D66" s="122"/>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63"/>
    </row>
    <row r="67" spans="1:55" ht="19.5" x14ac:dyDescent="0.6">
      <c r="A67" s="65" t="s">
        <v>132</v>
      </c>
      <c r="B67" s="118" t="s">
        <v>250</v>
      </c>
      <c r="C67" s="120"/>
      <c r="D67" s="120"/>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63"/>
    </row>
    <row r="68" spans="1:55" x14ac:dyDescent="0.5">
      <c r="A68" s="19" t="s">
        <v>70</v>
      </c>
      <c r="B68" s="122">
        <v>20157.580000000002</v>
      </c>
      <c r="C68" s="122">
        <v>216253.14</v>
      </c>
      <c r="D68" s="122">
        <v>4367958.05</v>
      </c>
      <c r="E68" s="18">
        <v>112220.47</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64">
        <f t="shared" ref="BB68:BB127" si="4">SUM(B68:BA68)</f>
        <v>4716589.2399999993</v>
      </c>
      <c r="BC68" s="20"/>
    </row>
    <row r="69" spans="1:55" x14ac:dyDescent="0.5">
      <c r="A69" s="19" t="s">
        <v>71</v>
      </c>
      <c r="B69" s="122"/>
      <c r="C69" s="122">
        <v>17162.990000000002</v>
      </c>
      <c r="D69" s="122">
        <v>112430.27</v>
      </c>
      <c r="E69" s="18">
        <v>3398241.22</v>
      </c>
      <c r="F69" s="18">
        <v>34765.56</v>
      </c>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64">
        <f t="shared" si="4"/>
        <v>3562600.0400000005</v>
      </c>
      <c r="BC69" s="20"/>
    </row>
    <row r="70" spans="1:55" x14ac:dyDescent="0.5">
      <c r="A70" s="19" t="s">
        <v>72</v>
      </c>
      <c r="B70" s="122"/>
      <c r="C70" s="122"/>
      <c r="D70" s="122">
        <v>27677.65</v>
      </c>
      <c r="E70" s="18">
        <v>187987.81</v>
      </c>
      <c r="F70" s="18">
        <v>4012552.54</v>
      </c>
      <c r="G70" s="18">
        <v>63869.39</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64">
        <f t="shared" si="4"/>
        <v>4292087.3899999997</v>
      </c>
      <c r="BC70" s="20"/>
    </row>
    <row r="71" spans="1:55" x14ac:dyDescent="0.5">
      <c r="A71" s="19" t="s">
        <v>73</v>
      </c>
      <c r="B71" s="122"/>
      <c r="C71" s="122"/>
      <c r="D71" s="122"/>
      <c r="E71" s="18">
        <v>10407.75</v>
      </c>
      <c r="F71" s="18">
        <v>85937.94</v>
      </c>
      <c r="G71" s="18">
        <v>2253066.9700000002</v>
      </c>
      <c r="H71" s="18">
        <v>30852.78</v>
      </c>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64">
        <f t="shared" si="4"/>
        <v>2380265.44</v>
      </c>
    </row>
    <row r="72" spans="1:55" x14ac:dyDescent="0.5">
      <c r="A72" s="19" t="s">
        <v>74</v>
      </c>
      <c r="B72" s="122"/>
      <c r="C72" s="122"/>
      <c r="D72" s="122"/>
      <c r="E72" s="18"/>
      <c r="F72" s="18">
        <v>15185.15</v>
      </c>
      <c r="G72" s="18">
        <v>131793.48000000001</v>
      </c>
      <c r="H72" s="18">
        <v>3806325.49</v>
      </c>
      <c r="I72" s="18">
        <v>85969.61</v>
      </c>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64">
        <f t="shared" si="4"/>
        <v>4039273.73</v>
      </c>
    </row>
    <row r="73" spans="1:55" x14ac:dyDescent="0.5">
      <c r="A73" s="19" t="s">
        <v>75</v>
      </c>
      <c r="B73" s="122"/>
      <c r="C73" s="122"/>
      <c r="D73" s="122"/>
      <c r="E73" s="18"/>
      <c r="F73" s="18"/>
      <c r="G73" s="18">
        <v>14933.02</v>
      </c>
      <c r="H73" s="18">
        <v>93333.42</v>
      </c>
      <c r="I73" s="18">
        <v>5411675.7199999997</v>
      </c>
      <c r="J73" s="18">
        <v>38518.370000000003</v>
      </c>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64">
        <f t="shared" si="4"/>
        <v>5558460.5300000003</v>
      </c>
    </row>
    <row r="74" spans="1:55" x14ac:dyDescent="0.5">
      <c r="A74" s="19" t="s">
        <v>76</v>
      </c>
      <c r="B74" s="122"/>
      <c r="C74" s="122"/>
      <c r="D74" s="122"/>
      <c r="E74" s="18"/>
      <c r="F74" s="18"/>
      <c r="G74" s="18"/>
      <c r="H74" s="18">
        <v>17536.04</v>
      </c>
      <c r="I74" s="18">
        <v>220635.89</v>
      </c>
      <c r="J74" s="18">
        <v>5610416.8099999996</v>
      </c>
      <c r="K74" s="18">
        <v>108063.67999999999</v>
      </c>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64">
        <f t="shared" si="4"/>
        <v>5956652.419999999</v>
      </c>
    </row>
    <row r="75" spans="1:55" x14ac:dyDescent="0.5">
      <c r="A75" s="19" t="s">
        <v>77</v>
      </c>
      <c r="B75" s="122"/>
      <c r="C75" s="122"/>
      <c r="D75" s="122"/>
      <c r="E75" s="18"/>
      <c r="F75" s="18"/>
      <c r="G75" s="18"/>
      <c r="H75" s="18"/>
      <c r="I75" s="18">
        <v>13135.87</v>
      </c>
      <c r="J75" s="18">
        <v>61149.58</v>
      </c>
      <c r="K75" s="18">
        <v>5489251.2699999996</v>
      </c>
      <c r="L75" s="18">
        <v>115909.96</v>
      </c>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64">
        <f t="shared" si="4"/>
        <v>5679446.6799999997</v>
      </c>
    </row>
    <row r="76" spans="1:55" x14ac:dyDescent="0.5">
      <c r="A76" s="19" t="s">
        <v>78</v>
      </c>
      <c r="B76" s="122"/>
      <c r="C76" s="122"/>
      <c r="D76" s="122"/>
      <c r="E76" s="18"/>
      <c r="F76" s="18"/>
      <c r="G76" s="18"/>
      <c r="H76" s="18"/>
      <c r="I76" s="18"/>
      <c r="J76" s="18">
        <v>21707.06</v>
      </c>
      <c r="K76" s="18">
        <v>194264.62</v>
      </c>
      <c r="L76" s="18">
        <v>5300936.55</v>
      </c>
      <c r="M76" s="18">
        <v>51108.31</v>
      </c>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64">
        <f t="shared" si="4"/>
        <v>5568016.5399999991</v>
      </c>
    </row>
    <row r="77" spans="1:55" x14ac:dyDescent="0.5">
      <c r="A77" s="19" t="s">
        <v>79</v>
      </c>
      <c r="B77" s="122"/>
      <c r="C77" s="122"/>
      <c r="D77" s="122"/>
      <c r="E77" s="18"/>
      <c r="F77" s="18"/>
      <c r="G77" s="18"/>
      <c r="H77" s="18"/>
      <c r="I77" s="18"/>
      <c r="J77" s="18"/>
      <c r="K77" s="18">
        <v>16226.77</v>
      </c>
      <c r="L77" s="18">
        <v>138389.48000000001</v>
      </c>
      <c r="M77" s="18">
        <v>5034503.47</v>
      </c>
      <c r="N77" s="18">
        <v>45439.48</v>
      </c>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64">
        <f t="shared" si="4"/>
        <v>5234559.2</v>
      </c>
    </row>
    <row r="78" spans="1:55" x14ac:dyDescent="0.5">
      <c r="A78" s="19" t="s">
        <v>80</v>
      </c>
      <c r="B78" s="122"/>
      <c r="C78" s="122"/>
      <c r="D78" s="122"/>
      <c r="E78" s="18"/>
      <c r="F78" s="18"/>
      <c r="G78" s="18"/>
      <c r="H78" s="18"/>
      <c r="I78" s="18"/>
      <c r="J78" s="18"/>
      <c r="K78" s="18"/>
      <c r="L78" s="18">
        <v>23256.54</v>
      </c>
      <c r="M78" s="18">
        <v>148289.51999999999</v>
      </c>
      <c r="N78" s="18">
        <v>3782992.94</v>
      </c>
      <c r="O78" s="18">
        <v>73835.92</v>
      </c>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64">
        <f t="shared" si="4"/>
        <v>4028374.92</v>
      </c>
    </row>
    <row r="79" spans="1:55" x14ac:dyDescent="0.5">
      <c r="A79" s="188" t="s">
        <v>81</v>
      </c>
      <c r="B79" s="122"/>
      <c r="C79" s="122"/>
      <c r="D79" s="122"/>
      <c r="E79" s="18"/>
      <c r="F79" s="18"/>
      <c r="G79" s="18"/>
      <c r="H79" s="18"/>
      <c r="I79" s="18"/>
      <c r="J79" s="18"/>
      <c r="K79" s="18"/>
      <c r="L79" s="18"/>
      <c r="M79" s="189">
        <v>10014.06</v>
      </c>
      <c r="N79" s="189">
        <v>84235.89</v>
      </c>
      <c r="O79" s="189">
        <v>4378135.8600000003</v>
      </c>
      <c r="P79" s="189">
        <v>43475.11</v>
      </c>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90">
        <f t="shared" si="4"/>
        <v>4515860.9200000009</v>
      </c>
    </row>
    <row r="80" spans="1:55" x14ac:dyDescent="0.5">
      <c r="A80" s="19" t="s">
        <v>82</v>
      </c>
      <c r="B80" s="122"/>
      <c r="C80" s="122"/>
      <c r="D80" s="122"/>
      <c r="E80" s="18"/>
      <c r="F80" s="18"/>
      <c r="G80" s="18"/>
      <c r="H80" s="18"/>
      <c r="I80" s="18"/>
      <c r="J80" s="18"/>
      <c r="K80" s="18"/>
      <c r="L80" s="18"/>
      <c r="M80" s="18"/>
      <c r="N80" s="18">
        <v>15193.56</v>
      </c>
      <c r="O80" s="18">
        <v>162584.88</v>
      </c>
      <c r="P80" s="18">
        <v>6498500.5199999996</v>
      </c>
      <c r="Q80" s="18">
        <v>179020.25</v>
      </c>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64">
        <f t="shared" si="4"/>
        <v>6855299.21</v>
      </c>
    </row>
    <row r="81" spans="1:57" x14ac:dyDescent="0.5">
      <c r="A81" s="19" t="s">
        <v>83</v>
      </c>
      <c r="B81" s="122"/>
      <c r="C81" s="122"/>
      <c r="D81" s="122"/>
      <c r="E81" s="18"/>
      <c r="F81" s="18"/>
      <c r="G81" s="18"/>
      <c r="H81" s="18">
        <v>-23.82</v>
      </c>
      <c r="I81" s="18">
        <v>-2649.89</v>
      </c>
      <c r="J81" s="18">
        <v>-3173.09</v>
      </c>
      <c r="K81" s="18">
        <v>-4120.01</v>
      </c>
      <c r="L81" s="18">
        <v>-5237.3599999999997</v>
      </c>
      <c r="M81" s="18">
        <v>-4221.5200000000004</v>
      </c>
      <c r="N81" s="18">
        <v>-3123.93</v>
      </c>
      <c r="O81" s="18">
        <v>12269.7</v>
      </c>
      <c r="P81" s="18">
        <v>135866.88</v>
      </c>
      <c r="Q81" s="18">
        <v>4948492.62</v>
      </c>
      <c r="R81" s="18">
        <v>42802.1</v>
      </c>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64">
        <f t="shared" si="4"/>
        <v>5116881.68</v>
      </c>
    </row>
    <row r="82" spans="1:57" x14ac:dyDescent="0.5">
      <c r="A82" s="19" t="s">
        <v>84</v>
      </c>
      <c r="B82" s="122"/>
      <c r="C82" s="122"/>
      <c r="D82" s="122"/>
      <c r="E82" s="18"/>
      <c r="F82" s="18"/>
      <c r="G82" s="18"/>
      <c r="H82" s="18">
        <v>7.05</v>
      </c>
      <c r="I82" s="18">
        <v>2566.98</v>
      </c>
      <c r="J82" s="18">
        <v>3173.09</v>
      </c>
      <c r="K82" s="18">
        <v>4120.01</v>
      </c>
      <c r="L82" s="18">
        <v>5237.3599999999997</v>
      </c>
      <c r="M82" s="18">
        <v>4221.5200000000004</v>
      </c>
      <c r="N82" s="18">
        <v>3123.93</v>
      </c>
      <c r="O82" s="18">
        <v>3034.61</v>
      </c>
      <c r="P82" s="18">
        <v>35923.67</v>
      </c>
      <c r="Q82" s="18">
        <v>212622.9</v>
      </c>
      <c r="R82" s="18">
        <v>5897391.3200000003</v>
      </c>
      <c r="S82" s="18">
        <v>71289.119999999995</v>
      </c>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64">
        <f t="shared" si="4"/>
        <v>6242711.5600000005</v>
      </c>
    </row>
    <row r="83" spans="1:57" x14ac:dyDescent="0.5">
      <c r="A83" s="19" t="s">
        <v>85</v>
      </c>
      <c r="B83" s="122"/>
      <c r="C83" s="122"/>
      <c r="D83" s="122"/>
      <c r="E83" s="18"/>
      <c r="F83" s="18"/>
      <c r="G83" s="18"/>
      <c r="H83" s="18"/>
      <c r="I83" s="18"/>
      <c r="J83" s="18"/>
      <c r="K83" s="18"/>
      <c r="L83" s="18"/>
      <c r="M83" s="18"/>
      <c r="N83" s="18"/>
      <c r="O83" s="18"/>
      <c r="P83" s="18"/>
      <c r="Q83" s="18">
        <v>18302.37</v>
      </c>
      <c r="R83" s="18">
        <v>134471.15</v>
      </c>
      <c r="S83" s="18">
        <v>5344984.37</v>
      </c>
      <c r="T83" s="18">
        <v>96233.02</v>
      </c>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64">
        <f t="shared" si="4"/>
        <v>5593990.9099999992</v>
      </c>
    </row>
    <row r="84" spans="1:57" x14ac:dyDescent="0.5">
      <c r="A84" s="19" t="s">
        <v>86</v>
      </c>
      <c r="B84" s="122"/>
      <c r="C84" s="122"/>
      <c r="D84" s="122"/>
      <c r="E84" s="18"/>
      <c r="F84" s="18"/>
      <c r="G84" s="18"/>
      <c r="H84" s="18"/>
      <c r="I84" s="18"/>
      <c r="J84" s="18"/>
      <c r="K84" s="18"/>
      <c r="L84" s="18"/>
      <c r="M84" s="18"/>
      <c r="N84" s="18"/>
      <c r="O84" s="18"/>
      <c r="P84" s="18"/>
      <c r="Q84" s="18"/>
      <c r="R84" s="18">
        <v>24333.728243490848</v>
      </c>
      <c r="S84" s="18">
        <v>192404.14114503973</v>
      </c>
      <c r="T84" s="18">
        <v>6710857.1562445769</v>
      </c>
      <c r="U84" s="18">
        <v>104917.56436689156</v>
      </c>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64">
        <f t="shared" si="4"/>
        <v>7032512.5899999999</v>
      </c>
    </row>
    <row r="85" spans="1:57" x14ac:dyDescent="0.5">
      <c r="A85" s="19" t="s">
        <v>87</v>
      </c>
      <c r="B85" s="122"/>
      <c r="C85" s="122"/>
      <c r="D85" s="122"/>
      <c r="E85" s="18"/>
      <c r="F85" s="18"/>
      <c r="G85" s="18"/>
      <c r="H85" s="18"/>
      <c r="I85" s="18"/>
      <c r="J85" s="18"/>
      <c r="K85" s="18"/>
      <c r="L85" s="18"/>
      <c r="M85" s="18"/>
      <c r="N85" s="18"/>
      <c r="O85" s="18"/>
      <c r="P85" s="18"/>
      <c r="Q85" s="18"/>
      <c r="R85" s="18"/>
      <c r="S85" s="18">
        <v>17908.32</v>
      </c>
      <c r="T85" s="18">
        <v>140224.25</v>
      </c>
      <c r="U85" s="18">
        <v>5979132.25</v>
      </c>
      <c r="V85" s="18">
        <v>60076.63</v>
      </c>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64">
        <f t="shared" si="4"/>
        <v>6197341.4500000002</v>
      </c>
    </row>
    <row r="86" spans="1:57" x14ac:dyDescent="0.5">
      <c r="A86" s="19" t="s">
        <v>88</v>
      </c>
      <c r="B86" s="122"/>
      <c r="C86" s="122"/>
      <c r="D86" s="122"/>
      <c r="E86" s="18"/>
      <c r="F86" s="18"/>
      <c r="G86" s="18"/>
      <c r="H86" s="18"/>
      <c r="I86" s="18"/>
      <c r="J86" s="18"/>
      <c r="K86" s="18"/>
      <c r="L86" s="18"/>
      <c r="M86" s="18"/>
      <c r="N86" s="18"/>
      <c r="O86" s="18"/>
      <c r="P86" s="18"/>
      <c r="Q86" s="18"/>
      <c r="R86" s="18"/>
      <c r="S86" s="18"/>
      <c r="T86" s="18">
        <v>13314.65</v>
      </c>
      <c r="U86" s="18">
        <v>177055.24</v>
      </c>
      <c r="V86" s="18">
        <v>6784858.5899999999</v>
      </c>
      <c r="W86" s="18">
        <v>189401.37</v>
      </c>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64">
        <f t="shared" si="4"/>
        <v>7164629.8499999996</v>
      </c>
    </row>
    <row r="87" spans="1:57" x14ac:dyDescent="0.5">
      <c r="A87" s="19" t="s">
        <v>89</v>
      </c>
      <c r="B87" s="122"/>
      <c r="C87" s="122"/>
      <c r="D87" s="122"/>
      <c r="E87" s="18"/>
      <c r="F87" s="18"/>
      <c r="G87" s="18"/>
      <c r="H87" s="18"/>
      <c r="I87" s="18"/>
      <c r="J87" s="18"/>
      <c r="K87" s="18"/>
      <c r="L87" s="18"/>
      <c r="M87" s="18"/>
      <c r="N87" s="18"/>
      <c r="O87" s="18"/>
      <c r="P87" s="18"/>
      <c r="Q87" s="18"/>
      <c r="R87" s="18"/>
      <c r="S87" s="18"/>
      <c r="T87" s="18"/>
      <c r="U87" s="18">
        <v>19611.57</v>
      </c>
      <c r="V87" s="18">
        <v>139527.22</v>
      </c>
      <c r="W87" s="18">
        <v>4676818.68</v>
      </c>
      <c r="X87" s="18">
        <v>89905.279999999999</v>
      </c>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64">
        <f t="shared" si="4"/>
        <v>4925862.75</v>
      </c>
    </row>
    <row r="88" spans="1:57" x14ac:dyDescent="0.5">
      <c r="A88" s="19" t="s">
        <v>90</v>
      </c>
      <c r="B88" s="122"/>
      <c r="C88" s="122"/>
      <c r="D88" s="122"/>
      <c r="E88" s="18"/>
      <c r="F88" s="18"/>
      <c r="G88" s="18"/>
      <c r="H88" s="18"/>
      <c r="I88" s="18"/>
      <c r="J88" s="18"/>
      <c r="K88" s="18"/>
      <c r="L88" s="18"/>
      <c r="M88" s="18"/>
      <c r="N88" s="18"/>
      <c r="O88" s="18"/>
      <c r="P88" s="18"/>
      <c r="Q88" s="18"/>
      <c r="R88" s="18"/>
      <c r="S88" s="18"/>
      <c r="T88" s="18"/>
      <c r="U88" s="18"/>
      <c r="V88" s="18">
        <v>21290.81</v>
      </c>
      <c r="W88" s="18">
        <v>174722.57</v>
      </c>
      <c r="X88" s="18">
        <v>5486204.46</v>
      </c>
      <c r="Y88" s="18">
        <v>118826.64</v>
      </c>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64">
        <f t="shared" si="4"/>
        <v>5801044.4799999995</v>
      </c>
    </row>
    <row r="89" spans="1:57" x14ac:dyDescent="0.5">
      <c r="A89" s="19" t="s">
        <v>91</v>
      </c>
      <c r="B89" s="122"/>
      <c r="C89" s="122"/>
      <c r="D89" s="122"/>
      <c r="E89" s="18"/>
      <c r="F89" s="18"/>
      <c r="G89" s="18"/>
      <c r="H89" s="18"/>
      <c r="I89" s="18"/>
      <c r="J89" s="18"/>
      <c r="K89" s="18"/>
      <c r="L89" s="18"/>
      <c r="M89" s="18"/>
      <c r="N89" s="18"/>
      <c r="O89" s="18"/>
      <c r="P89" s="18"/>
      <c r="Q89" s="18"/>
      <c r="R89" s="18"/>
      <c r="S89" s="18"/>
      <c r="T89" s="18"/>
      <c r="U89" s="18"/>
      <c r="V89" s="18"/>
      <c r="W89" s="18">
        <v>14428.84</v>
      </c>
      <c r="X89" s="18">
        <v>97237.32</v>
      </c>
      <c r="Y89" s="18">
        <v>4242077</v>
      </c>
      <c r="Z89" s="18">
        <v>79903.34</v>
      </c>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64">
        <f t="shared" si="4"/>
        <v>4433646.5</v>
      </c>
      <c r="BE89" s="17"/>
    </row>
    <row r="90" spans="1:57" x14ac:dyDescent="0.5">
      <c r="A90" s="19" t="s">
        <v>92</v>
      </c>
      <c r="B90" s="122"/>
      <c r="C90" s="122"/>
      <c r="D90" s="122"/>
      <c r="E90" s="18"/>
      <c r="F90" s="18"/>
      <c r="G90" s="18"/>
      <c r="H90" s="18"/>
      <c r="I90" s="18"/>
      <c r="J90" s="18"/>
      <c r="K90" s="18"/>
      <c r="L90" s="18"/>
      <c r="M90" s="18"/>
      <c r="N90" s="18"/>
      <c r="O90" s="18"/>
      <c r="P90" s="18"/>
      <c r="Q90" s="18"/>
      <c r="R90" s="18"/>
      <c r="S90" s="18"/>
      <c r="T90" s="18"/>
      <c r="U90" s="18"/>
      <c r="V90" s="18"/>
      <c r="W90" s="18"/>
      <c r="X90" s="18">
        <v>22219</v>
      </c>
      <c r="Y90" s="18">
        <v>162447</v>
      </c>
      <c r="Z90" s="18">
        <v>5682836</v>
      </c>
      <c r="AA90" s="18">
        <v>61696</v>
      </c>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64">
        <f t="shared" si="4"/>
        <v>5929198</v>
      </c>
      <c r="BE90" s="17"/>
    </row>
    <row r="91" spans="1:57" x14ac:dyDescent="0.5">
      <c r="A91" s="19" t="s">
        <v>93</v>
      </c>
      <c r="B91" s="122"/>
      <c r="C91" s="122"/>
      <c r="D91" s="122"/>
      <c r="E91" s="18"/>
      <c r="F91" s="18"/>
      <c r="G91" s="18"/>
      <c r="H91" s="18"/>
      <c r="I91" s="18"/>
      <c r="J91" s="18"/>
      <c r="K91" s="18"/>
      <c r="L91" s="18"/>
      <c r="M91" s="18"/>
      <c r="N91" s="18"/>
      <c r="O91" s="18"/>
      <c r="P91" s="18"/>
      <c r="Q91" s="18"/>
      <c r="R91" s="18"/>
      <c r="S91" s="18"/>
      <c r="T91" s="18"/>
      <c r="U91" s="18"/>
      <c r="V91" s="18"/>
      <c r="W91" s="18"/>
      <c r="X91" s="18"/>
      <c r="Y91" s="18">
        <v>14943.87</v>
      </c>
      <c r="Z91" s="18">
        <v>128182.23</v>
      </c>
      <c r="AA91" s="18">
        <v>7031948.9500000002</v>
      </c>
      <c r="AB91" s="18">
        <v>96578.73</v>
      </c>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64">
        <f t="shared" si="4"/>
        <v>7271653.7800000003</v>
      </c>
      <c r="BE91" s="17"/>
    </row>
    <row r="92" spans="1:57" x14ac:dyDescent="0.5">
      <c r="A92" s="19" t="s">
        <v>94</v>
      </c>
      <c r="B92" s="122"/>
      <c r="C92" s="122"/>
      <c r="D92" s="122"/>
      <c r="E92" s="18"/>
      <c r="F92" s="18"/>
      <c r="G92" s="18"/>
      <c r="H92" s="18"/>
      <c r="I92" s="18"/>
      <c r="J92" s="18"/>
      <c r="K92" s="18"/>
      <c r="L92" s="18"/>
      <c r="M92" s="18"/>
      <c r="N92" s="18"/>
      <c r="O92" s="18"/>
      <c r="P92" s="18"/>
      <c r="Q92" s="18"/>
      <c r="R92" s="18"/>
      <c r="S92" s="18"/>
      <c r="T92" s="18"/>
      <c r="U92" s="18"/>
      <c r="V92" s="18"/>
      <c r="W92" s="18"/>
      <c r="X92" s="18"/>
      <c r="Y92" s="18"/>
      <c r="Z92" s="18">
        <v>20845.310000000001</v>
      </c>
      <c r="AA92" s="18">
        <v>192424.26</v>
      </c>
      <c r="AB92" s="18">
        <v>6053482.25</v>
      </c>
      <c r="AC92" s="18">
        <v>92981.56</v>
      </c>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64">
        <f t="shared" si="4"/>
        <v>6359733.3799999999</v>
      </c>
      <c r="BE92" s="17"/>
    </row>
    <row r="93" spans="1:57" x14ac:dyDescent="0.5">
      <c r="A93" s="19" t="s">
        <v>95</v>
      </c>
      <c r="B93" s="122"/>
      <c r="C93" s="122"/>
      <c r="D93" s="122"/>
      <c r="E93" s="18"/>
      <c r="F93" s="18"/>
      <c r="G93" s="18"/>
      <c r="H93" s="18"/>
      <c r="I93" s="18"/>
      <c r="J93" s="18"/>
      <c r="K93" s="18"/>
      <c r="L93" s="18"/>
      <c r="M93" s="18"/>
      <c r="N93" s="18"/>
      <c r="O93" s="18"/>
      <c r="P93" s="18"/>
      <c r="Q93" s="18"/>
      <c r="R93" s="18"/>
      <c r="S93" s="18"/>
      <c r="T93" s="18"/>
      <c r="U93" s="18"/>
      <c r="V93" s="18"/>
      <c r="W93" s="18"/>
      <c r="X93" s="18"/>
      <c r="Y93" s="18"/>
      <c r="Z93" s="18"/>
      <c r="AA93" s="18">
        <v>9189.68</v>
      </c>
      <c r="AB93" s="18">
        <v>138655.51</v>
      </c>
      <c r="AC93" s="18">
        <v>4046477.36</v>
      </c>
      <c r="AD93" s="18">
        <v>36787.21</v>
      </c>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64">
        <f t="shared" si="4"/>
        <v>4231109.76</v>
      </c>
      <c r="BE93" s="17"/>
    </row>
    <row r="94" spans="1:57" x14ac:dyDescent="0.5">
      <c r="A94" s="19" t="s">
        <v>96</v>
      </c>
      <c r="B94" s="122"/>
      <c r="C94" s="122"/>
      <c r="D94" s="122"/>
      <c r="E94" s="18"/>
      <c r="F94" s="18"/>
      <c r="G94" s="18"/>
      <c r="H94" s="18"/>
      <c r="I94" s="18"/>
      <c r="J94" s="18"/>
      <c r="K94" s="18"/>
      <c r="L94" s="18"/>
      <c r="M94" s="18"/>
      <c r="N94" s="18"/>
      <c r="O94" s="18"/>
      <c r="P94" s="18"/>
      <c r="Q94" s="18"/>
      <c r="R94" s="18"/>
      <c r="S94" s="18"/>
      <c r="T94" s="18"/>
      <c r="U94" s="18"/>
      <c r="V94" s="18"/>
      <c r="W94" s="18"/>
      <c r="X94" s="18"/>
      <c r="Y94" s="18"/>
      <c r="Z94" s="18"/>
      <c r="AA94" s="18"/>
      <c r="AB94" s="18">
        <v>28490.37</v>
      </c>
      <c r="AC94" s="18">
        <v>146534.45000000001</v>
      </c>
      <c r="AD94" s="18">
        <v>4935959.09</v>
      </c>
      <c r="AE94" s="18">
        <v>59156.89</v>
      </c>
      <c r="AF94" s="18"/>
      <c r="AG94" s="18"/>
      <c r="AH94" s="18"/>
      <c r="AI94" s="18"/>
      <c r="AJ94" s="18"/>
      <c r="AK94" s="18"/>
      <c r="AL94" s="18"/>
      <c r="AM94" s="18"/>
      <c r="AN94" s="18"/>
      <c r="AO94" s="18"/>
      <c r="AP94" s="18"/>
      <c r="AQ94" s="18"/>
      <c r="AR94" s="18"/>
      <c r="AS94" s="18"/>
      <c r="AT94" s="18"/>
      <c r="AU94" s="18"/>
      <c r="AV94" s="18"/>
      <c r="AW94" s="18"/>
      <c r="AX94" s="18"/>
      <c r="AY94" s="18"/>
      <c r="AZ94" s="18"/>
      <c r="BA94" s="18"/>
      <c r="BB94" s="64">
        <f t="shared" si="4"/>
        <v>5170140.8</v>
      </c>
      <c r="BE94" s="17"/>
    </row>
    <row r="95" spans="1:57" x14ac:dyDescent="0.5">
      <c r="A95" s="19" t="s">
        <v>97</v>
      </c>
      <c r="B95" s="122"/>
      <c r="C95" s="122"/>
      <c r="D95" s="122"/>
      <c r="E95" s="18"/>
      <c r="F95" s="18"/>
      <c r="G95" s="18"/>
      <c r="H95" s="18"/>
      <c r="I95" s="18"/>
      <c r="J95" s="18"/>
      <c r="K95" s="18"/>
      <c r="L95" s="18"/>
      <c r="M95" s="18"/>
      <c r="N95" s="18"/>
      <c r="O95" s="18"/>
      <c r="P95" s="18"/>
      <c r="Q95" s="18"/>
      <c r="R95" s="18"/>
      <c r="S95" s="18"/>
      <c r="T95" s="18"/>
      <c r="U95" s="18"/>
      <c r="V95" s="18"/>
      <c r="W95" s="18"/>
      <c r="X95" s="18"/>
      <c r="Y95" s="18"/>
      <c r="Z95" s="18"/>
      <c r="AA95" s="18"/>
      <c r="AB95" s="18">
        <v>18.68</v>
      </c>
      <c r="AC95" s="18">
        <v>8319.15</v>
      </c>
      <c r="AD95" s="18">
        <v>860451.81</v>
      </c>
      <c r="AE95" s="18">
        <v>4925185.0199999996</v>
      </c>
      <c r="AF95" s="18">
        <v>90861.72</v>
      </c>
      <c r="AG95" s="18"/>
      <c r="AH95" s="18"/>
      <c r="AI95" s="18"/>
      <c r="AJ95" s="18"/>
      <c r="AK95" s="18"/>
      <c r="AL95" s="18"/>
      <c r="AM95" s="18"/>
      <c r="AN95" s="18"/>
      <c r="AO95" s="18"/>
      <c r="AP95" s="18"/>
      <c r="AQ95" s="18"/>
      <c r="AR95" s="18"/>
      <c r="AS95" s="18"/>
      <c r="AT95" s="18"/>
      <c r="AU95" s="18"/>
      <c r="AV95" s="18"/>
      <c r="AW95" s="18"/>
      <c r="AX95" s="18"/>
      <c r="AY95" s="18"/>
      <c r="AZ95" s="18"/>
      <c r="BA95" s="18"/>
      <c r="BB95" s="64">
        <f t="shared" si="4"/>
        <v>5884836.379999999</v>
      </c>
      <c r="BE95" s="17"/>
    </row>
    <row r="96" spans="1:57" x14ac:dyDescent="0.5">
      <c r="A96" s="19" t="s">
        <v>98</v>
      </c>
      <c r="B96" s="122"/>
      <c r="C96" s="122"/>
      <c r="D96" s="122"/>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v>41302.230000000003</v>
      </c>
      <c r="AE96" s="18">
        <v>183272.77</v>
      </c>
      <c r="AF96" s="18">
        <v>3506414.89</v>
      </c>
      <c r="AG96" s="18">
        <v>77738.22</v>
      </c>
      <c r="AH96" s="18"/>
      <c r="AI96" s="18"/>
      <c r="AJ96" s="18"/>
      <c r="AK96" s="18"/>
      <c r="AL96" s="18"/>
      <c r="AM96" s="18"/>
      <c r="AN96" s="18"/>
      <c r="AO96" s="18"/>
      <c r="AP96" s="18"/>
      <c r="AQ96" s="18"/>
      <c r="AR96" s="18"/>
      <c r="AS96" s="18"/>
      <c r="AT96" s="18"/>
      <c r="AU96" s="18"/>
      <c r="AV96" s="18"/>
      <c r="AW96" s="18"/>
      <c r="AX96" s="18"/>
      <c r="AY96" s="18"/>
      <c r="AZ96" s="18"/>
      <c r="BA96" s="18"/>
      <c r="BB96" s="64">
        <f t="shared" si="4"/>
        <v>3808728.1100000003</v>
      </c>
      <c r="BE96" s="17"/>
    </row>
    <row r="97" spans="1:57" x14ac:dyDescent="0.5">
      <c r="A97" s="19" t="s">
        <v>99</v>
      </c>
      <c r="B97" s="122"/>
      <c r="C97" s="122"/>
      <c r="D97" s="122"/>
      <c r="E97" s="18"/>
      <c r="F97" s="18"/>
      <c r="G97" s="18"/>
      <c r="H97" s="18"/>
      <c r="I97" s="18"/>
      <c r="J97" s="18"/>
      <c r="K97" s="18"/>
      <c r="L97" s="18"/>
      <c r="M97" s="18"/>
      <c r="N97" s="18"/>
      <c r="O97" s="18"/>
      <c r="P97" s="18"/>
      <c r="Q97" s="18"/>
      <c r="R97" s="18"/>
      <c r="S97" s="18"/>
      <c r="T97" s="18"/>
      <c r="U97" s="18"/>
      <c r="V97" s="18"/>
      <c r="W97" s="18"/>
      <c r="X97" s="18"/>
      <c r="Y97" s="18"/>
      <c r="Z97" s="18"/>
      <c r="AA97" s="18"/>
      <c r="AB97" s="18">
        <v>2.37</v>
      </c>
      <c r="AC97" s="18">
        <v>668.5</v>
      </c>
      <c r="AD97" s="18">
        <v>-1173.98</v>
      </c>
      <c r="AE97" s="18">
        <v>-4075.3</v>
      </c>
      <c r="AF97" s="18">
        <v>119568.76</v>
      </c>
      <c r="AG97" s="18">
        <v>5893866.3600000003</v>
      </c>
      <c r="AH97" s="18">
        <v>132012.65</v>
      </c>
      <c r="AI97" s="18"/>
      <c r="AJ97" s="18"/>
      <c r="AK97" s="18"/>
      <c r="AL97" s="18"/>
      <c r="AM97" s="18"/>
      <c r="AN97" s="18"/>
      <c r="AO97" s="18"/>
      <c r="AP97" s="18"/>
      <c r="AQ97" s="18"/>
      <c r="AR97" s="18"/>
      <c r="AS97" s="18"/>
      <c r="AT97" s="18"/>
      <c r="AU97" s="18"/>
      <c r="AV97" s="18"/>
      <c r="AW97" s="18"/>
      <c r="AX97" s="18"/>
      <c r="AY97" s="18"/>
      <c r="AZ97" s="18"/>
      <c r="BA97" s="18"/>
      <c r="BB97" s="64">
        <f t="shared" si="4"/>
        <v>6140869.3600000003</v>
      </c>
      <c r="BE97" s="17"/>
    </row>
    <row r="98" spans="1:57" x14ac:dyDescent="0.5">
      <c r="A98" s="19" t="s">
        <v>100</v>
      </c>
      <c r="B98" s="122"/>
      <c r="C98" s="122"/>
      <c r="D98" s="122"/>
      <c r="E98" s="18"/>
      <c r="F98" s="18"/>
      <c r="G98" s="18"/>
      <c r="H98" s="18"/>
      <c r="I98" s="18"/>
      <c r="J98" s="18"/>
      <c r="K98" s="18"/>
      <c r="L98" s="18"/>
      <c r="M98" s="18"/>
      <c r="N98" s="18"/>
      <c r="O98" s="18"/>
      <c r="P98" s="18"/>
      <c r="Q98" s="18"/>
      <c r="R98" s="18"/>
      <c r="S98" s="18"/>
      <c r="T98" s="18"/>
      <c r="U98" s="18"/>
      <c r="V98" s="18"/>
      <c r="W98" s="18"/>
      <c r="X98" s="18"/>
      <c r="Y98" s="18"/>
      <c r="Z98" s="18"/>
      <c r="AA98" s="18"/>
      <c r="AB98" s="18"/>
      <c r="AC98" s="18">
        <v>350.73</v>
      </c>
      <c r="AD98" s="18">
        <v>5059.59</v>
      </c>
      <c r="AE98" s="18">
        <v>52217.7</v>
      </c>
      <c r="AF98" s="18">
        <v>23679.7</v>
      </c>
      <c r="AG98" s="18">
        <v>85946.96</v>
      </c>
      <c r="AH98" s="18">
        <v>6779529.1699999999</v>
      </c>
      <c r="AI98" s="18">
        <v>188738.01</v>
      </c>
      <c r="AJ98" s="18"/>
      <c r="AK98" s="18"/>
      <c r="AL98" s="18"/>
      <c r="AM98" s="18"/>
      <c r="AN98" s="18"/>
      <c r="AO98" s="18"/>
      <c r="AP98" s="18"/>
      <c r="AQ98" s="18"/>
      <c r="AR98" s="18"/>
      <c r="AS98" s="18"/>
      <c r="AT98" s="18"/>
      <c r="AU98" s="18"/>
      <c r="AV98" s="18"/>
      <c r="AW98" s="18"/>
      <c r="AX98" s="18"/>
      <c r="AY98" s="18"/>
      <c r="AZ98" s="18"/>
      <c r="BA98" s="18"/>
      <c r="BB98" s="64">
        <f t="shared" si="4"/>
        <v>7135521.8599999994</v>
      </c>
      <c r="BE98" s="17"/>
    </row>
    <row r="99" spans="1:57" x14ac:dyDescent="0.5">
      <c r="A99" s="19" t="s">
        <v>101</v>
      </c>
      <c r="B99" s="122"/>
      <c r="C99" s="122"/>
      <c r="D99" s="122"/>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v>3569.5899999999997</v>
      </c>
      <c r="AF99" s="18">
        <v>12227.509999999998</v>
      </c>
      <c r="AG99" s="18">
        <v>52933.62999999999</v>
      </c>
      <c r="AH99" s="18">
        <v>118975.06999999986</v>
      </c>
      <c r="AI99" s="18">
        <v>4425250.21</v>
      </c>
      <c r="AJ99" s="18">
        <v>115636.75999999998</v>
      </c>
      <c r="AK99" s="18"/>
      <c r="AL99" s="18"/>
      <c r="AM99" s="18"/>
      <c r="AN99" s="18"/>
      <c r="AO99" s="18"/>
      <c r="AP99" s="18"/>
      <c r="AQ99" s="18"/>
      <c r="AR99" s="18"/>
      <c r="AS99" s="18"/>
      <c r="AT99" s="18"/>
      <c r="AU99" s="18"/>
      <c r="AV99" s="18"/>
      <c r="AW99" s="18"/>
      <c r="AX99" s="18"/>
      <c r="AY99" s="18"/>
      <c r="AZ99" s="18"/>
      <c r="BA99" s="18"/>
      <c r="BB99" s="64">
        <f t="shared" si="4"/>
        <v>4728592.7699999996</v>
      </c>
      <c r="BE99" s="17"/>
    </row>
    <row r="100" spans="1:57" x14ac:dyDescent="0.5">
      <c r="A100" s="19" t="s">
        <v>102</v>
      </c>
      <c r="B100" s="122"/>
      <c r="C100" s="122"/>
      <c r="D100" s="122"/>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v>952.48</v>
      </c>
      <c r="AF100" s="18">
        <v>23223.81</v>
      </c>
      <c r="AG100" s="18">
        <v>38245.11</v>
      </c>
      <c r="AH100" s="18">
        <v>83088.320000000007</v>
      </c>
      <c r="AI100" s="18">
        <v>112959.81</v>
      </c>
      <c r="AJ100" s="18">
        <v>4853938.18</v>
      </c>
      <c r="AK100" s="18">
        <v>205119.09</v>
      </c>
      <c r="AL100" s="18"/>
      <c r="AM100" s="18"/>
      <c r="AN100" s="18"/>
      <c r="AO100" s="18"/>
      <c r="AP100" s="18"/>
      <c r="AQ100" s="18"/>
      <c r="AR100" s="18"/>
      <c r="AS100" s="18"/>
      <c r="AT100" s="18"/>
      <c r="AU100" s="18"/>
      <c r="AV100" s="18"/>
      <c r="AW100" s="18"/>
      <c r="AX100" s="18"/>
      <c r="AY100" s="18"/>
      <c r="AZ100" s="18"/>
      <c r="BA100" s="18"/>
      <c r="BB100" s="64">
        <f t="shared" si="4"/>
        <v>5317526.8</v>
      </c>
      <c r="BE100" s="17"/>
    </row>
    <row r="101" spans="1:57" x14ac:dyDescent="0.5">
      <c r="A101" s="19" t="s">
        <v>103</v>
      </c>
      <c r="B101" s="122"/>
      <c r="C101" s="122"/>
      <c r="D101" s="122"/>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v>39213.050000000003</v>
      </c>
      <c r="AH101" s="18">
        <v>65191.98</v>
      </c>
      <c r="AI101" s="18">
        <v>79744.63</v>
      </c>
      <c r="AJ101" s="18">
        <v>280279.28999999998</v>
      </c>
      <c r="AK101" s="18">
        <v>5096568.29</v>
      </c>
      <c r="AL101" s="18">
        <v>118791.02</v>
      </c>
      <c r="AM101" s="18"/>
      <c r="AN101" s="18"/>
      <c r="AO101" s="18"/>
      <c r="AP101" s="18"/>
      <c r="AQ101" s="18"/>
      <c r="AR101" s="18"/>
      <c r="AS101" s="18"/>
      <c r="AT101" s="18"/>
      <c r="AU101" s="18"/>
      <c r="AV101" s="18"/>
      <c r="AW101" s="18"/>
      <c r="AX101" s="18"/>
      <c r="AY101" s="18"/>
      <c r="AZ101" s="18"/>
      <c r="BA101" s="18"/>
      <c r="BB101" s="64">
        <f t="shared" si="4"/>
        <v>5679788.2599999998</v>
      </c>
      <c r="BE101" s="17"/>
    </row>
    <row r="102" spans="1:57" x14ac:dyDescent="0.5">
      <c r="A102" s="19" t="s">
        <v>104</v>
      </c>
      <c r="B102" s="122"/>
      <c r="C102" s="122"/>
      <c r="D102" s="122"/>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v>1461.48</v>
      </c>
      <c r="AI102" s="18">
        <v>7861.1099999999988</v>
      </c>
      <c r="AJ102" s="18">
        <v>8540.93</v>
      </c>
      <c r="AK102" s="18">
        <v>92756.720000000088</v>
      </c>
      <c r="AL102" s="18">
        <v>4002710.2900000014</v>
      </c>
      <c r="AM102" s="18">
        <v>93591.959999999948</v>
      </c>
      <c r="AN102" s="18"/>
      <c r="AO102" s="18"/>
      <c r="AP102" s="18"/>
      <c r="AQ102" s="18"/>
      <c r="AR102" s="18"/>
      <c r="AS102" s="18"/>
      <c r="AT102" s="18"/>
      <c r="AU102" s="18"/>
      <c r="AV102" s="18"/>
      <c r="AW102" s="18"/>
      <c r="AX102" s="18"/>
      <c r="AY102" s="18"/>
      <c r="AZ102" s="18"/>
      <c r="BA102" s="18"/>
      <c r="BB102" s="64">
        <f t="shared" si="4"/>
        <v>4206922.4900000012</v>
      </c>
      <c r="BE102" s="22"/>
    </row>
    <row r="103" spans="1:57" x14ac:dyDescent="0.5">
      <c r="A103" s="19" t="s">
        <v>105</v>
      </c>
      <c r="B103" s="122"/>
      <c r="C103" s="122"/>
      <c r="D103" s="122"/>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v>4104.93</v>
      </c>
      <c r="AG103" s="18">
        <v>7707.27</v>
      </c>
      <c r="AH103" s="18">
        <v>21183.05</v>
      </c>
      <c r="AI103" s="18">
        <v>7905.86</v>
      </c>
      <c r="AJ103" s="18">
        <v>28021.05</v>
      </c>
      <c r="AK103" s="18">
        <v>55294.34</v>
      </c>
      <c r="AL103" s="18">
        <v>90628.49</v>
      </c>
      <c r="AM103" s="18">
        <v>4302807.63</v>
      </c>
      <c r="AN103" s="18">
        <v>97495.93</v>
      </c>
      <c r="AO103" s="18"/>
      <c r="AP103" s="18"/>
      <c r="AQ103" s="18"/>
      <c r="AR103" s="18"/>
      <c r="AS103" s="18"/>
      <c r="AT103" s="18"/>
      <c r="AU103" s="18"/>
      <c r="AV103" s="18"/>
      <c r="AW103" s="18"/>
      <c r="AX103" s="18"/>
      <c r="AY103" s="18"/>
      <c r="AZ103" s="18"/>
      <c r="BA103" s="18"/>
      <c r="BB103" s="64">
        <f t="shared" si="4"/>
        <v>4615148.55</v>
      </c>
      <c r="BE103" s="22"/>
    </row>
    <row r="104" spans="1:57" x14ac:dyDescent="0.5">
      <c r="A104" s="19" t="s">
        <v>106</v>
      </c>
      <c r="B104" s="122"/>
      <c r="C104" s="122"/>
      <c r="D104" s="122"/>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v>4344.26</v>
      </c>
      <c r="AI104" s="18">
        <v>18665.02</v>
      </c>
      <c r="AJ104" s="18">
        <v>20230.66</v>
      </c>
      <c r="AK104" s="18">
        <v>44689.81</v>
      </c>
      <c r="AL104" s="18">
        <v>59039.68</v>
      </c>
      <c r="AM104" s="18">
        <v>254234.43</v>
      </c>
      <c r="AN104" s="18">
        <v>3379667.75</v>
      </c>
      <c r="AO104" s="18">
        <v>125873.18</v>
      </c>
      <c r="AP104" s="18"/>
      <c r="AQ104" s="18"/>
      <c r="AR104" s="18"/>
      <c r="AS104" s="18"/>
      <c r="AT104" s="18"/>
      <c r="AU104" s="18"/>
      <c r="AV104" s="18"/>
      <c r="AW104" s="18"/>
      <c r="AX104" s="18"/>
      <c r="AY104" s="18"/>
      <c r="AZ104" s="18"/>
      <c r="BA104" s="18"/>
      <c r="BB104" s="64">
        <f t="shared" si="4"/>
        <v>3906744.79</v>
      </c>
      <c r="BE104" s="22"/>
    </row>
    <row r="105" spans="1:57" x14ac:dyDescent="0.5">
      <c r="A105" s="19" t="s">
        <v>107</v>
      </c>
      <c r="B105" s="122"/>
      <c r="C105" s="122"/>
      <c r="D105" s="122"/>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v>1070.92</v>
      </c>
      <c r="AI105" s="18">
        <v>1916.72</v>
      </c>
      <c r="AJ105" s="18">
        <v>5076.3499999999995</v>
      </c>
      <c r="AK105" s="18">
        <v>17238.010000000002</v>
      </c>
      <c r="AL105" s="18">
        <v>65718.48</v>
      </c>
      <c r="AM105" s="18">
        <v>73661.399999999994</v>
      </c>
      <c r="AN105" s="18">
        <v>104381.48000000001</v>
      </c>
      <c r="AO105" s="18">
        <v>3676090.5800000136</v>
      </c>
      <c r="AP105" s="18">
        <v>82991.810000000056</v>
      </c>
      <c r="AQ105" s="18"/>
      <c r="AR105" s="18"/>
      <c r="AS105" s="18"/>
      <c r="AT105" s="18"/>
      <c r="AU105" s="18"/>
      <c r="AV105" s="18"/>
      <c r="AW105" s="18"/>
      <c r="AX105" s="18"/>
      <c r="AY105" s="18"/>
      <c r="AZ105" s="18"/>
      <c r="BA105" s="18"/>
      <c r="BB105" s="64">
        <f t="shared" si="4"/>
        <v>4028145.7500000135</v>
      </c>
      <c r="BE105" s="22"/>
    </row>
    <row r="106" spans="1:57" x14ac:dyDescent="0.5">
      <c r="A106" s="19" t="s">
        <v>108</v>
      </c>
      <c r="B106" s="122"/>
      <c r="C106" s="122"/>
      <c r="D106" s="122"/>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v>517.6</v>
      </c>
      <c r="AI106" s="18">
        <v>1236.98</v>
      </c>
      <c r="AJ106" s="18">
        <v>2380.15</v>
      </c>
      <c r="AK106" s="18">
        <v>4344.26</v>
      </c>
      <c r="AL106" s="18">
        <v>3809.44</v>
      </c>
      <c r="AM106" s="18">
        <v>6188.5</v>
      </c>
      <c r="AN106" s="18">
        <v>13105.69</v>
      </c>
      <c r="AO106" s="18">
        <v>145597.32</v>
      </c>
      <c r="AP106" s="18">
        <v>2729478.07</v>
      </c>
      <c r="AQ106" s="18">
        <v>99556.24</v>
      </c>
      <c r="AR106" s="18"/>
      <c r="AS106" s="18"/>
      <c r="AT106" s="18"/>
      <c r="AU106" s="18"/>
      <c r="AV106" s="18"/>
      <c r="AW106" s="18"/>
      <c r="AX106" s="18"/>
      <c r="AY106" s="18"/>
      <c r="AZ106" s="18"/>
      <c r="BA106" s="18"/>
      <c r="BB106" s="64">
        <f t="shared" si="4"/>
        <v>3006214.25</v>
      </c>
      <c r="BE106" s="22"/>
    </row>
    <row r="107" spans="1:57" x14ac:dyDescent="0.5">
      <c r="A107" s="19" t="s">
        <v>109</v>
      </c>
      <c r="B107" s="122"/>
      <c r="C107" s="122"/>
      <c r="D107" s="122"/>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v>822.27</v>
      </c>
      <c r="AN107" s="18">
        <v>3750.82</v>
      </c>
      <c r="AO107" s="18">
        <v>32701.13</v>
      </c>
      <c r="AP107" s="18">
        <v>73098.259999999995</v>
      </c>
      <c r="AQ107" s="18">
        <v>3216119.2</v>
      </c>
      <c r="AR107" s="18">
        <v>133995.98000000001</v>
      </c>
      <c r="AS107" s="18"/>
      <c r="AT107" s="18"/>
      <c r="AU107" s="18"/>
      <c r="AV107" s="18"/>
      <c r="AW107" s="18"/>
      <c r="AX107" s="18"/>
      <c r="AY107" s="18"/>
      <c r="AZ107" s="18"/>
      <c r="BA107" s="18"/>
      <c r="BB107" s="64">
        <f t="shared" si="4"/>
        <v>3460487.66</v>
      </c>
      <c r="BE107" s="22"/>
    </row>
    <row r="108" spans="1:57" x14ac:dyDescent="0.5">
      <c r="A108" s="19" t="s">
        <v>110</v>
      </c>
      <c r="B108" s="122"/>
      <c r="C108" s="122"/>
      <c r="D108" s="122"/>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v>45917.96</v>
      </c>
      <c r="AR108" s="18">
        <v>3767323.32</v>
      </c>
      <c r="AS108" s="18">
        <v>94565.97</v>
      </c>
      <c r="AT108" s="18"/>
      <c r="AU108" s="18"/>
      <c r="AV108" s="18"/>
      <c r="AW108" s="18"/>
      <c r="AX108" s="18"/>
      <c r="AY108" s="18"/>
      <c r="AZ108" s="18"/>
      <c r="BA108" s="18"/>
      <c r="BB108" s="64">
        <f t="shared" si="4"/>
        <v>3907807.25</v>
      </c>
      <c r="BE108" s="22"/>
    </row>
    <row r="109" spans="1:57" x14ac:dyDescent="0.5">
      <c r="A109" s="19" t="s">
        <v>111</v>
      </c>
      <c r="B109" s="122"/>
      <c r="C109" s="122"/>
      <c r="D109" s="122"/>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v>29681.409999999974</v>
      </c>
      <c r="AS109" s="18">
        <v>3860600.2099999934</v>
      </c>
      <c r="AT109" s="18">
        <v>193088.31999999989</v>
      </c>
      <c r="AU109" s="18"/>
      <c r="AV109" s="18"/>
      <c r="AW109" s="18"/>
      <c r="AX109" s="18"/>
      <c r="AY109" s="18"/>
      <c r="AZ109" s="18"/>
      <c r="BA109" s="18"/>
      <c r="BB109" s="64">
        <f t="shared" si="4"/>
        <v>4083369.9399999934</v>
      </c>
      <c r="BE109" s="22"/>
    </row>
    <row r="110" spans="1:57" x14ac:dyDescent="0.5">
      <c r="A110" s="19" t="s">
        <v>112</v>
      </c>
      <c r="B110" s="122"/>
      <c r="C110" s="122"/>
      <c r="D110" s="122"/>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v>378.6</v>
      </c>
      <c r="AR110" s="18">
        <v>424.98</v>
      </c>
      <c r="AS110" s="18">
        <v>33420.010000000031</v>
      </c>
      <c r="AT110" s="18">
        <v>5478103.4400000079</v>
      </c>
      <c r="AU110" s="18">
        <v>155135.50000000017</v>
      </c>
      <c r="AV110" s="18"/>
      <c r="AW110" s="18"/>
      <c r="AX110" s="18"/>
      <c r="AY110" s="18"/>
      <c r="AZ110" s="18"/>
      <c r="BA110" s="18"/>
      <c r="BB110" s="64">
        <f t="shared" si="4"/>
        <v>5667462.5300000077</v>
      </c>
      <c r="BE110" s="22"/>
    </row>
    <row r="111" spans="1:57" x14ac:dyDescent="0.5">
      <c r="A111" s="19" t="s">
        <v>113</v>
      </c>
      <c r="B111" s="122"/>
      <c r="C111" s="122"/>
      <c r="D111" s="122"/>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v>-60.279999999999745</v>
      </c>
      <c r="AT111" s="18">
        <v>56167.130000000056</v>
      </c>
      <c r="AU111" s="18">
        <v>3739269.0299999965</v>
      </c>
      <c r="AV111" s="18">
        <v>89714.270000000019</v>
      </c>
      <c r="AW111" s="18"/>
      <c r="AX111" s="18"/>
      <c r="AY111" s="18"/>
      <c r="AZ111" s="18"/>
      <c r="BA111" s="18"/>
      <c r="BB111" s="64">
        <f t="shared" si="4"/>
        <v>3885090.1499999966</v>
      </c>
      <c r="BE111" s="22"/>
    </row>
    <row r="112" spans="1:57" x14ac:dyDescent="0.5">
      <c r="A112" s="19" t="s">
        <v>114</v>
      </c>
      <c r="B112" s="122"/>
      <c r="C112" s="122"/>
      <c r="D112" s="122"/>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v>35251.969999999972</v>
      </c>
      <c r="AV112" s="18">
        <v>3507331.3699999992</v>
      </c>
      <c r="AW112" s="18">
        <v>193751.45000000045</v>
      </c>
      <c r="AX112" s="18"/>
      <c r="AY112" s="18"/>
      <c r="AZ112" s="18"/>
      <c r="BA112" s="18"/>
      <c r="BB112" s="64">
        <f t="shared" si="4"/>
        <v>3736334.7899999996</v>
      </c>
      <c r="BE112" s="22"/>
    </row>
    <row r="113" spans="1:57" x14ac:dyDescent="0.5">
      <c r="A113" s="19" t="s">
        <v>115</v>
      </c>
      <c r="B113" s="122"/>
      <c r="C113" s="122"/>
      <c r="D113" s="122"/>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v>43030.760000000031</v>
      </c>
      <c r="AW113" s="18">
        <v>3351899.8100000052</v>
      </c>
      <c r="AX113" s="18">
        <v>79830.339999999953</v>
      </c>
      <c r="AY113" s="18"/>
      <c r="AZ113" s="18"/>
      <c r="BA113" s="18"/>
      <c r="BB113" s="64">
        <f t="shared" si="4"/>
        <v>3474760.9100000053</v>
      </c>
      <c r="BE113" s="22"/>
    </row>
    <row r="114" spans="1:57" x14ac:dyDescent="0.5">
      <c r="A114" s="19" t="s">
        <v>116</v>
      </c>
      <c r="B114" s="122"/>
      <c r="C114" s="122"/>
      <c r="D114" s="122"/>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v>41223.12999999999</v>
      </c>
      <c r="AX114" s="18">
        <v>3601916.4399999925</v>
      </c>
      <c r="AY114" s="18">
        <v>141146.56999999992</v>
      </c>
      <c r="AZ114" s="18"/>
      <c r="BA114" s="18"/>
      <c r="BB114" s="64">
        <f t="shared" si="4"/>
        <v>3784286.1399999922</v>
      </c>
      <c r="BE114" s="22"/>
    </row>
    <row r="115" spans="1:57" x14ac:dyDescent="0.5">
      <c r="A115" s="19" t="s">
        <v>117</v>
      </c>
      <c r="B115" s="122"/>
      <c r="C115" s="122"/>
      <c r="D115" s="122"/>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v>47521.989999999932</v>
      </c>
      <c r="AY115" s="18">
        <v>4805539.1799999857</v>
      </c>
      <c r="AZ115" s="18">
        <v>119487.31999999992</v>
      </c>
      <c r="BA115" s="18"/>
      <c r="BB115" s="64">
        <f t="shared" si="4"/>
        <v>4972548.4899999863</v>
      </c>
      <c r="BE115" s="22"/>
    </row>
    <row r="116" spans="1:57" x14ac:dyDescent="0.5">
      <c r="A116" s="19" t="s">
        <v>118</v>
      </c>
      <c r="B116" s="122"/>
      <c r="C116" s="122"/>
      <c r="D116" s="122"/>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v>72890.299999999916</v>
      </c>
      <c r="AZ116" s="18">
        <v>3581039.0599999912</v>
      </c>
      <c r="BA116" s="18"/>
      <c r="BB116" s="64">
        <f t="shared" si="4"/>
        <v>3653929.359999991</v>
      </c>
      <c r="BE116" s="22"/>
    </row>
    <row r="117" spans="1:57" x14ac:dyDescent="0.5">
      <c r="A117" s="19" t="s">
        <v>119</v>
      </c>
      <c r="B117" s="122"/>
      <c r="C117" s="122"/>
      <c r="D117" s="122"/>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v>4601.9399999999996</v>
      </c>
      <c r="AZ117" s="18">
        <v>33808.030000000013</v>
      </c>
      <c r="BA117" s="18"/>
      <c r="BB117" s="64">
        <f t="shared" si="4"/>
        <v>38409.970000000016</v>
      </c>
      <c r="BE117" s="22"/>
    </row>
    <row r="118" spans="1:57" x14ac:dyDescent="0.5">
      <c r="A118" s="19" t="s">
        <v>120</v>
      </c>
      <c r="B118" s="122"/>
      <c r="C118" s="122"/>
      <c r="D118" s="122"/>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v>12846.029999999999</v>
      </c>
      <c r="BA118" s="18"/>
      <c r="BB118" s="64">
        <f t="shared" si="4"/>
        <v>12846.029999999999</v>
      </c>
      <c r="BE118" s="22"/>
    </row>
    <row r="119" spans="1:57" x14ac:dyDescent="0.5">
      <c r="A119" s="19" t="s">
        <v>121</v>
      </c>
      <c r="B119" s="122"/>
      <c r="C119" s="122"/>
      <c r="D119" s="122"/>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64">
        <f t="shared" si="4"/>
        <v>0</v>
      </c>
      <c r="BE119" s="22"/>
    </row>
    <row r="120" spans="1:57" x14ac:dyDescent="0.5">
      <c r="A120" s="19" t="s">
        <v>122</v>
      </c>
      <c r="B120" s="122"/>
      <c r="C120" s="122"/>
      <c r="D120" s="122"/>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64">
        <f t="shared" si="4"/>
        <v>0</v>
      </c>
      <c r="BE120" s="22"/>
    </row>
    <row r="121" spans="1:57" x14ac:dyDescent="0.5">
      <c r="A121" s="19" t="s">
        <v>123</v>
      </c>
      <c r="B121" s="122"/>
      <c r="C121" s="122"/>
      <c r="D121" s="122"/>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64">
        <f t="shared" si="4"/>
        <v>0</v>
      </c>
      <c r="BE121" s="22"/>
    </row>
    <row r="122" spans="1:57" x14ac:dyDescent="0.5">
      <c r="A122" s="19" t="s">
        <v>124</v>
      </c>
      <c r="B122" s="122"/>
      <c r="C122" s="122"/>
      <c r="D122" s="122"/>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64">
        <f t="shared" si="4"/>
        <v>0</v>
      </c>
      <c r="BE122" s="22"/>
    </row>
    <row r="123" spans="1:57" x14ac:dyDescent="0.5">
      <c r="A123" s="19" t="s">
        <v>125</v>
      </c>
      <c r="B123" s="122"/>
      <c r="C123" s="122"/>
      <c r="D123" s="122"/>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64">
        <f t="shared" si="4"/>
        <v>0</v>
      </c>
      <c r="BE123" s="22"/>
    </row>
    <row r="124" spans="1:57" x14ac:dyDescent="0.5">
      <c r="A124" s="19" t="s">
        <v>126</v>
      </c>
      <c r="B124" s="122"/>
      <c r="C124" s="122"/>
      <c r="D124" s="122"/>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64">
        <f t="shared" si="4"/>
        <v>0</v>
      </c>
      <c r="BE124" s="22"/>
    </row>
    <row r="125" spans="1:57" x14ac:dyDescent="0.5">
      <c r="A125" s="19" t="s">
        <v>127</v>
      </c>
      <c r="B125" s="122"/>
      <c r="C125" s="122"/>
      <c r="D125" s="122"/>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64">
        <f t="shared" si="4"/>
        <v>0</v>
      </c>
      <c r="BE125" s="22"/>
    </row>
    <row r="126" spans="1:57" x14ac:dyDescent="0.5">
      <c r="A126" s="19" t="s">
        <v>128</v>
      </c>
      <c r="B126" s="122"/>
      <c r="C126" s="122"/>
      <c r="D126" s="122"/>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64">
        <f t="shared" si="4"/>
        <v>0</v>
      </c>
      <c r="BE126" s="22"/>
    </row>
    <row r="127" spans="1:57" x14ac:dyDescent="0.5">
      <c r="A127" s="19" t="s">
        <v>129</v>
      </c>
      <c r="B127" s="122"/>
      <c r="C127" s="122"/>
      <c r="D127" s="122"/>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64">
        <f t="shared" si="4"/>
        <v>0</v>
      </c>
      <c r="BE127" s="22"/>
    </row>
    <row r="128" spans="1:57" ht="18.5" thickBot="1" x14ac:dyDescent="0.55000000000000004">
      <c r="A128" s="19"/>
      <c r="B128" s="122"/>
      <c r="C128" s="122"/>
      <c r="D128" s="122"/>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64"/>
      <c r="BE128" s="22"/>
    </row>
    <row r="129" spans="1:57" s="16" customFormat="1" ht="20" thickBot="1" x14ac:dyDescent="0.65">
      <c r="A129" s="69" t="s">
        <v>252</v>
      </c>
      <c r="B129" s="123"/>
      <c r="C129" s="123"/>
      <c r="D129" s="123"/>
      <c r="E129" s="69">
        <f t="shared" ref="E129:P129" si="5">SUM(E68:E85)</f>
        <v>3708857.2500000005</v>
      </c>
      <c r="F129" s="69">
        <f t="shared" si="5"/>
        <v>4148441.19</v>
      </c>
      <c r="G129" s="69">
        <f t="shared" si="5"/>
        <v>2463662.8600000003</v>
      </c>
      <c r="H129" s="69">
        <f t="shared" si="5"/>
        <v>3948030.96</v>
      </c>
      <c r="I129" s="69">
        <f t="shared" si="5"/>
        <v>5731334.1800000006</v>
      </c>
      <c r="J129" s="69">
        <f t="shared" si="5"/>
        <v>5731791.8199999994</v>
      </c>
      <c r="K129" s="69">
        <f t="shared" si="5"/>
        <v>5807806.3399999989</v>
      </c>
      <c r="L129" s="69">
        <f t="shared" si="5"/>
        <v>5578492.5300000003</v>
      </c>
      <c r="M129" s="69">
        <f t="shared" si="5"/>
        <v>5243915.3599999985</v>
      </c>
      <c r="N129" s="69">
        <f t="shared" si="5"/>
        <v>3927861.87</v>
      </c>
      <c r="O129" s="69">
        <f t="shared" si="5"/>
        <v>4629860.9700000007</v>
      </c>
      <c r="P129" s="194">
        <f t="shared" si="5"/>
        <v>6713766.1799999997</v>
      </c>
      <c r="Q129" s="69">
        <f>SUM(Q68:Q91)</f>
        <v>5358438.1400000006</v>
      </c>
      <c r="R129" s="69">
        <f>SUM(R68:R91)</f>
        <v>6098998.298243491</v>
      </c>
      <c r="S129" s="69">
        <f>SUM(S68:S91)</f>
        <v>5626585.9511450399</v>
      </c>
      <c r="T129" s="69">
        <f>SUM(T68:T91)</f>
        <v>6960629.0762445768</v>
      </c>
      <c r="U129" s="69">
        <f t="shared" ref="U129:AJ129" si="6">SUM(U68:U106)</f>
        <v>6280716.6243668925</v>
      </c>
      <c r="V129" s="69">
        <f t="shared" si="6"/>
        <v>7005753.2499999991</v>
      </c>
      <c r="W129" s="69">
        <f t="shared" si="6"/>
        <v>5055371.46</v>
      </c>
      <c r="X129" s="69">
        <f t="shared" si="6"/>
        <v>5695566.0600000005</v>
      </c>
      <c r="Y129" s="69">
        <f t="shared" si="6"/>
        <v>4538294.51</v>
      </c>
      <c r="Z129" s="69">
        <f t="shared" si="6"/>
        <v>5911766.8799999999</v>
      </c>
      <c r="AA129" s="69">
        <f t="shared" si="6"/>
        <v>7295258.8899999997</v>
      </c>
      <c r="AB129" s="69">
        <f t="shared" si="6"/>
        <v>6317227.9100000001</v>
      </c>
      <c r="AC129" s="69">
        <f t="shared" si="6"/>
        <v>4295331.7500000009</v>
      </c>
      <c r="AD129" s="69">
        <f t="shared" si="6"/>
        <v>5878385.9499999993</v>
      </c>
      <c r="AE129" s="69">
        <f t="shared" si="6"/>
        <v>5220279.1499999994</v>
      </c>
      <c r="AF129" s="69">
        <f t="shared" si="6"/>
        <v>3780081.3200000003</v>
      </c>
      <c r="AG129" s="69">
        <f t="shared" si="6"/>
        <v>6195650.5999999996</v>
      </c>
      <c r="AH129" s="69">
        <f t="shared" si="6"/>
        <v>7207374.5000000009</v>
      </c>
      <c r="AI129" s="69">
        <f t="shared" si="6"/>
        <v>4844278.3499999996</v>
      </c>
      <c r="AJ129" s="69">
        <f t="shared" si="6"/>
        <v>5314103.3699999992</v>
      </c>
      <c r="AK129" s="69">
        <f t="shared" ref="AK129:AP129" si="7">SUM(AK68:AK107)</f>
        <v>5516010.5199999986</v>
      </c>
      <c r="AL129" s="69">
        <f t="shared" si="7"/>
        <v>4340697.4000000022</v>
      </c>
      <c r="AM129" s="69">
        <f t="shared" si="7"/>
        <v>4731306.1899999995</v>
      </c>
      <c r="AN129" s="69">
        <f t="shared" si="7"/>
        <v>3598401.67</v>
      </c>
      <c r="AO129" s="69">
        <f t="shared" si="7"/>
        <v>3980262.2100000135</v>
      </c>
      <c r="AP129" s="69">
        <f t="shared" si="7"/>
        <v>2885568.1399999997</v>
      </c>
      <c r="AQ129" s="69">
        <f>SUM(AQ68:AQ110)</f>
        <v>3361972.0000000005</v>
      </c>
      <c r="AR129" s="69">
        <f>SUM(AR68:AR110)</f>
        <v>3931425.69</v>
      </c>
      <c r="AS129" s="69">
        <f>SUM(AS68:AS111)</f>
        <v>3988525.9099999941</v>
      </c>
      <c r="AT129" s="69">
        <f>SUM(AT68:AT111)</f>
        <v>5727358.890000008</v>
      </c>
      <c r="AU129" s="69">
        <f>SUM(AU68:AU112)</f>
        <v>3929656.4999999963</v>
      </c>
      <c r="AV129" s="69">
        <f>SUM(AV68:AV113)</f>
        <v>3640076.3999999994</v>
      </c>
      <c r="AW129" s="69">
        <f>SUM(AW68:AW114)</f>
        <v>3586874.3900000057</v>
      </c>
      <c r="AX129" s="69">
        <f>SUM(AX68:AX115)</f>
        <v>3729268.7699999921</v>
      </c>
      <c r="AY129" s="69">
        <f>SUM(AY68:AY117)</f>
        <v>5024177.9899999863</v>
      </c>
      <c r="AZ129" s="69">
        <f>SUM(AZ68:AZ118)</f>
        <v>3747180.4399999906</v>
      </c>
      <c r="BA129" s="70"/>
      <c r="BB129" s="69">
        <f>SUM(BB68:BB127)</f>
        <v>242994316.34</v>
      </c>
      <c r="BE129" s="71"/>
    </row>
    <row r="131" spans="1:57" x14ac:dyDescent="0.5">
      <c r="E131" s="236">
        <f>E64-E129</f>
        <v>-343227.69000000041</v>
      </c>
      <c r="F131" s="236">
        <f t="shared" ref="F131:AZ131" si="8">F64-F129</f>
        <v>-1719088.3000000003</v>
      </c>
      <c r="G131" s="236">
        <f t="shared" si="8"/>
        <v>1662122.0699999998</v>
      </c>
      <c r="H131" s="236">
        <f t="shared" si="8"/>
        <v>1769880.9399999995</v>
      </c>
      <c r="I131" s="236">
        <f t="shared" si="8"/>
        <v>268348.58999999985</v>
      </c>
      <c r="J131" s="236">
        <f t="shared" si="8"/>
        <v>228866.85000000056</v>
      </c>
      <c r="K131" s="236">
        <f t="shared" si="8"/>
        <v>-627712.90999999922</v>
      </c>
      <c r="L131" s="236">
        <f t="shared" si="8"/>
        <v>-482682.95000000019</v>
      </c>
      <c r="M131" s="236">
        <f t="shared" si="8"/>
        <v>-971916.57999999914</v>
      </c>
      <c r="N131" s="236">
        <f t="shared" si="8"/>
        <v>678027.66000000108</v>
      </c>
      <c r="O131" s="236">
        <f t="shared" si="8"/>
        <v>2212250.2399999974</v>
      </c>
      <c r="P131" s="236">
        <f t="shared" si="8"/>
        <v>-1022357.1200000001</v>
      </c>
      <c r="Q131" s="236">
        <f t="shared" si="8"/>
        <v>426967.78999999911</v>
      </c>
      <c r="R131" s="236">
        <f t="shared" si="8"/>
        <v>-210467.49060444068</v>
      </c>
      <c r="S131" s="236">
        <f t="shared" si="8"/>
        <v>964166.75469482318</v>
      </c>
      <c r="T131" s="236">
        <f t="shared" si="8"/>
        <v>-409152.9519468043</v>
      </c>
      <c r="U131" s="236">
        <f t="shared" si="8"/>
        <v>242145.06563310698</v>
      </c>
      <c r="V131" s="236">
        <f t="shared" si="8"/>
        <v>-1119285.7199999988</v>
      </c>
      <c r="W131" s="236">
        <f t="shared" si="8"/>
        <v>378281.10000000056</v>
      </c>
      <c r="X131" s="236">
        <f t="shared" si="8"/>
        <v>-871207.16700000037</v>
      </c>
      <c r="Y131" s="236">
        <f t="shared" si="8"/>
        <v>1529722.8100000005</v>
      </c>
      <c r="Z131" s="236">
        <f t="shared" si="8"/>
        <v>994857.03000000026</v>
      </c>
      <c r="AA131" s="236">
        <f t="shared" si="8"/>
        <v>-555230.3599999994</v>
      </c>
      <c r="AB131" s="236">
        <f t="shared" si="8"/>
        <v>-1035359.5099999998</v>
      </c>
      <c r="AC131" s="236">
        <f t="shared" si="8"/>
        <v>953278.77999999933</v>
      </c>
      <c r="AD131" s="236">
        <f t="shared" si="8"/>
        <v>-1136333.0399999982</v>
      </c>
      <c r="AE131" s="236">
        <f t="shared" si="8"/>
        <v>-726613.28000000026</v>
      </c>
      <c r="AF131" s="236">
        <f t="shared" si="8"/>
        <v>2240934.709999999</v>
      </c>
      <c r="AG131" s="236">
        <f t="shared" si="8"/>
        <v>1054839.8999999994</v>
      </c>
      <c r="AH131" s="236">
        <f t="shared" si="8"/>
        <v>-63071.198652138002</v>
      </c>
      <c r="AI131" s="236">
        <f t="shared" si="8"/>
        <v>285969.82871900965</v>
      </c>
      <c r="AJ131" s="236">
        <f t="shared" si="8"/>
        <v>-739900.33651795611</v>
      </c>
      <c r="AK131" s="236">
        <f t="shared" si="8"/>
        <v>-1600441.7767893751</v>
      </c>
      <c r="AL131" s="236">
        <f t="shared" si="8"/>
        <v>999965.23842771165</v>
      </c>
      <c r="AM131" s="236">
        <f t="shared" si="8"/>
        <v>-633319.7468761527</v>
      </c>
      <c r="AN131" s="236">
        <f t="shared" si="8"/>
        <v>370561.21706108656</v>
      </c>
      <c r="AO131" s="236">
        <f t="shared" si="8"/>
        <v>-936594.69049831759</v>
      </c>
      <c r="AP131" s="236">
        <f t="shared" si="8"/>
        <v>333789.53000000026</v>
      </c>
      <c r="AQ131" s="236">
        <f t="shared" si="8"/>
        <v>684956.77210974693</v>
      </c>
      <c r="AR131" s="236">
        <f t="shared" si="8"/>
        <v>60195.304251799826</v>
      </c>
      <c r="AS131" s="236">
        <f t="shared" si="8"/>
        <v>595509.58571005007</v>
      </c>
      <c r="AT131" s="236">
        <f t="shared" si="8"/>
        <v>-617957.92993366439</v>
      </c>
      <c r="AU131" s="236">
        <f t="shared" si="8"/>
        <v>-353286.70238122251</v>
      </c>
      <c r="AV131" s="236">
        <f t="shared" si="8"/>
        <v>-139920.74111354211</v>
      </c>
      <c r="AW131" s="236">
        <f t="shared" si="8"/>
        <v>68496.813094785903</v>
      </c>
      <c r="AX131" s="236">
        <f t="shared" si="8"/>
        <v>1312475.5219024261</v>
      </c>
      <c r="AY131" s="236">
        <f t="shared" si="8"/>
        <v>-976683.23253790662</v>
      </c>
      <c r="AZ131" s="236">
        <f t="shared" si="8"/>
        <v>-730867.04836652707</v>
      </c>
    </row>
    <row r="132" spans="1:57" ht="19.5" x14ac:dyDescent="0.6">
      <c r="A132" s="72"/>
      <c r="B132" s="72"/>
      <c r="C132" s="72"/>
      <c r="D132" s="72"/>
    </row>
    <row r="133" spans="1:57" x14ac:dyDescent="0.5">
      <c r="A133" s="68"/>
      <c r="B133" s="68"/>
      <c r="C133" s="68"/>
      <c r="D133" s="68"/>
    </row>
  </sheetData>
  <pageMargins left="0.21" right="0.21" top="0.75" bottom="0.75" header="0.3" footer="0.3"/>
  <pageSetup paperSize="17" scale="10" fitToWidth="4" orientation="landscape" r:id="rId1"/>
  <headerFooter>
    <oddHeader>&amp;RDRAFT v1</oddHeader>
    <oddFooter>&amp;L&amp;Z&amp;F&amp;A&amp;D&amp;T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8"/>
  <sheetViews>
    <sheetView zoomScale="70" zoomScaleNormal="70" workbookViewId="0">
      <pane xSplit="1" ySplit="3" topLeftCell="B4" activePane="bottomRight" state="frozen"/>
      <selection pane="topRight" activeCell="B1" sqref="B1"/>
      <selection pane="bottomLeft" activeCell="A4" sqref="A4"/>
      <selection pane="bottomRight" activeCell="Q5" sqref="Q5"/>
    </sheetView>
  </sheetViews>
  <sheetFormatPr defaultColWidth="9.1796875" defaultRowHeight="14.5" x14ac:dyDescent="0.35"/>
  <cols>
    <col min="1" max="1" width="30" style="76" customWidth="1"/>
    <col min="2" max="2" width="11.26953125" style="76" customWidth="1"/>
    <col min="3" max="12" width="22.1796875" style="9" customWidth="1"/>
    <col min="13" max="13" width="2.81640625" style="9" customWidth="1"/>
    <col min="14" max="14" width="22.1796875" style="9" customWidth="1"/>
    <col min="15" max="15" width="2.81640625" style="14" customWidth="1"/>
    <col min="16" max="19" width="22.1796875" style="9" customWidth="1"/>
    <col min="20" max="16384" width="9.1796875" style="9"/>
  </cols>
  <sheetData>
    <row r="1" spans="1:19" s="94" customFormat="1" ht="29.5" thickBot="1" x14ac:dyDescent="0.4">
      <c r="A1" s="92" t="s">
        <v>181</v>
      </c>
      <c r="B1" s="93"/>
      <c r="C1" s="94" t="s">
        <v>23</v>
      </c>
      <c r="D1" s="94" t="s">
        <v>27</v>
      </c>
      <c r="E1" s="94" t="s">
        <v>274</v>
      </c>
      <c r="F1" s="94" t="s">
        <v>170</v>
      </c>
      <c r="G1" s="94" t="s">
        <v>275</v>
      </c>
      <c r="H1" s="94" t="s">
        <v>183</v>
      </c>
      <c r="I1" s="94" t="s">
        <v>173</v>
      </c>
      <c r="J1" s="94" t="s">
        <v>277</v>
      </c>
      <c r="K1" s="94" t="s">
        <v>278</v>
      </c>
      <c r="L1" s="94" t="s">
        <v>175</v>
      </c>
      <c r="N1" s="125" t="s">
        <v>282</v>
      </c>
      <c r="O1" s="51"/>
      <c r="P1" s="94" t="s">
        <v>289</v>
      </c>
      <c r="Q1" s="94" t="s">
        <v>291</v>
      </c>
      <c r="R1" s="94" t="s">
        <v>293</v>
      </c>
      <c r="S1" s="125" t="s">
        <v>294</v>
      </c>
    </row>
    <row r="2" spans="1:19" s="106" customFormat="1" ht="29.5" thickBot="1" x14ac:dyDescent="0.4">
      <c r="A2" s="102"/>
      <c r="B2" s="102"/>
      <c r="C2" s="330" t="s">
        <v>272</v>
      </c>
      <c r="D2" s="332"/>
      <c r="E2" s="331"/>
      <c r="F2" s="330" t="s">
        <v>273</v>
      </c>
      <c r="G2" s="331"/>
      <c r="H2" s="330" t="s">
        <v>271</v>
      </c>
      <c r="I2" s="332"/>
      <c r="J2" s="331"/>
      <c r="K2" s="330" t="s">
        <v>281</v>
      </c>
      <c r="L2" s="331"/>
      <c r="M2" s="104"/>
      <c r="N2" s="103" t="s">
        <v>287</v>
      </c>
      <c r="O2" s="105"/>
      <c r="P2" s="333" t="s">
        <v>292</v>
      </c>
      <c r="Q2" s="334"/>
      <c r="R2" s="334"/>
      <c r="S2" s="335"/>
    </row>
    <row r="3" spans="1:19" s="106" customFormat="1" ht="44" thickBot="1" x14ac:dyDescent="0.4">
      <c r="A3" s="107"/>
      <c r="B3" s="107"/>
      <c r="C3" s="79" t="s">
        <v>263</v>
      </c>
      <c r="D3" s="114" t="s">
        <v>264</v>
      </c>
      <c r="E3" s="78" t="s">
        <v>265</v>
      </c>
      <c r="F3" s="115" t="s">
        <v>261</v>
      </c>
      <c r="G3" s="116" t="s">
        <v>266</v>
      </c>
      <c r="H3" s="115" t="s">
        <v>262</v>
      </c>
      <c r="I3" s="117" t="s">
        <v>269</v>
      </c>
      <c r="J3" s="117" t="s">
        <v>270</v>
      </c>
      <c r="K3" s="124" t="s">
        <v>280</v>
      </c>
      <c r="L3" s="124" t="s">
        <v>283</v>
      </c>
      <c r="M3" s="80"/>
      <c r="N3" s="124" t="s">
        <v>279</v>
      </c>
      <c r="O3" s="105"/>
      <c r="P3" s="126" t="s">
        <v>288</v>
      </c>
      <c r="Q3" s="127" t="s">
        <v>270</v>
      </c>
      <c r="R3" s="127" t="s">
        <v>280</v>
      </c>
      <c r="S3" s="132" t="s">
        <v>279</v>
      </c>
    </row>
    <row r="4" spans="1:19" s="86" customFormat="1" x14ac:dyDescent="0.35">
      <c r="A4" s="81"/>
      <c r="B4" s="81"/>
      <c r="C4" s="82"/>
      <c r="D4" s="83"/>
      <c r="E4" s="84"/>
      <c r="F4" s="82"/>
      <c r="G4" s="84"/>
      <c r="H4" s="82"/>
      <c r="I4" s="83"/>
      <c r="J4" s="83"/>
      <c r="K4" s="85"/>
      <c r="L4" s="85"/>
      <c r="M4" s="83"/>
      <c r="N4" s="85"/>
      <c r="O4" s="87"/>
      <c r="P4" s="82"/>
      <c r="Q4" s="83"/>
      <c r="R4" s="83"/>
      <c r="S4" s="84"/>
    </row>
    <row r="5" spans="1:19" x14ac:dyDescent="0.35">
      <c r="A5" s="11" t="s">
        <v>54</v>
      </c>
      <c r="B5" s="12" t="s">
        <v>4</v>
      </c>
      <c r="C5" s="73">
        <v>63111319.420000002</v>
      </c>
      <c r="D5" s="74">
        <v>5.0680000000000003E-2</v>
      </c>
      <c r="E5" s="89">
        <f>+C5*D5</f>
        <v>3198481.6682056002</v>
      </c>
      <c r="F5" s="73">
        <v>8007930.2643221999</v>
      </c>
      <c r="G5" s="89">
        <f t="shared" ref="G5:G52" si="0">F5-E5</f>
        <v>4809448.5961165996</v>
      </c>
      <c r="H5" s="73">
        <v>6590724.75</v>
      </c>
      <c r="I5" s="88">
        <v>-3562600.04</v>
      </c>
      <c r="J5" s="88">
        <f t="shared" ref="J5:J52" si="1">SUM(H5:I5)</f>
        <v>3028124.71</v>
      </c>
      <c r="K5" s="90">
        <f t="shared" ref="K5:K52" si="2">J5-G5</f>
        <v>-1781323.8861165997</v>
      </c>
      <c r="L5" s="90">
        <v>183767.74388340395</v>
      </c>
      <c r="M5" s="88"/>
      <c r="N5" s="90">
        <f>G5+K4+L5</f>
        <v>4993216.3400000036</v>
      </c>
      <c r="P5" s="128">
        <f t="array" ref="P5:P52">TRANSPOSE('Cl B Non-RPP GA'!E64:AZ64)</f>
        <v>3365629.56</v>
      </c>
      <c r="Q5" s="129">
        <f t="shared" ref="Q5:Q52" si="3">H5-P5</f>
        <v>3225095.19</v>
      </c>
      <c r="R5" s="129">
        <f>Q5-G5</f>
        <v>-1584353.4061165997</v>
      </c>
      <c r="S5" s="191">
        <f>G5+R4</f>
        <v>4809448.5961165996</v>
      </c>
    </row>
    <row r="6" spans="1:19" x14ac:dyDescent="0.35">
      <c r="A6" s="11" t="s">
        <v>55</v>
      </c>
      <c r="B6" s="12" t="s">
        <v>4</v>
      </c>
      <c r="C6" s="73">
        <v>65454680.990000077</v>
      </c>
      <c r="D6" s="74">
        <v>6.9809999999999997E-2</v>
      </c>
      <c r="E6" s="89">
        <f t="shared" ref="E6:E51" si="4">+C6*D6</f>
        <v>4569391.2799119055</v>
      </c>
      <c r="F6" s="73">
        <v>4947232.8870200003</v>
      </c>
      <c r="G6" s="89">
        <f t="shared" si="0"/>
        <v>377841.60710809473</v>
      </c>
      <c r="H6" s="73">
        <v>4788507.92</v>
      </c>
      <c r="I6" s="88">
        <v>-4292087.4000000004</v>
      </c>
      <c r="J6" s="88">
        <f t="shared" si="1"/>
        <v>496420.51999999955</v>
      </c>
      <c r="K6" s="90">
        <f t="shared" si="2"/>
        <v>118578.91289190482</v>
      </c>
      <c r="L6" s="90">
        <v>3109128.7790085049</v>
      </c>
      <c r="M6" s="88"/>
      <c r="N6" s="90">
        <f t="shared" ref="N6:N52" si="5">G6+K5+L6</f>
        <v>1705646.5</v>
      </c>
      <c r="P6" s="128">
        <v>2429352.8899999997</v>
      </c>
      <c r="Q6" s="129">
        <f t="shared" si="3"/>
        <v>2359155.0300000003</v>
      </c>
      <c r="R6" s="129">
        <f t="shared" ref="R6:R52" si="6">Q6-G6</f>
        <v>1981313.4228919055</v>
      </c>
      <c r="S6" s="191">
        <f t="shared" ref="S6:S52" si="7">G6+R5</f>
        <v>-1206511.799008505</v>
      </c>
    </row>
    <row r="7" spans="1:19" x14ac:dyDescent="0.35">
      <c r="A7" s="11" t="s">
        <v>56</v>
      </c>
      <c r="B7" s="12" t="s">
        <v>4</v>
      </c>
      <c r="C7" s="73">
        <v>61684418.880000047</v>
      </c>
      <c r="D7" s="74">
        <v>3.6040000000000003E-2</v>
      </c>
      <c r="E7" s="89">
        <f t="shared" si="4"/>
        <v>2223106.4564352017</v>
      </c>
      <c r="F7" s="73">
        <v>6974769.7067440003</v>
      </c>
      <c r="G7" s="89">
        <f t="shared" si="0"/>
        <v>4751663.2503087986</v>
      </c>
      <c r="H7" s="73">
        <v>7661800.2699999996</v>
      </c>
      <c r="I7" s="88">
        <v>-2380265.44</v>
      </c>
      <c r="J7" s="88">
        <f t="shared" si="1"/>
        <v>5281534.83</v>
      </c>
      <c r="K7" s="90">
        <f t="shared" si="2"/>
        <v>529871.57969120145</v>
      </c>
      <c r="L7" s="90">
        <v>-1434971.413200703</v>
      </c>
      <c r="M7" s="88"/>
      <c r="N7" s="90">
        <f t="shared" si="5"/>
        <v>3435270.7500000005</v>
      </c>
      <c r="P7" s="128">
        <v>4125784.93</v>
      </c>
      <c r="Q7" s="129">
        <f t="shared" si="3"/>
        <v>3536015.3399999994</v>
      </c>
      <c r="R7" s="129">
        <f t="shared" si="6"/>
        <v>-1215647.9103087992</v>
      </c>
      <c r="S7" s="191">
        <f t="shared" si="7"/>
        <v>6732976.6732007042</v>
      </c>
    </row>
    <row r="8" spans="1:19" x14ac:dyDescent="0.35">
      <c r="A8" s="11" t="s">
        <v>57</v>
      </c>
      <c r="B8" s="12" t="s">
        <v>4</v>
      </c>
      <c r="C8" s="73">
        <v>64000791.550000027</v>
      </c>
      <c r="D8" s="74">
        <v>6.7049999999999998E-2</v>
      </c>
      <c r="E8" s="89">
        <f t="shared" si="4"/>
        <v>4291253.0734275021</v>
      </c>
      <c r="F8" s="73">
        <v>9811511.0944836009</v>
      </c>
      <c r="G8" s="89">
        <f t="shared" si="0"/>
        <v>5520258.0210560989</v>
      </c>
      <c r="H8" s="73">
        <v>10150293.439999999</v>
      </c>
      <c r="I8" s="88">
        <v>-4039273.73</v>
      </c>
      <c r="J8" s="88">
        <f t="shared" si="1"/>
        <v>6111019.709999999</v>
      </c>
      <c r="K8" s="90">
        <f t="shared" si="2"/>
        <v>590761.68894390017</v>
      </c>
      <c r="L8" s="90">
        <v>-1261556.5207473021</v>
      </c>
      <c r="M8" s="88"/>
      <c r="N8" s="90">
        <f t="shared" si="5"/>
        <v>4788573.0799999982</v>
      </c>
      <c r="P8" s="128">
        <v>5717911.8999999994</v>
      </c>
      <c r="Q8" s="129">
        <f t="shared" si="3"/>
        <v>4432381.54</v>
      </c>
      <c r="R8" s="129">
        <f t="shared" si="6"/>
        <v>-1087876.4810560988</v>
      </c>
      <c r="S8" s="191">
        <f t="shared" si="7"/>
        <v>4304610.1107473001</v>
      </c>
    </row>
    <row r="9" spans="1:19" x14ac:dyDescent="0.35">
      <c r="A9" s="11" t="s">
        <v>45</v>
      </c>
      <c r="B9" s="12" t="s">
        <v>4</v>
      </c>
      <c r="C9" s="73">
        <v>60560734.289999917</v>
      </c>
      <c r="D9" s="74">
        <v>9.4159999999999994E-2</v>
      </c>
      <c r="E9" s="89">
        <f t="shared" si="4"/>
        <v>5702398.7407463919</v>
      </c>
      <c r="F9" s="73">
        <v>10562437.973878</v>
      </c>
      <c r="G9" s="89">
        <f t="shared" si="0"/>
        <v>4860039.233131608</v>
      </c>
      <c r="H9" s="73">
        <v>10531509.609999999</v>
      </c>
      <c r="I9" s="88">
        <f>-5450194.09159801-85969.61</f>
        <v>-5536163.70159801</v>
      </c>
      <c r="J9" s="88">
        <f t="shared" si="1"/>
        <v>4995345.9084019894</v>
      </c>
      <c r="K9" s="90">
        <f t="shared" si="2"/>
        <v>135306.67527038138</v>
      </c>
      <c r="L9" s="90">
        <v>-590761.92207550909</v>
      </c>
      <c r="M9" s="88"/>
      <c r="N9" s="90">
        <f t="shared" si="5"/>
        <v>4860038.9999999991</v>
      </c>
      <c r="P9" s="128">
        <v>5999682.7700000005</v>
      </c>
      <c r="Q9" s="129">
        <f t="shared" si="3"/>
        <v>4531826.8399999989</v>
      </c>
      <c r="R9" s="129">
        <f t="shared" si="6"/>
        <v>-328212.39313160907</v>
      </c>
      <c r="S9" s="191">
        <f t="shared" si="7"/>
        <v>3772162.7520755092</v>
      </c>
    </row>
    <row r="10" spans="1:19" x14ac:dyDescent="0.35">
      <c r="A10" s="11" t="s">
        <v>46</v>
      </c>
      <c r="B10" s="12" t="s">
        <v>4</v>
      </c>
      <c r="C10" s="73">
        <v>60288384.019999988</v>
      </c>
      <c r="D10" s="74">
        <v>9.7680000000000003E-2</v>
      </c>
      <c r="E10" s="89">
        <f t="shared" si="4"/>
        <v>5888969.3510735994</v>
      </c>
      <c r="F10" s="73">
        <v>10766826.67</v>
      </c>
      <c r="G10" s="89">
        <f t="shared" si="0"/>
        <v>4877857.3189264005</v>
      </c>
      <c r="H10" s="73">
        <v>10549642.84</v>
      </c>
      <c r="I10" s="88">
        <v>-5939116.3780712299</v>
      </c>
      <c r="J10" s="88">
        <f t="shared" si="1"/>
        <v>4610526.4619287699</v>
      </c>
      <c r="K10" s="90">
        <f t="shared" si="2"/>
        <v>-267330.85699763056</v>
      </c>
      <c r="L10" s="90">
        <v>5.8032181113958359E-3</v>
      </c>
      <c r="M10" s="74"/>
      <c r="N10" s="90">
        <f t="shared" si="5"/>
        <v>5013164</v>
      </c>
      <c r="P10" s="128">
        <v>5960658.6699999999</v>
      </c>
      <c r="Q10" s="129">
        <f t="shared" si="3"/>
        <v>4588984.17</v>
      </c>
      <c r="R10" s="129">
        <f t="shared" si="6"/>
        <v>-288873.14892640058</v>
      </c>
      <c r="S10" s="191">
        <f t="shared" si="7"/>
        <v>4549644.9257947914</v>
      </c>
    </row>
    <row r="11" spans="1:19" x14ac:dyDescent="0.35">
      <c r="A11" s="11" t="s">
        <v>47</v>
      </c>
      <c r="B11" s="12" t="s">
        <v>4</v>
      </c>
      <c r="C11" s="73">
        <v>787110.08486424084</v>
      </c>
      <c r="D11" s="74">
        <v>8.4129999999999996E-2</v>
      </c>
      <c r="E11" s="89">
        <f t="shared" si="4"/>
        <v>66219.571439628577</v>
      </c>
      <c r="F11" s="73">
        <v>10307109.93</v>
      </c>
      <c r="G11" s="89">
        <f t="shared" si="0"/>
        <v>10240890.35856037</v>
      </c>
      <c r="H11" s="73">
        <v>9663560.5999999996</v>
      </c>
      <c r="I11" s="88">
        <v>-5679446.6799999904</v>
      </c>
      <c r="J11" s="88">
        <f t="shared" si="1"/>
        <v>3984113.9200000092</v>
      </c>
      <c r="K11" s="90">
        <f t="shared" si="2"/>
        <v>-6256776.438560361</v>
      </c>
      <c r="L11" s="90">
        <v>-5231800.5015627397</v>
      </c>
      <c r="M11" s="74"/>
      <c r="N11" s="90">
        <f t="shared" si="5"/>
        <v>4741759.0000000009</v>
      </c>
      <c r="P11" s="128">
        <v>5180093.43</v>
      </c>
      <c r="Q11" s="129">
        <f t="shared" si="3"/>
        <v>4483467.17</v>
      </c>
      <c r="R11" s="129">
        <f t="shared" si="6"/>
        <v>-5757423.1885603704</v>
      </c>
      <c r="S11" s="191">
        <f t="shared" si="7"/>
        <v>9952017.2096339688</v>
      </c>
    </row>
    <row r="12" spans="1:19" x14ac:dyDescent="0.35">
      <c r="A12" s="11" t="s">
        <v>48</v>
      </c>
      <c r="B12" s="12" t="s">
        <v>4</v>
      </c>
      <c r="C12" s="73">
        <v>62280837.548237383</v>
      </c>
      <c r="D12" s="74">
        <v>7.354999999999999E-2</v>
      </c>
      <c r="E12" s="89">
        <f t="shared" si="4"/>
        <v>4580755.6016728589</v>
      </c>
      <c r="F12" s="73">
        <v>8533096.6699999999</v>
      </c>
      <c r="G12" s="89">
        <f t="shared" si="0"/>
        <v>3952341.068327141</v>
      </c>
      <c r="H12" s="73">
        <v>9319741.4499999993</v>
      </c>
      <c r="I12" s="88">
        <v>-5568016.54</v>
      </c>
      <c r="J12" s="88">
        <f t="shared" si="1"/>
        <v>3751724.9099999992</v>
      </c>
      <c r="K12" s="90">
        <f t="shared" si="2"/>
        <v>-200616.15832714178</v>
      </c>
      <c r="L12" s="90">
        <v>5079851.37023322</v>
      </c>
      <c r="M12" s="74"/>
      <c r="N12" s="90">
        <f t="shared" si="5"/>
        <v>2775416</v>
      </c>
      <c r="P12" s="128">
        <v>5095809.58</v>
      </c>
      <c r="Q12" s="129">
        <f t="shared" si="3"/>
        <v>4223931.8699999992</v>
      </c>
      <c r="R12" s="129">
        <f t="shared" si="6"/>
        <v>271590.80167285819</v>
      </c>
      <c r="S12" s="191">
        <f t="shared" si="7"/>
        <v>-1805082.1202332294</v>
      </c>
    </row>
    <row r="13" spans="1:19" x14ac:dyDescent="0.35">
      <c r="A13" s="11" t="s">
        <v>49</v>
      </c>
      <c r="B13" s="12" t="s">
        <v>4</v>
      </c>
      <c r="C13" s="73">
        <v>63516970.993027307</v>
      </c>
      <c r="D13" s="74">
        <v>7.1910000000000002E-2</v>
      </c>
      <c r="E13" s="89">
        <f t="shared" si="4"/>
        <v>4567505.3841085937</v>
      </c>
      <c r="F13" s="73">
        <v>8336535.71</v>
      </c>
      <c r="G13" s="89">
        <f t="shared" si="0"/>
        <v>3769030.3258914063</v>
      </c>
      <c r="H13" s="73">
        <v>7790806.29</v>
      </c>
      <c r="I13" s="88">
        <v>-5234559.2</v>
      </c>
      <c r="J13" s="88">
        <f t="shared" si="1"/>
        <v>2556247.09</v>
      </c>
      <c r="K13" s="90">
        <f t="shared" si="2"/>
        <v>-1212783.2358914064</v>
      </c>
      <c r="L13" s="90">
        <v>-233682.1675642645</v>
      </c>
      <c r="M13" s="74"/>
      <c r="N13" s="90">
        <f t="shared" si="5"/>
        <v>3334732</v>
      </c>
      <c r="P13" s="128">
        <v>4271998.7799999993</v>
      </c>
      <c r="Q13" s="129">
        <f t="shared" si="3"/>
        <v>3518807.5100000007</v>
      </c>
      <c r="R13" s="129">
        <f t="shared" si="6"/>
        <v>-250222.81589140557</v>
      </c>
      <c r="S13" s="191">
        <f t="shared" si="7"/>
        <v>4040621.1275642645</v>
      </c>
    </row>
    <row r="14" spans="1:19" x14ac:dyDescent="0.35">
      <c r="A14" s="11" t="s">
        <v>50</v>
      </c>
      <c r="B14" s="12" t="s">
        <v>4</v>
      </c>
      <c r="C14" s="73">
        <v>61214221.7695162</v>
      </c>
      <c r="D14" s="74">
        <v>7.1930000000000008E-2</v>
      </c>
      <c r="E14" s="89">
        <f t="shared" si="4"/>
        <v>4403138.9718813011</v>
      </c>
      <c r="F14" s="73">
        <v>7790447.0599999996</v>
      </c>
      <c r="G14" s="89">
        <f t="shared" si="0"/>
        <v>3387308.0881186984</v>
      </c>
      <c r="H14" s="73">
        <v>8189542.1299999999</v>
      </c>
      <c r="I14" s="88">
        <v>-4028374.93</v>
      </c>
      <c r="J14" s="88">
        <f t="shared" si="1"/>
        <v>4161167.1999999997</v>
      </c>
      <c r="K14" s="90">
        <f t="shared" si="2"/>
        <v>773859.11188130127</v>
      </c>
      <c r="L14" s="90">
        <v>24013.147772707976</v>
      </c>
      <c r="M14" s="74"/>
      <c r="N14" s="90">
        <f t="shared" si="5"/>
        <v>2198538</v>
      </c>
      <c r="P14" s="128">
        <v>4605889.5300000012</v>
      </c>
      <c r="Q14" s="129">
        <f t="shared" si="3"/>
        <v>3583652.5999999987</v>
      </c>
      <c r="R14" s="129">
        <f t="shared" si="6"/>
        <v>196344.51188130025</v>
      </c>
      <c r="S14" s="191">
        <f t="shared" si="7"/>
        <v>3137085.2722272929</v>
      </c>
    </row>
    <row r="15" spans="1:19" x14ac:dyDescent="0.35">
      <c r="A15" s="11" t="s">
        <v>51</v>
      </c>
      <c r="B15" s="12" t="s">
        <v>4</v>
      </c>
      <c r="C15" s="73">
        <v>63678177.039999962</v>
      </c>
      <c r="D15" s="74">
        <v>0.12448000000000001</v>
      </c>
      <c r="E15" s="89">
        <f t="shared" si="4"/>
        <v>7926659.4779391959</v>
      </c>
      <c r="F15" s="73">
        <v>13623437.17</v>
      </c>
      <c r="G15" s="89">
        <f>F15-E15</f>
        <v>5696777.692060804</v>
      </c>
      <c r="H15" s="181">
        <v>12404981.75</v>
      </c>
      <c r="I15" s="184">
        <v>-4515860.92</v>
      </c>
      <c r="J15" s="184">
        <f>SUM(H15:I15)</f>
        <v>7889120.8300000001</v>
      </c>
      <c r="K15" s="185">
        <f>J15-G15</f>
        <v>2192343.1379391961</v>
      </c>
      <c r="L15" s="90">
        <v>53.196057895198464</v>
      </c>
      <c r="M15" s="88"/>
      <c r="N15" s="90">
        <f t="shared" si="5"/>
        <v>6470690</v>
      </c>
      <c r="P15" s="186">
        <v>6842111.2099999981</v>
      </c>
      <c r="Q15" s="187">
        <f>H15-P15</f>
        <v>5562870.5400000019</v>
      </c>
      <c r="R15" s="187">
        <f>Q15-G15</f>
        <v>-133907.15206080209</v>
      </c>
      <c r="S15" s="191">
        <f t="shared" si="7"/>
        <v>5893122.2039421042</v>
      </c>
    </row>
    <row r="16" spans="1:19" x14ac:dyDescent="0.35">
      <c r="A16" s="179" t="s">
        <v>52</v>
      </c>
      <c r="B16" s="180" t="s">
        <v>4</v>
      </c>
      <c r="C16" s="181">
        <v>58074057.039999932</v>
      </c>
      <c r="D16" s="182">
        <v>8.8090000000000002E-2</v>
      </c>
      <c r="E16" s="183">
        <f>+C16*D16</f>
        <v>5115743.6846535942</v>
      </c>
      <c r="F16" s="181">
        <v>10123648.869999999</v>
      </c>
      <c r="G16" s="183">
        <f>F16-E16</f>
        <v>5007905.185346405</v>
      </c>
      <c r="H16" s="88">
        <v>10886737.449999999</v>
      </c>
      <c r="I16" s="88">
        <v>-6855299.21</v>
      </c>
      <c r="J16" s="88">
        <f t="shared" si="1"/>
        <v>4031438.2399999993</v>
      </c>
      <c r="K16" s="90">
        <f t="shared" si="2"/>
        <v>-976466.94534640573</v>
      </c>
      <c r="L16" s="185">
        <v>-0.3232856011018157</v>
      </c>
      <c r="N16" s="185">
        <f>G16+K15+L16</f>
        <v>7200248</v>
      </c>
      <c r="P16" s="128">
        <v>5691409.0599999996</v>
      </c>
      <c r="Q16" s="129">
        <f>H16-P16</f>
        <v>5195328.3899999997</v>
      </c>
      <c r="R16" s="129">
        <f>Q16-G16</f>
        <v>187423.20465359464</v>
      </c>
      <c r="S16" s="192">
        <f>G16+R15</f>
        <v>4873998.0332856029</v>
      </c>
    </row>
    <row r="17" spans="1:19" x14ac:dyDescent="0.35">
      <c r="A17" s="11" t="s">
        <v>58</v>
      </c>
      <c r="B17" s="12" t="s">
        <v>0</v>
      </c>
      <c r="C17" s="73">
        <v>63888052.54999999</v>
      </c>
      <c r="D17" s="74">
        <v>9.214E-2</v>
      </c>
      <c r="E17" s="89">
        <f t="shared" si="4"/>
        <v>5886645.1619569995</v>
      </c>
      <c r="F17" s="73">
        <v>11412320.58</v>
      </c>
      <c r="G17" s="89">
        <f t="shared" si="0"/>
        <v>5525675.4180430006</v>
      </c>
      <c r="H17" s="88">
        <v>11375783.85</v>
      </c>
      <c r="I17" s="88">
        <v>-5116881.68</v>
      </c>
      <c r="J17" s="88">
        <f t="shared" si="1"/>
        <v>6258902.1699999999</v>
      </c>
      <c r="K17" s="90">
        <f t="shared" si="2"/>
        <v>733226.7519569993</v>
      </c>
      <c r="L17" s="90">
        <v>0</v>
      </c>
      <c r="N17" s="90">
        <f t="shared" si="5"/>
        <v>4549208.4726965949</v>
      </c>
      <c r="P17" s="128">
        <v>5785405.9299999997</v>
      </c>
      <c r="Q17" s="129">
        <f t="shared" si="3"/>
        <v>5590377.9199999999</v>
      </c>
      <c r="R17" s="129">
        <f t="shared" si="6"/>
        <v>64702.501956999302</v>
      </c>
      <c r="S17" s="191">
        <f t="shared" si="7"/>
        <v>5713098.6226965953</v>
      </c>
    </row>
    <row r="18" spans="1:19" x14ac:dyDescent="0.35">
      <c r="A18" s="11" t="s">
        <v>55</v>
      </c>
      <c r="B18" s="12" t="s">
        <v>0</v>
      </c>
      <c r="C18" s="73">
        <v>63334649.010000028</v>
      </c>
      <c r="D18" s="74">
        <v>9.6780000000000005E-2</v>
      </c>
      <c r="E18" s="89">
        <f t="shared" si="4"/>
        <v>6129527.3311878033</v>
      </c>
      <c r="F18" s="73">
        <v>11071840.42</v>
      </c>
      <c r="G18" s="89">
        <f t="shared" si="0"/>
        <v>4942313.0888121966</v>
      </c>
      <c r="H18" s="88">
        <v>11288093.949999999</v>
      </c>
      <c r="I18" s="88">
        <v>-6242711.5499999998</v>
      </c>
      <c r="J18" s="88">
        <f t="shared" si="1"/>
        <v>5045382.3999999994</v>
      </c>
      <c r="K18" s="90">
        <f t="shared" si="2"/>
        <v>103069.31118780281</v>
      </c>
      <c r="L18" s="90">
        <v>0</v>
      </c>
      <c r="N18" s="90">
        <f t="shared" si="5"/>
        <v>5675539.8407691959</v>
      </c>
      <c r="P18" s="128">
        <v>5888530.8076390503</v>
      </c>
      <c r="Q18" s="129">
        <f t="shared" si="3"/>
        <v>5399563.142360949</v>
      </c>
      <c r="R18" s="129">
        <f t="shared" si="6"/>
        <v>457250.05354875233</v>
      </c>
      <c r="S18" s="191">
        <f t="shared" si="7"/>
        <v>5007015.5907691959</v>
      </c>
    </row>
    <row r="19" spans="1:19" x14ac:dyDescent="0.35">
      <c r="A19" s="11" t="s">
        <v>56</v>
      </c>
      <c r="B19" s="12" t="s">
        <v>0</v>
      </c>
      <c r="C19" s="73">
        <v>62550298.669999987</v>
      </c>
      <c r="D19" s="74">
        <v>0.10299</v>
      </c>
      <c r="E19" s="89">
        <f t="shared" si="4"/>
        <v>6442055.2600232987</v>
      </c>
      <c r="F19" s="73">
        <v>11821654.23</v>
      </c>
      <c r="G19" s="89">
        <f t="shared" si="0"/>
        <v>5379598.9699767018</v>
      </c>
      <c r="H19" s="88">
        <v>12224315.970000001</v>
      </c>
      <c r="I19" s="88">
        <v>-5593990.9100000001</v>
      </c>
      <c r="J19" s="88">
        <f t="shared" si="1"/>
        <v>6630325.0600000005</v>
      </c>
      <c r="K19" s="90">
        <f t="shared" si="2"/>
        <v>1250726.0900232987</v>
      </c>
      <c r="L19" s="90">
        <v>0</v>
      </c>
      <c r="N19" s="90">
        <f t="shared" si="5"/>
        <v>5482668.2811645046</v>
      </c>
      <c r="P19" s="128">
        <v>6590752.705839863</v>
      </c>
      <c r="Q19" s="129">
        <f t="shared" si="3"/>
        <v>5633563.2641601376</v>
      </c>
      <c r="R19" s="129">
        <f t="shared" si="6"/>
        <v>253964.29418343585</v>
      </c>
      <c r="S19" s="191">
        <f t="shared" si="7"/>
        <v>5836849.0235254541</v>
      </c>
    </row>
    <row r="20" spans="1:19" x14ac:dyDescent="0.35">
      <c r="A20" s="11" t="s">
        <v>57</v>
      </c>
      <c r="B20" s="12" t="s">
        <v>0</v>
      </c>
      <c r="C20" s="73">
        <v>63662089.720000006</v>
      </c>
      <c r="D20" s="74">
        <v>0.11176999999999999</v>
      </c>
      <c r="E20" s="89">
        <f t="shared" si="4"/>
        <v>7115511.7680044007</v>
      </c>
      <c r="F20" s="73">
        <v>11943421.43</v>
      </c>
      <c r="G20" s="89">
        <f t="shared" si="0"/>
        <v>4827909.661995599</v>
      </c>
      <c r="H20" s="88">
        <v>11946990.050000001</v>
      </c>
      <c r="I20" s="88">
        <v>-7032512.5899999999</v>
      </c>
      <c r="J20" s="88">
        <f t="shared" si="1"/>
        <v>4914477.4600000009</v>
      </c>
      <c r="K20" s="90">
        <f t="shared" si="2"/>
        <v>86567.798004401848</v>
      </c>
      <c r="L20" s="90">
        <v>0</v>
      </c>
      <c r="N20" s="90">
        <f t="shared" si="5"/>
        <v>6078635.7520188978</v>
      </c>
      <c r="P20" s="128">
        <v>6551476.1242977725</v>
      </c>
      <c r="Q20" s="129">
        <f t="shared" si="3"/>
        <v>5395513.9257022282</v>
      </c>
      <c r="R20" s="129">
        <f t="shared" si="6"/>
        <v>567604.26370662916</v>
      </c>
      <c r="S20" s="191">
        <f t="shared" si="7"/>
        <v>5081873.9561790349</v>
      </c>
    </row>
    <row r="21" spans="1:19" x14ac:dyDescent="0.35">
      <c r="A21" s="11" t="s">
        <v>45</v>
      </c>
      <c r="B21" s="12" t="s">
        <v>0</v>
      </c>
      <c r="C21" s="73">
        <v>60922492.629999995</v>
      </c>
      <c r="D21" s="74">
        <v>0.11493</v>
      </c>
      <c r="E21" s="89">
        <f t="shared" si="4"/>
        <v>7001822.0779658994</v>
      </c>
      <c r="F21" s="73">
        <v>12404064.83</v>
      </c>
      <c r="G21" s="89">
        <f t="shared" si="0"/>
        <v>5402242.7520341007</v>
      </c>
      <c r="H21" s="88">
        <v>11663522.539999999</v>
      </c>
      <c r="I21" s="88">
        <v>-6197341.4500000002</v>
      </c>
      <c r="J21" s="88">
        <f t="shared" si="1"/>
        <v>5466181.0899999989</v>
      </c>
      <c r="K21" s="90">
        <f t="shared" si="2"/>
        <v>63938.337965898216</v>
      </c>
      <c r="L21" s="90">
        <v>0</v>
      </c>
      <c r="N21" s="90">
        <f t="shared" si="5"/>
        <v>5488810.5500385026</v>
      </c>
      <c r="P21" s="128">
        <v>6522861.6899999995</v>
      </c>
      <c r="Q21" s="129">
        <f t="shared" si="3"/>
        <v>5140660.8499999996</v>
      </c>
      <c r="R21" s="129">
        <f t="shared" si="6"/>
        <v>-261581.90203410108</v>
      </c>
      <c r="S21" s="191">
        <f t="shared" si="7"/>
        <v>5969847.0157407299</v>
      </c>
    </row>
    <row r="22" spans="1:19" x14ac:dyDescent="0.35">
      <c r="A22" s="11" t="s">
        <v>46</v>
      </c>
      <c r="B22" s="12" t="s">
        <v>0</v>
      </c>
      <c r="C22" s="73">
        <v>59535530.059999935</v>
      </c>
      <c r="D22" s="74">
        <v>9.3600000000000003E-2</v>
      </c>
      <c r="E22" s="89">
        <f t="shared" si="4"/>
        <v>5572525.6136159943</v>
      </c>
      <c r="F22" s="73">
        <v>10546685.949999999</v>
      </c>
      <c r="G22" s="89">
        <f t="shared" si="0"/>
        <v>4974160.3363840049</v>
      </c>
      <c r="H22" s="88">
        <v>10817962.380000001</v>
      </c>
      <c r="I22" s="88">
        <v>-7164629.8499999996</v>
      </c>
      <c r="J22" s="88">
        <f t="shared" si="1"/>
        <v>3653332.5300000012</v>
      </c>
      <c r="K22" s="90">
        <f t="shared" si="2"/>
        <v>-1320827.8063840037</v>
      </c>
      <c r="L22" s="90">
        <v>0</v>
      </c>
      <c r="N22" s="90">
        <f t="shared" si="5"/>
        <v>5038098.6743499031</v>
      </c>
      <c r="P22" s="128">
        <v>5886467.5300000003</v>
      </c>
      <c r="Q22" s="129">
        <f t="shared" si="3"/>
        <v>4931494.8500000006</v>
      </c>
      <c r="R22" s="129">
        <f t="shared" si="6"/>
        <v>-42665.486384004354</v>
      </c>
      <c r="S22" s="191">
        <f t="shared" si="7"/>
        <v>4712578.4343499038</v>
      </c>
    </row>
    <row r="23" spans="1:19" x14ac:dyDescent="0.35">
      <c r="A23" s="11" t="s">
        <v>47</v>
      </c>
      <c r="B23" s="12" t="s">
        <v>0</v>
      </c>
      <c r="C23" s="73">
        <v>64596380.700000107</v>
      </c>
      <c r="D23" s="74">
        <v>8.412E-2</v>
      </c>
      <c r="E23" s="89">
        <f t="shared" si="4"/>
        <v>5433847.544484009</v>
      </c>
      <c r="F23" s="73">
        <v>10621667.84</v>
      </c>
      <c r="G23" s="89">
        <f t="shared" si="0"/>
        <v>5187820.2955159908</v>
      </c>
      <c r="H23" s="88">
        <v>10534635.32</v>
      </c>
      <c r="I23" s="88">
        <v>-4925862.76</v>
      </c>
      <c r="J23" s="88">
        <f t="shared" si="1"/>
        <v>5608772.5600000005</v>
      </c>
      <c r="K23" s="90">
        <f t="shared" si="2"/>
        <v>420952.26448400971</v>
      </c>
      <c r="L23" s="90">
        <v>0</v>
      </c>
      <c r="N23" s="90">
        <f t="shared" si="5"/>
        <v>3866992.4891319871</v>
      </c>
      <c r="P23" s="128">
        <v>5433652.5600000005</v>
      </c>
      <c r="Q23" s="129">
        <f t="shared" si="3"/>
        <v>5100982.76</v>
      </c>
      <c r="R23" s="129">
        <f t="shared" si="6"/>
        <v>-86837.53551599104</v>
      </c>
      <c r="S23" s="191">
        <f t="shared" si="7"/>
        <v>5145154.8091319865</v>
      </c>
    </row>
    <row r="24" spans="1:19" x14ac:dyDescent="0.35">
      <c r="A24" s="11" t="s">
        <v>48</v>
      </c>
      <c r="B24" s="12" t="s">
        <v>0</v>
      </c>
      <c r="C24" s="73">
        <v>63880981.159999982</v>
      </c>
      <c r="D24" s="74">
        <v>7.0499999999999993E-2</v>
      </c>
      <c r="E24" s="89">
        <f t="shared" si="4"/>
        <v>4503609.1717799986</v>
      </c>
      <c r="F24" s="73">
        <v>9186605</v>
      </c>
      <c r="G24" s="89">
        <f t="shared" si="0"/>
        <v>4682995.8282200014</v>
      </c>
      <c r="H24" s="88">
        <v>9296716.9800000004</v>
      </c>
      <c r="I24" s="88">
        <v>-5801044</v>
      </c>
      <c r="J24" s="88">
        <f t="shared" si="1"/>
        <v>3495672.9800000004</v>
      </c>
      <c r="K24" s="90">
        <f t="shared" si="2"/>
        <v>-1187322.848220001</v>
      </c>
      <c r="L24" s="90">
        <v>0</v>
      </c>
      <c r="N24" s="90">
        <f t="shared" si="5"/>
        <v>5103948.0927040111</v>
      </c>
      <c r="P24" s="128">
        <v>4824358.8930000002</v>
      </c>
      <c r="Q24" s="129">
        <f t="shared" si="3"/>
        <v>4472358.0870000003</v>
      </c>
      <c r="R24" s="129">
        <f t="shared" si="6"/>
        <v>-210637.74122000113</v>
      </c>
      <c r="S24" s="191">
        <f t="shared" si="7"/>
        <v>4596158.2927040104</v>
      </c>
    </row>
    <row r="25" spans="1:19" x14ac:dyDescent="0.35">
      <c r="A25" s="11" t="s">
        <v>49</v>
      </c>
      <c r="B25" s="12" t="s">
        <v>0</v>
      </c>
      <c r="C25" s="73">
        <v>63245500.720000044</v>
      </c>
      <c r="D25" s="74">
        <v>9.1480000000000006E-2</v>
      </c>
      <c r="E25" s="89">
        <f t="shared" si="4"/>
        <v>5785698.4058656041</v>
      </c>
      <c r="F25" s="73">
        <v>10482184.67</v>
      </c>
      <c r="G25" s="89">
        <f t="shared" si="0"/>
        <v>4696486.2641343959</v>
      </c>
      <c r="H25" s="88">
        <v>10955899.42</v>
      </c>
      <c r="I25" s="88">
        <v>-4433646.87</v>
      </c>
      <c r="J25" s="88">
        <f t="shared" si="1"/>
        <v>6522252.5499999998</v>
      </c>
      <c r="K25" s="90">
        <f t="shared" si="2"/>
        <v>1825766.2858656039</v>
      </c>
      <c r="L25" s="90">
        <v>0</v>
      </c>
      <c r="N25" s="90">
        <f t="shared" si="5"/>
        <v>3509163.4159143949</v>
      </c>
      <c r="P25" s="128">
        <v>6068017.3200000003</v>
      </c>
      <c r="Q25" s="129">
        <f t="shared" si="3"/>
        <v>4887882.0999999996</v>
      </c>
      <c r="R25" s="129">
        <f t="shared" si="6"/>
        <v>191395.83586560376</v>
      </c>
      <c r="S25" s="191">
        <f t="shared" si="7"/>
        <v>4485848.5229143947</v>
      </c>
    </row>
    <row r="26" spans="1:19" x14ac:dyDescent="0.35">
      <c r="A26" s="11" t="s">
        <v>50</v>
      </c>
      <c r="B26" s="12" t="s">
        <v>0</v>
      </c>
      <c r="C26" s="73">
        <v>63291827.550000027</v>
      </c>
      <c r="D26" s="74">
        <v>0.1178</v>
      </c>
      <c r="E26" s="89">
        <f t="shared" si="4"/>
        <v>7455777.2853900036</v>
      </c>
      <c r="F26" s="73">
        <v>12801864.470000001</v>
      </c>
      <c r="G26" s="89">
        <f t="shared" si="0"/>
        <v>5346087.1846099971</v>
      </c>
      <c r="H26" s="88">
        <v>12230464.1</v>
      </c>
      <c r="I26" s="88">
        <v>-5929198</v>
      </c>
      <c r="J26" s="88">
        <f t="shared" si="1"/>
        <v>6301266.0999999996</v>
      </c>
      <c r="K26" s="90">
        <f t="shared" si="2"/>
        <v>955178.91539000254</v>
      </c>
      <c r="L26" s="90">
        <v>0</v>
      </c>
      <c r="N26" s="90">
        <f t="shared" si="5"/>
        <v>7171853.470475601</v>
      </c>
      <c r="P26" s="128">
        <v>6906623.9100000001</v>
      </c>
      <c r="Q26" s="129">
        <f t="shared" si="3"/>
        <v>5323840.1899999995</v>
      </c>
      <c r="R26" s="129">
        <f t="shared" si="6"/>
        <v>-22246.994609997608</v>
      </c>
      <c r="S26" s="191">
        <f t="shared" si="7"/>
        <v>5537483.0204756008</v>
      </c>
    </row>
    <row r="27" spans="1:19" x14ac:dyDescent="0.35">
      <c r="A27" s="11" t="s">
        <v>51</v>
      </c>
      <c r="B27" s="12" t="s">
        <v>0</v>
      </c>
      <c r="C27" s="73">
        <v>62275849</v>
      </c>
      <c r="D27" s="74">
        <v>0.115</v>
      </c>
      <c r="E27" s="89">
        <f t="shared" si="4"/>
        <v>7161722.6350000007</v>
      </c>
      <c r="F27" s="73">
        <v>12596681.720000001</v>
      </c>
      <c r="G27" s="89">
        <f t="shared" si="0"/>
        <v>5434959.085</v>
      </c>
      <c r="H27" s="88">
        <v>12190340.34</v>
      </c>
      <c r="I27" s="88">
        <v>-7271653.7699999996</v>
      </c>
      <c r="J27" s="88">
        <f t="shared" si="1"/>
        <v>4918686.57</v>
      </c>
      <c r="K27" s="90">
        <f t="shared" si="2"/>
        <v>-516272.51499999966</v>
      </c>
      <c r="L27" s="90">
        <v>0</v>
      </c>
      <c r="N27" s="90">
        <f t="shared" si="5"/>
        <v>6390138.0003900025</v>
      </c>
      <c r="P27" s="128">
        <v>6740028.5300000003</v>
      </c>
      <c r="Q27" s="129">
        <f t="shared" si="3"/>
        <v>5450311.8099999996</v>
      </c>
      <c r="R27" s="129">
        <f t="shared" si="6"/>
        <v>15352.724999999627</v>
      </c>
      <c r="S27" s="191">
        <f t="shared" si="7"/>
        <v>5412712.0903900024</v>
      </c>
    </row>
    <row r="28" spans="1:19" x14ac:dyDescent="0.35">
      <c r="A28" s="11" t="s">
        <v>52</v>
      </c>
      <c r="B28" s="12" t="s">
        <v>0</v>
      </c>
      <c r="C28" s="73">
        <v>59121132</v>
      </c>
      <c r="D28" s="74">
        <v>7.8719999999999998E-2</v>
      </c>
      <c r="E28" s="89">
        <f t="shared" si="4"/>
        <v>4654015.5110400002</v>
      </c>
      <c r="F28" s="73">
        <v>9470095.1699999999</v>
      </c>
      <c r="G28" s="89">
        <f t="shared" si="0"/>
        <v>4816079.6589599997</v>
      </c>
      <c r="H28" s="88">
        <v>10474781.4</v>
      </c>
      <c r="I28" s="88">
        <v>-6359733.3899999997</v>
      </c>
      <c r="J28" s="88">
        <f t="shared" si="1"/>
        <v>4115048.0100000007</v>
      </c>
      <c r="K28" s="90">
        <f t="shared" si="2"/>
        <v>-701031.64895999897</v>
      </c>
      <c r="L28" s="90">
        <v>0</v>
      </c>
      <c r="N28" s="90">
        <f t="shared" si="5"/>
        <v>4299807.14396</v>
      </c>
      <c r="P28" s="128">
        <v>5281868.4000000004</v>
      </c>
      <c r="Q28" s="129">
        <f t="shared" si="3"/>
        <v>5192913</v>
      </c>
      <c r="R28" s="129">
        <f t="shared" si="6"/>
        <v>376833.34104000032</v>
      </c>
      <c r="S28" s="191">
        <f t="shared" si="7"/>
        <v>4831432.3839599993</v>
      </c>
    </row>
    <row r="29" spans="1:19" x14ac:dyDescent="0.35">
      <c r="A29" s="11" t="s">
        <v>59</v>
      </c>
      <c r="B29" s="12" t="s">
        <v>1</v>
      </c>
      <c r="C29" s="73">
        <v>60916232</v>
      </c>
      <c r="D29" s="74">
        <v>8.677E-2</v>
      </c>
      <c r="E29" s="89">
        <f t="shared" si="4"/>
        <v>5285701.4506400004</v>
      </c>
      <c r="F29" s="73">
        <v>10659578.42</v>
      </c>
      <c r="G29" s="89">
        <f t="shared" si="0"/>
        <v>5373876.9693599995</v>
      </c>
      <c r="H29" s="88">
        <v>10113652.039999999</v>
      </c>
      <c r="I29" s="88">
        <f>-4231109</f>
        <v>-4231109</v>
      </c>
      <c r="J29" s="88">
        <f t="shared" si="1"/>
        <v>5882543.0399999991</v>
      </c>
      <c r="K29" s="90">
        <f t="shared" si="2"/>
        <v>508666.07063999958</v>
      </c>
      <c r="L29" s="90">
        <v>0</v>
      </c>
      <c r="N29" s="90">
        <f t="shared" si="5"/>
        <v>4672845.3204000005</v>
      </c>
      <c r="P29" s="128">
        <v>5248610.53</v>
      </c>
      <c r="Q29" s="129">
        <f t="shared" si="3"/>
        <v>4865041.5099999988</v>
      </c>
      <c r="R29" s="129">
        <f t="shared" si="6"/>
        <v>-508835.45936000068</v>
      </c>
      <c r="S29" s="191">
        <f t="shared" si="7"/>
        <v>5750710.3103999998</v>
      </c>
    </row>
    <row r="30" spans="1:19" x14ac:dyDescent="0.35">
      <c r="A30" s="11" t="s">
        <v>42</v>
      </c>
      <c r="B30" s="12" t="s">
        <v>1</v>
      </c>
      <c r="C30" s="73">
        <v>60176885</v>
      </c>
      <c r="D30" s="74">
        <v>8.43E-2</v>
      </c>
      <c r="E30" s="89">
        <f t="shared" si="4"/>
        <v>5072911.4055000003</v>
      </c>
      <c r="F30" s="73">
        <v>9033499.9700000007</v>
      </c>
      <c r="G30" s="89">
        <f t="shared" si="0"/>
        <v>3960588.5645000003</v>
      </c>
      <c r="H30" s="88">
        <v>9276891.8200000003</v>
      </c>
      <c r="I30" s="88">
        <f>-5170140.8</f>
        <v>-5170140.8</v>
      </c>
      <c r="J30" s="88">
        <f t="shared" si="1"/>
        <v>4106751.0200000005</v>
      </c>
      <c r="K30" s="90">
        <f t="shared" si="2"/>
        <v>146162.45550000016</v>
      </c>
      <c r="L30" s="90">
        <v>0</v>
      </c>
      <c r="N30" s="90">
        <f t="shared" si="5"/>
        <v>4469254.6351399999</v>
      </c>
      <c r="P30" s="128">
        <v>4742052.9100000011</v>
      </c>
      <c r="Q30" s="129">
        <f t="shared" si="3"/>
        <v>4534838.9099999992</v>
      </c>
      <c r="R30" s="129">
        <f t="shared" si="6"/>
        <v>574250.34549999889</v>
      </c>
      <c r="S30" s="191">
        <f t="shared" si="7"/>
        <v>3451753.1051399997</v>
      </c>
    </row>
    <row r="31" spans="1:19" x14ac:dyDescent="0.35">
      <c r="A31" s="11" t="s">
        <v>43</v>
      </c>
      <c r="B31" s="12" t="s">
        <v>1</v>
      </c>
      <c r="C31" s="73">
        <v>60672055</v>
      </c>
      <c r="D31" s="74">
        <v>6.8860000000000005E-2</v>
      </c>
      <c r="E31" s="89">
        <f t="shared" si="4"/>
        <v>4177877.7073000004</v>
      </c>
      <c r="F31" s="73">
        <v>8012068.4500000002</v>
      </c>
      <c r="G31" s="89">
        <f t="shared" si="0"/>
        <v>3834190.7426999998</v>
      </c>
      <c r="H31" s="88">
        <v>8452966.0099999998</v>
      </c>
      <c r="I31" s="88">
        <f>-5884836.38</f>
        <v>-5884836.3799999999</v>
      </c>
      <c r="J31" s="88">
        <f t="shared" si="1"/>
        <v>2568129.63</v>
      </c>
      <c r="K31" s="90">
        <f t="shared" si="2"/>
        <v>-1266061.1126999999</v>
      </c>
      <c r="L31" s="90">
        <v>0</v>
      </c>
      <c r="N31" s="90">
        <f t="shared" si="5"/>
        <v>3980353.1982</v>
      </c>
      <c r="P31" s="128">
        <v>4493665.8699999992</v>
      </c>
      <c r="Q31" s="129">
        <f t="shared" si="3"/>
        <v>3959300.1400000006</v>
      </c>
      <c r="R31" s="129">
        <f t="shared" si="6"/>
        <v>125109.39730000077</v>
      </c>
      <c r="S31" s="191">
        <f t="shared" si="7"/>
        <v>4408441.0881999992</v>
      </c>
    </row>
    <row r="32" spans="1:19" x14ac:dyDescent="0.35">
      <c r="A32" s="11" t="s">
        <v>44</v>
      </c>
      <c r="B32" s="12" t="s">
        <v>1</v>
      </c>
      <c r="C32" s="73">
        <v>61450074</v>
      </c>
      <c r="D32" s="74">
        <v>0.10218000000000001</v>
      </c>
      <c r="E32" s="89">
        <f t="shared" si="4"/>
        <v>6278968.5613200003</v>
      </c>
      <c r="F32" s="73">
        <v>10261889.619999999</v>
      </c>
      <c r="G32" s="89">
        <f t="shared" si="0"/>
        <v>3982921.0586799989</v>
      </c>
      <c r="H32" s="88">
        <v>10888580.630000001</v>
      </c>
      <c r="I32" s="88">
        <f>-3808728.11</f>
        <v>-3808728.11</v>
      </c>
      <c r="J32" s="88">
        <f t="shared" si="1"/>
        <v>7079852.5200000014</v>
      </c>
      <c r="K32" s="90">
        <f t="shared" si="2"/>
        <v>3096931.4613200026</v>
      </c>
      <c r="L32" s="90">
        <v>0</v>
      </c>
      <c r="N32" s="90">
        <f t="shared" si="5"/>
        <v>2716859.9459799989</v>
      </c>
      <c r="P32" s="128">
        <v>6021016.0299999993</v>
      </c>
      <c r="Q32" s="129">
        <f t="shared" si="3"/>
        <v>4867564.6000000015</v>
      </c>
      <c r="R32" s="129">
        <f t="shared" si="6"/>
        <v>884643.54132000264</v>
      </c>
      <c r="S32" s="191">
        <f t="shared" si="7"/>
        <v>4108030.4559799996</v>
      </c>
    </row>
    <row r="33" spans="1:19" x14ac:dyDescent="0.35">
      <c r="A33" s="11" t="s">
        <v>45</v>
      </c>
      <c r="B33" s="12" t="s">
        <v>1</v>
      </c>
      <c r="C33" s="73">
        <v>58677418</v>
      </c>
      <c r="D33" s="74">
        <v>0.12776000000000001</v>
      </c>
      <c r="E33" s="89">
        <f t="shared" si="4"/>
        <v>7496626.9236800009</v>
      </c>
      <c r="F33" s="73">
        <v>13270830.51</v>
      </c>
      <c r="G33" s="89">
        <f t="shared" si="0"/>
        <v>5774203.5863199988</v>
      </c>
      <c r="H33" s="88">
        <v>12897331.109999999</v>
      </c>
      <c r="I33" s="88">
        <v>-6140869.3600000003</v>
      </c>
      <c r="J33" s="88">
        <f t="shared" si="1"/>
        <v>6756461.7499999991</v>
      </c>
      <c r="K33" s="90">
        <f t="shared" si="2"/>
        <v>982258.16368000023</v>
      </c>
      <c r="L33" s="90">
        <v>0</v>
      </c>
      <c r="N33" s="90">
        <f t="shared" si="5"/>
        <v>8871135.0476400014</v>
      </c>
      <c r="P33" s="128">
        <v>7250490.4999999991</v>
      </c>
      <c r="Q33" s="129">
        <f t="shared" si="3"/>
        <v>5646840.6100000003</v>
      </c>
      <c r="R33" s="129">
        <f t="shared" si="6"/>
        <v>-127362.9763199985</v>
      </c>
      <c r="S33" s="191">
        <f t="shared" si="7"/>
        <v>6658847.1276400015</v>
      </c>
    </row>
    <row r="34" spans="1:19" x14ac:dyDescent="0.35">
      <c r="A34" s="11" t="s">
        <v>46</v>
      </c>
      <c r="B34" s="12" t="s">
        <v>1</v>
      </c>
      <c r="C34" s="73">
        <v>59305296</v>
      </c>
      <c r="D34" s="74">
        <v>0.12562999999999999</v>
      </c>
      <c r="E34" s="89">
        <f t="shared" si="4"/>
        <v>7450524.3364799991</v>
      </c>
      <c r="F34" s="73">
        <v>13888648.66</v>
      </c>
      <c r="G34" s="89">
        <f t="shared" si="0"/>
        <v>6438124.323520001</v>
      </c>
      <c r="H34" s="88">
        <v>13760426.890000001</v>
      </c>
      <c r="I34" s="88">
        <v>-7135521.8600000003</v>
      </c>
      <c r="J34" s="88">
        <f t="shared" si="1"/>
        <v>6624905.0300000003</v>
      </c>
      <c r="K34" s="90">
        <f t="shared" si="2"/>
        <v>186780.70647999924</v>
      </c>
      <c r="L34" s="90">
        <v>0</v>
      </c>
      <c r="N34" s="90">
        <f t="shared" si="5"/>
        <v>7420382.4872000013</v>
      </c>
      <c r="P34" s="128">
        <v>7144303.3013478629</v>
      </c>
      <c r="Q34" s="129">
        <f t="shared" si="3"/>
        <v>6616123.5886521377</v>
      </c>
      <c r="R34" s="129">
        <f t="shared" si="6"/>
        <v>177999.26513213664</v>
      </c>
      <c r="S34" s="191">
        <f t="shared" si="7"/>
        <v>6310761.3472000025</v>
      </c>
    </row>
    <row r="35" spans="1:19" ht="14.5" customHeight="1" x14ac:dyDescent="0.35">
      <c r="A35" s="11" t="s">
        <v>47</v>
      </c>
      <c r="B35" s="12" t="s">
        <v>1</v>
      </c>
      <c r="C35" s="73">
        <v>62235806</v>
      </c>
      <c r="D35" s="74">
        <v>0.10197000000000001</v>
      </c>
      <c r="E35" s="89">
        <f t="shared" si="4"/>
        <v>6346185.1378200008</v>
      </c>
      <c r="F35" s="73">
        <v>10310734</v>
      </c>
      <c r="G35" s="89">
        <f t="shared" si="0"/>
        <v>3964548.8621799992</v>
      </c>
      <c r="H35" s="88">
        <v>12794181.630000001</v>
      </c>
      <c r="I35" s="88">
        <v>-4728592.7699999996</v>
      </c>
      <c r="J35" s="88">
        <f t="shared" si="1"/>
        <v>8065588.8600000013</v>
      </c>
      <c r="K35" s="90">
        <f t="shared" si="2"/>
        <v>4101039.997820002</v>
      </c>
      <c r="L35" s="90">
        <v>0</v>
      </c>
      <c r="N35" s="90">
        <f t="shared" si="5"/>
        <v>4151329.5686599985</v>
      </c>
      <c r="P35" s="128">
        <v>5130248.1787190093</v>
      </c>
      <c r="Q35" s="129">
        <f t="shared" si="3"/>
        <v>7663933.4512809915</v>
      </c>
      <c r="R35" s="129">
        <f t="shared" si="6"/>
        <v>3699384.5891009923</v>
      </c>
      <c r="S35" s="191">
        <f t="shared" si="7"/>
        <v>4142548.1273121359</v>
      </c>
    </row>
    <row r="36" spans="1:19" ht="14.5" customHeight="1" x14ac:dyDescent="0.35">
      <c r="A36" s="11" t="s">
        <v>48</v>
      </c>
      <c r="B36" s="12" t="s">
        <v>1</v>
      </c>
      <c r="C36" s="73">
        <v>63332554</v>
      </c>
      <c r="D36" s="74">
        <v>0.10476000000000001</v>
      </c>
      <c r="E36" s="89">
        <f t="shared" si="4"/>
        <v>6634718.3570400001</v>
      </c>
      <c r="F36" s="73">
        <v>10343561.449999999</v>
      </c>
      <c r="G36" s="89">
        <f t="shared" si="0"/>
        <v>3708843.0929599991</v>
      </c>
      <c r="H36" s="88">
        <v>10025484.449999999</v>
      </c>
      <c r="I36" s="88">
        <v>-5317526.8</v>
      </c>
      <c r="J36" s="88">
        <f t="shared" si="1"/>
        <v>4707957.6499999994</v>
      </c>
      <c r="K36" s="90">
        <f t="shared" si="2"/>
        <v>999114.55704000033</v>
      </c>
      <c r="L36" s="90">
        <v>0</v>
      </c>
      <c r="N36" s="90">
        <f t="shared" si="5"/>
        <v>7809883.0907800011</v>
      </c>
      <c r="P36" s="128">
        <v>4574203.0334820431</v>
      </c>
      <c r="Q36" s="129">
        <f t="shared" si="3"/>
        <v>5451281.4165179562</v>
      </c>
      <c r="R36" s="129">
        <f t="shared" si="6"/>
        <v>1742438.3235579571</v>
      </c>
      <c r="S36" s="191">
        <f t="shared" si="7"/>
        <v>7408227.6820609914</v>
      </c>
    </row>
    <row r="37" spans="1:19" ht="14.5" customHeight="1" x14ac:dyDescent="0.35">
      <c r="A37" s="11" t="s">
        <v>49</v>
      </c>
      <c r="B37" s="12" t="s">
        <v>1</v>
      </c>
      <c r="C37" s="73">
        <v>68056470.049999982</v>
      </c>
      <c r="D37" s="74">
        <v>9.8949999999999996E-2</v>
      </c>
      <c r="E37" s="89">
        <f t="shared" si="4"/>
        <v>6734187.7114474978</v>
      </c>
      <c r="F37" s="73">
        <v>9402184.3000000007</v>
      </c>
      <c r="G37" s="89">
        <f t="shared" si="0"/>
        <v>2667996.5885525029</v>
      </c>
      <c r="H37" s="88">
        <v>8506401.6899999995</v>
      </c>
      <c r="I37" s="88">
        <v>-5679788.2599999998</v>
      </c>
      <c r="J37" s="88">
        <f t="shared" si="1"/>
        <v>2826613.4299999997</v>
      </c>
      <c r="K37" s="90">
        <f t="shared" si="2"/>
        <v>158616.84144749679</v>
      </c>
      <c r="L37" s="90">
        <v>0</v>
      </c>
      <c r="N37" s="90">
        <f t="shared" si="5"/>
        <v>3667111.1455925032</v>
      </c>
      <c r="P37" s="128">
        <v>3915568.7432106235</v>
      </c>
      <c r="Q37" s="129">
        <f t="shared" si="3"/>
        <v>4590832.9467893764</v>
      </c>
      <c r="R37" s="129">
        <f t="shared" si="6"/>
        <v>1922836.3582368735</v>
      </c>
      <c r="S37" s="191">
        <f t="shared" si="7"/>
        <v>4410434.91211046</v>
      </c>
    </row>
    <row r="38" spans="1:19" ht="14.5" customHeight="1" x14ac:dyDescent="0.35">
      <c r="A38" s="11" t="s">
        <v>50</v>
      </c>
      <c r="B38" s="12" t="s">
        <v>1</v>
      </c>
      <c r="C38" s="73">
        <v>62096289.840000004</v>
      </c>
      <c r="D38" s="74">
        <v>0.11973</v>
      </c>
      <c r="E38" s="89">
        <f t="shared" si="4"/>
        <v>7434788.782543201</v>
      </c>
      <c r="F38" s="73">
        <v>10856880.75</v>
      </c>
      <c r="G38" s="89">
        <f t="shared" si="0"/>
        <v>3422091.967456799</v>
      </c>
      <c r="H38" s="88">
        <v>11447040.109999999</v>
      </c>
      <c r="I38" s="88">
        <v>-4206922.49</v>
      </c>
      <c r="J38" s="88">
        <f t="shared" si="1"/>
        <v>7240117.6199999992</v>
      </c>
      <c r="K38" s="90">
        <f t="shared" si="2"/>
        <v>3818025.6525432002</v>
      </c>
      <c r="L38" s="90">
        <v>0</v>
      </c>
      <c r="N38" s="90">
        <f t="shared" si="5"/>
        <v>3580708.8089042958</v>
      </c>
      <c r="P38" s="128">
        <v>5340662.6384277139</v>
      </c>
      <c r="Q38" s="129">
        <f t="shared" si="3"/>
        <v>6106377.4715722855</v>
      </c>
      <c r="R38" s="129">
        <f t="shared" si="6"/>
        <v>2684285.5041154865</v>
      </c>
      <c r="S38" s="191">
        <f t="shared" si="7"/>
        <v>5344928.3256936725</v>
      </c>
    </row>
    <row r="39" spans="1:19" ht="14.5" customHeight="1" x14ac:dyDescent="0.35">
      <c r="A39" s="11" t="s">
        <v>51</v>
      </c>
      <c r="B39" s="12" t="s">
        <v>1</v>
      </c>
      <c r="C39" s="73">
        <v>44183337.302500002</v>
      </c>
      <c r="D39" s="74">
        <v>9.6689999999999998E-2</v>
      </c>
      <c r="E39" s="89">
        <f t="shared" si="4"/>
        <v>4272086.8837787248</v>
      </c>
      <c r="F39" s="73">
        <v>9241535.4700000007</v>
      </c>
      <c r="G39" s="89">
        <f t="shared" si="0"/>
        <v>4969448.5862212759</v>
      </c>
      <c r="H39" s="88">
        <v>9301720.6799999997</v>
      </c>
      <c r="I39" s="88">
        <v>-4615148.55</v>
      </c>
      <c r="J39" s="88">
        <f t="shared" si="1"/>
        <v>4686572.13</v>
      </c>
      <c r="K39" s="90">
        <f t="shared" si="2"/>
        <v>-282876.45622127596</v>
      </c>
      <c r="L39" s="90">
        <v>0</v>
      </c>
      <c r="N39" s="90">
        <f t="shared" si="5"/>
        <v>8787474.238764476</v>
      </c>
      <c r="P39" s="128">
        <v>4097986.4431238468</v>
      </c>
      <c r="Q39" s="129">
        <f t="shared" si="3"/>
        <v>5203734.2368761525</v>
      </c>
      <c r="R39" s="129">
        <f t="shared" si="6"/>
        <v>234285.6506548766</v>
      </c>
      <c r="S39" s="191">
        <f t="shared" si="7"/>
        <v>7653734.0903367624</v>
      </c>
    </row>
    <row r="40" spans="1:19" ht="14.5" customHeight="1" x14ac:dyDescent="0.35">
      <c r="A40" s="11" t="s">
        <v>52</v>
      </c>
      <c r="B40" s="12" t="s">
        <v>1</v>
      </c>
      <c r="C40" s="73">
        <v>43680389.416000001</v>
      </c>
      <c r="D40" s="74">
        <v>9.6689999999999998E-2</v>
      </c>
      <c r="E40" s="89">
        <f t="shared" si="4"/>
        <v>4223456.8526330404</v>
      </c>
      <c r="F40" s="73">
        <v>10196892.92</v>
      </c>
      <c r="G40" s="89">
        <f t="shared" si="0"/>
        <v>5973436.0673669595</v>
      </c>
      <c r="H40" s="88">
        <v>9727656.4700000007</v>
      </c>
      <c r="I40" s="88">
        <v>-3906744.79</v>
      </c>
      <c r="J40" s="88">
        <f t="shared" si="1"/>
        <v>5820911.6800000006</v>
      </c>
      <c r="K40" s="90">
        <f t="shared" si="2"/>
        <v>-152524.38736695889</v>
      </c>
      <c r="L40" s="90">
        <v>0</v>
      </c>
      <c r="N40" s="90">
        <f t="shared" si="5"/>
        <v>5690559.6111456836</v>
      </c>
      <c r="P40" s="128">
        <v>3968962.8870610865</v>
      </c>
      <c r="Q40" s="129">
        <f t="shared" si="3"/>
        <v>5758693.5829389142</v>
      </c>
      <c r="R40" s="129">
        <f t="shared" si="6"/>
        <v>-214742.48442804534</v>
      </c>
      <c r="S40" s="191">
        <f t="shared" si="7"/>
        <v>6207721.7180218361</v>
      </c>
    </row>
    <row r="41" spans="1:19" ht="14.5" customHeight="1" x14ac:dyDescent="0.35">
      <c r="A41" s="11" t="s">
        <v>60</v>
      </c>
      <c r="B41" s="12" t="s">
        <v>1</v>
      </c>
      <c r="C41" s="73">
        <v>43961723.810000002</v>
      </c>
      <c r="D41" s="74">
        <v>6.3700000000000007E-2</v>
      </c>
      <c r="E41" s="89">
        <f t="shared" si="4"/>
        <v>2800361.8066970003</v>
      </c>
      <c r="F41" s="73">
        <v>7085764.6100000003</v>
      </c>
      <c r="G41" s="89">
        <f t="shared" si="0"/>
        <v>4285402.8033029996</v>
      </c>
      <c r="H41" s="88">
        <v>7505097.1699999999</v>
      </c>
      <c r="I41" s="88">
        <v>-4028145.75</v>
      </c>
      <c r="J41" s="88">
        <f t="shared" si="1"/>
        <v>3476951.42</v>
      </c>
      <c r="K41" s="90">
        <f t="shared" si="2"/>
        <v>-808451.38330299966</v>
      </c>
      <c r="L41" s="90">
        <v>0</v>
      </c>
      <c r="N41" s="90">
        <f t="shared" si="5"/>
        <v>4132878.4159360407</v>
      </c>
      <c r="P41" s="128">
        <v>3043667.5195016959</v>
      </c>
      <c r="Q41" s="129">
        <f t="shared" si="3"/>
        <v>4461429.6504983045</v>
      </c>
      <c r="R41" s="129">
        <f t="shared" si="6"/>
        <v>176026.84719530493</v>
      </c>
      <c r="S41" s="191">
        <f t="shared" si="7"/>
        <v>4070660.3188749542</v>
      </c>
    </row>
    <row r="42" spans="1:19" ht="14.5" customHeight="1" x14ac:dyDescent="0.35">
      <c r="A42" s="11" t="s">
        <v>42</v>
      </c>
      <c r="B42" s="12" t="s">
        <v>2</v>
      </c>
      <c r="C42" s="73">
        <v>44221749.17428571</v>
      </c>
      <c r="D42" s="74">
        <v>7.7049999999999993E-2</v>
      </c>
      <c r="E42" s="89">
        <f t="shared" si="4"/>
        <v>3407285.7738787136</v>
      </c>
      <c r="F42" s="73">
        <v>7305790.8799999999</v>
      </c>
      <c r="G42" s="89">
        <f t="shared" si="0"/>
        <v>3898505.1061212863</v>
      </c>
      <c r="H42" s="88">
        <v>7755399.9900000002</v>
      </c>
      <c r="I42" s="88">
        <v>-3006214.25</v>
      </c>
      <c r="J42" s="88">
        <f t="shared" si="1"/>
        <v>4749185.74</v>
      </c>
      <c r="K42" s="90">
        <f t="shared" si="2"/>
        <v>850680.63387871394</v>
      </c>
      <c r="L42" s="90">
        <v>0</v>
      </c>
      <c r="N42" s="90">
        <f t="shared" si="5"/>
        <v>3090053.7228182866</v>
      </c>
      <c r="P42" s="128">
        <v>3219357.67</v>
      </c>
      <c r="Q42" s="129">
        <f t="shared" si="3"/>
        <v>4536042.32</v>
      </c>
      <c r="R42" s="129">
        <f t="shared" si="6"/>
        <v>637537.21387871401</v>
      </c>
      <c r="S42" s="191">
        <f t="shared" si="7"/>
        <v>4074531.9533165912</v>
      </c>
    </row>
    <row r="43" spans="1:19" ht="14.5" customHeight="1" x14ac:dyDescent="0.35">
      <c r="A43" s="11" t="s">
        <v>43</v>
      </c>
      <c r="B43" s="12" t="s">
        <v>2</v>
      </c>
      <c r="C43" s="73">
        <v>43738533.671249993</v>
      </c>
      <c r="D43" s="74">
        <v>8.5949999999999999E-2</v>
      </c>
      <c r="E43" s="89">
        <f t="shared" si="4"/>
        <v>3759326.969043937</v>
      </c>
      <c r="F43" s="73">
        <v>8599808.5800000001</v>
      </c>
      <c r="G43" s="89">
        <f t="shared" si="0"/>
        <v>4840481.6109560635</v>
      </c>
      <c r="H43" s="88">
        <v>9518445.9700000007</v>
      </c>
      <c r="I43" s="88">
        <v>-3460487.66</v>
      </c>
      <c r="J43" s="88">
        <f t="shared" si="1"/>
        <v>6057958.3100000005</v>
      </c>
      <c r="K43" s="90">
        <f t="shared" si="2"/>
        <v>1217476.699043937</v>
      </c>
      <c r="L43" s="90">
        <v>0</v>
      </c>
      <c r="N43" s="90">
        <f t="shared" si="5"/>
        <v>5691162.244834777</v>
      </c>
      <c r="P43" s="128">
        <v>4046928.7721097474</v>
      </c>
      <c r="Q43" s="129">
        <f t="shared" si="3"/>
        <v>5471517.1978902537</v>
      </c>
      <c r="R43" s="129">
        <f t="shared" si="6"/>
        <v>631035.58693419024</v>
      </c>
      <c r="S43" s="191">
        <f t="shared" si="7"/>
        <v>5478018.824834777</v>
      </c>
    </row>
    <row r="44" spans="1:19" ht="14.5" customHeight="1" x14ac:dyDescent="0.35">
      <c r="A44" s="11" t="s">
        <v>44</v>
      </c>
      <c r="B44" s="12" t="s">
        <v>2</v>
      </c>
      <c r="C44" s="73">
        <v>43725119.537777774</v>
      </c>
      <c r="D44" s="74">
        <v>0.10074</v>
      </c>
      <c r="E44" s="89">
        <f t="shared" si="4"/>
        <v>4404868.542235733</v>
      </c>
      <c r="F44" s="73">
        <v>9336475.9199999999</v>
      </c>
      <c r="G44" s="89">
        <f t="shared" si="0"/>
        <v>4931607.3777642669</v>
      </c>
      <c r="H44" s="88">
        <v>9286541.1699999999</v>
      </c>
      <c r="I44" s="88">
        <v>-3907807.25</v>
      </c>
      <c r="J44" s="88">
        <f t="shared" si="1"/>
        <v>5378733.9199999999</v>
      </c>
      <c r="K44" s="90">
        <f t="shared" si="2"/>
        <v>447126.54223573301</v>
      </c>
      <c r="L44" s="90">
        <v>0</v>
      </c>
      <c r="N44" s="90">
        <f t="shared" si="5"/>
        <v>6149084.0768082039</v>
      </c>
      <c r="P44" s="128">
        <v>3991620.9942517998</v>
      </c>
      <c r="Q44" s="129">
        <f t="shared" si="3"/>
        <v>5294920.1757482002</v>
      </c>
      <c r="R44" s="129">
        <f t="shared" si="6"/>
        <v>363312.79798393324</v>
      </c>
      <c r="S44" s="191">
        <f t="shared" si="7"/>
        <v>5562642.9646984572</v>
      </c>
    </row>
    <row r="45" spans="1:19" ht="14.5" customHeight="1" x14ac:dyDescent="0.35">
      <c r="A45" s="11" t="s">
        <v>45</v>
      </c>
      <c r="B45" s="12" t="s">
        <v>2</v>
      </c>
      <c r="C45" s="73">
        <v>43351987.059</v>
      </c>
      <c r="D45" s="74">
        <v>0.13199</v>
      </c>
      <c r="E45" s="89">
        <f t="shared" si="4"/>
        <v>5722028.7719174102</v>
      </c>
      <c r="F45" s="73">
        <v>12265372.52</v>
      </c>
      <c r="G45" s="89">
        <f t="shared" si="0"/>
        <v>6543343.7480825894</v>
      </c>
      <c r="H45" s="88">
        <v>10126409.27</v>
      </c>
      <c r="I45" s="88">
        <v>-4083369.94</v>
      </c>
      <c r="J45" s="88">
        <f t="shared" si="1"/>
        <v>6043039.3300000001</v>
      </c>
      <c r="K45" s="90">
        <f t="shared" si="2"/>
        <v>-500304.41808258928</v>
      </c>
      <c r="L45" s="90">
        <v>0</v>
      </c>
      <c r="N45" s="90">
        <f t="shared" si="5"/>
        <v>6990470.2903183224</v>
      </c>
      <c r="P45" s="128">
        <v>4584035.4957100442</v>
      </c>
      <c r="Q45" s="129">
        <f t="shared" si="3"/>
        <v>5542373.7742899554</v>
      </c>
      <c r="R45" s="129">
        <f t="shared" si="6"/>
        <v>-1000969.973792634</v>
      </c>
      <c r="S45" s="191">
        <f t="shared" si="7"/>
        <v>6906656.5460665226</v>
      </c>
    </row>
    <row r="46" spans="1:19" ht="14.5" customHeight="1" x14ac:dyDescent="0.35">
      <c r="A46" s="11" t="s">
        <v>46</v>
      </c>
      <c r="B46" s="12" t="s">
        <v>2</v>
      </c>
      <c r="C46" s="73">
        <v>43307026.320841819</v>
      </c>
      <c r="D46" s="74">
        <v>0.10238999999999999</v>
      </c>
      <c r="E46" s="89">
        <f t="shared" si="4"/>
        <v>4434206.4249909939</v>
      </c>
      <c r="F46" s="73">
        <v>9935199.9499999993</v>
      </c>
      <c r="G46" s="89">
        <f t="shared" si="0"/>
        <v>5500993.5250090053</v>
      </c>
      <c r="H46" s="88">
        <v>11671254.25</v>
      </c>
      <c r="I46" s="88">
        <v>-5667462.5300000096</v>
      </c>
      <c r="J46" s="88">
        <f t="shared" si="1"/>
        <v>6003791.7199999904</v>
      </c>
      <c r="K46" s="90">
        <f t="shared" si="2"/>
        <v>502798.1949909851</v>
      </c>
      <c r="L46" s="90">
        <v>0</v>
      </c>
      <c r="N46" s="90">
        <f t="shared" si="5"/>
        <v>5000689.106926416</v>
      </c>
      <c r="P46" s="128">
        <v>5109400.9600663437</v>
      </c>
      <c r="Q46" s="129">
        <f t="shared" si="3"/>
        <v>6561853.2899336563</v>
      </c>
      <c r="R46" s="129">
        <f t="shared" si="6"/>
        <v>1060859.764924651</v>
      </c>
      <c r="S46" s="191">
        <f t="shared" si="7"/>
        <v>4500023.5512163714</v>
      </c>
    </row>
    <row r="47" spans="1:19" ht="14.5" customHeight="1" x14ac:dyDescent="0.35">
      <c r="A47" s="11" t="s">
        <v>47</v>
      </c>
      <c r="B47" s="12" t="s">
        <v>2</v>
      </c>
      <c r="C47" s="73">
        <v>43304839.378767498</v>
      </c>
      <c r="D47" s="74">
        <v>8.1230000000000011E-2</v>
      </c>
      <c r="E47" s="89">
        <f t="shared" si="4"/>
        <v>3517652.1027372843</v>
      </c>
      <c r="F47" s="73">
        <v>9038059.4700000007</v>
      </c>
      <c r="G47" s="89">
        <f t="shared" si="0"/>
        <v>5520407.3672627164</v>
      </c>
      <c r="H47" s="88">
        <v>8686956.8300000001</v>
      </c>
      <c r="I47" s="88">
        <v>-3885090.15</v>
      </c>
      <c r="J47" s="88">
        <f t="shared" si="1"/>
        <v>4801866.68</v>
      </c>
      <c r="K47" s="90">
        <f t="shared" si="2"/>
        <v>-718540.6872627167</v>
      </c>
      <c r="L47" s="90">
        <v>0</v>
      </c>
      <c r="N47" s="90">
        <f t="shared" si="5"/>
        <v>6023205.5622537015</v>
      </c>
      <c r="P47" s="128">
        <v>3576369.7976187738</v>
      </c>
      <c r="Q47" s="129">
        <f t="shared" si="3"/>
        <v>5110587.0323812263</v>
      </c>
      <c r="R47" s="129">
        <f t="shared" si="6"/>
        <v>-409820.3348814901</v>
      </c>
      <c r="S47" s="191">
        <f t="shared" si="7"/>
        <v>6581267.1321873674</v>
      </c>
    </row>
    <row r="48" spans="1:19" ht="14.5" customHeight="1" x14ac:dyDescent="0.35">
      <c r="A48" s="11" t="s">
        <v>48</v>
      </c>
      <c r="B48" s="12" t="s">
        <v>2</v>
      </c>
      <c r="C48" s="73">
        <v>43412532.561028332</v>
      </c>
      <c r="D48" s="74">
        <v>7.324E-2</v>
      </c>
      <c r="E48" s="89">
        <f t="shared" si="4"/>
        <v>3179533.8847697149</v>
      </c>
      <c r="F48" s="73">
        <v>8018233.6100000003</v>
      </c>
      <c r="G48" s="89">
        <f t="shared" si="0"/>
        <v>4838699.7252302859</v>
      </c>
      <c r="H48" s="88">
        <v>8255010.9500000002</v>
      </c>
      <c r="I48" s="88">
        <v>-3736334.79</v>
      </c>
      <c r="J48" s="88">
        <f t="shared" si="1"/>
        <v>4518676.16</v>
      </c>
      <c r="K48" s="90">
        <f t="shared" si="2"/>
        <v>-320023.56523028575</v>
      </c>
      <c r="L48" s="90">
        <v>0</v>
      </c>
      <c r="N48" s="90">
        <f t="shared" si="5"/>
        <v>4120159.0379675692</v>
      </c>
      <c r="P48" s="128">
        <v>3500155.6588864573</v>
      </c>
      <c r="Q48" s="129">
        <f t="shared" si="3"/>
        <v>4754855.2911135424</v>
      </c>
      <c r="R48" s="129">
        <f t="shared" si="6"/>
        <v>-83844.434116743505</v>
      </c>
      <c r="S48" s="191">
        <f t="shared" si="7"/>
        <v>4428879.3903487958</v>
      </c>
    </row>
    <row r="49" spans="1:19" ht="14.5" customHeight="1" x14ac:dyDescent="0.35">
      <c r="A49" s="11" t="s">
        <v>49</v>
      </c>
      <c r="B49" s="12" t="s">
        <v>2</v>
      </c>
      <c r="C49" s="73">
        <v>43533969.788549162</v>
      </c>
      <c r="D49" s="74">
        <v>8.6599999999999996E-2</v>
      </c>
      <c r="E49" s="89">
        <f t="shared" si="4"/>
        <v>3770041.7836883571</v>
      </c>
      <c r="F49" s="73">
        <v>8670286.0299999993</v>
      </c>
      <c r="G49" s="89">
        <f t="shared" si="0"/>
        <v>4900244.2463116422</v>
      </c>
      <c r="H49" s="88">
        <v>8641228.3000000007</v>
      </c>
      <c r="I49" s="88">
        <v>-3474760.91</v>
      </c>
      <c r="J49" s="88">
        <f t="shared" si="1"/>
        <v>5166467.3900000006</v>
      </c>
      <c r="K49" s="90">
        <f t="shared" si="2"/>
        <v>266223.14368835837</v>
      </c>
      <c r="L49" s="90">
        <v>0</v>
      </c>
      <c r="N49" s="90">
        <f t="shared" si="5"/>
        <v>4580220.6810813565</v>
      </c>
      <c r="P49" s="128">
        <v>3655371.2030947916</v>
      </c>
      <c r="Q49" s="129">
        <f t="shared" si="3"/>
        <v>4985857.0969052091</v>
      </c>
      <c r="R49" s="129">
        <f t="shared" si="6"/>
        <v>85612.850593566895</v>
      </c>
      <c r="S49" s="191">
        <f t="shared" si="7"/>
        <v>4816399.8121948987</v>
      </c>
    </row>
    <row r="50" spans="1:19" ht="14.5" customHeight="1" x14ac:dyDescent="0.35">
      <c r="A50" s="11" t="s">
        <v>50</v>
      </c>
      <c r="B50" s="12" t="s">
        <v>2</v>
      </c>
      <c r="C50" s="73">
        <v>45260538.949999996</v>
      </c>
      <c r="D50" s="74">
        <v>0.11998</v>
      </c>
      <c r="E50" s="89">
        <f t="shared" si="4"/>
        <v>5430359.4632209996</v>
      </c>
      <c r="F50" s="73">
        <v>10968468.73</v>
      </c>
      <c r="G50" s="89">
        <f t="shared" si="0"/>
        <v>5538109.2667790009</v>
      </c>
      <c r="H50" s="88">
        <v>11063993.33</v>
      </c>
      <c r="I50" s="88">
        <v>-3784286.1399999899</v>
      </c>
      <c r="J50" s="88">
        <f t="shared" si="1"/>
        <v>7279707.1900000107</v>
      </c>
      <c r="K50" s="90">
        <f t="shared" si="2"/>
        <v>1741597.9232210098</v>
      </c>
      <c r="L50" s="90">
        <v>0</v>
      </c>
      <c r="N50" s="90">
        <f t="shared" si="5"/>
        <v>5804332.4104673592</v>
      </c>
      <c r="P50" s="128">
        <v>5041744.2919024182</v>
      </c>
      <c r="Q50" s="129">
        <f t="shared" si="3"/>
        <v>6022249.0380975818</v>
      </c>
      <c r="R50" s="129">
        <f t="shared" si="6"/>
        <v>484139.77131858096</v>
      </c>
      <c r="S50" s="191">
        <f t="shared" si="7"/>
        <v>5623722.1173725678</v>
      </c>
    </row>
    <row r="51" spans="1:19" ht="14.5" customHeight="1" x14ac:dyDescent="0.35">
      <c r="A51" s="11" t="s">
        <v>51</v>
      </c>
      <c r="B51" s="12" t="s">
        <v>2</v>
      </c>
      <c r="C51" s="73">
        <v>42653543.716666669</v>
      </c>
      <c r="D51" s="74">
        <v>0.10540000000000001</v>
      </c>
      <c r="E51" s="89">
        <f t="shared" si="4"/>
        <v>4495683.5077366671</v>
      </c>
      <c r="F51" s="73">
        <v>10306569.85</v>
      </c>
      <c r="G51" s="89">
        <f t="shared" si="0"/>
        <v>5810886.3422633326</v>
      </c>
      <c r="H51" s="88">
        <v>9619971.1500000004</v>
      </c>
      <c r="I51" s="88">
        <v>-4972548.48999999</v>
      </c>
      <c r="J51" s="88">
        <f t="shared" si="1"/>
        <v>4647422.6600000104</v>
      </c>
      <c r="K51" s="90">
        <f t="shared" si="2"/>
        <v>-1163463.6822633222</v>
      </c>
      <c r="L51" s="90">
        <v>0</v>
      </c>
      <c r="N51" s="90">
        <f t="shared" si="5"/>
        <v>7552484.2654843424</v>
      </c>
      <c r="P51" s="128">
        <v>4047494.7574620796</v>
      </c>
      <c r="Q51" s="129">
        <f t="shared" si="3"/>
        <v>5572476.3925379207</v>
      </c>
      <c r="R51" s="129">
        <f t="shared" si="6"/>
        <v>-238409.94972541183</v>
      </c>
      <c r="S51" s="191">
        <f t="shared" si="7"/>
        <v>6295026.1135819135</v>
      </c>
    </row>
    <row r="52" spans="1:19" ht="14.5" customHeight="1" thickBot="1" x14ac:dyDescent="0.4">
      <c r="A52" s="11" t="s">
        <v>52</v>
      </c>
      <c r="B52" s="12" t="s">
        <v>2</v>
      </c>
      <c r="C52" s="109">
        <v>42617591.439999998</v>
      </c>
      <c r="D52" s="110">
        <v>7.0669999999999997E-2</v>
      </c>
      <c r="E52" s="111">
        <f>+C52*D52</f>
        <v>3011785.1870647995</v>
      </c>
      <c r="F52" s="109">
        <v>7173595.5800000001</v>
      </c>
      <c r="G52" s="111">
        <f t="shared" si="0"/>
        <v>4161810.3929352006</v>
      </c>
      <c r="H52" s="112">
        <v>7528755.8899999997</v>
      </c>
      <c r="I52" s="112">
        <v>-3741843.8499999898</v>
      </c>
      <c r="J52" s="112">
        <f t="shared" si="1"/>
        <v>3786912.0400000098</v>
      </c>
      <c r="K52" s="113">
        <f t="shared" si="2"/>
        <v>-374898.35293519078</v>
      </c>
      <c r="L52" s="113">
        <v>0</v>
      </c>
      <c r="N52" s="113">
        <f t="shared" si="5"/>
        <v>2998346.7106718784</v>
      </c>
      <c r="P52" s="130">
        <v>3016313.3916334636</v>
      </c>
      <c r="Q52" s="131">
        <f t="shared" si="3"/>
        <v>4512442.4983665366</v>
      </c>
      <c r="R52" s="131">
        <f t="shared" si="6"/>
        <v>350632.10543133598</v>
      </c>
      <c r="S52" s="193">
        <f t="shared" si="7"/>
        <v>3923400.4432097888</v>
      </c>
    </row>
    <row r="53" spans="1:19" x14ac:dyDescent="0.35">
      <c r="C53" s="75"/>
      <c r="D53" s="75"/>
      <c r="E53" s="75"/>
      <c r="F53" s="75"/>
      <c r="G53" s="75"/>
      <c r="H53" s="75"/>
      <c r="I53" s="75"/>
      <c r="J53" s="75"/>
      <c r="K53" s="75"/>
      <c r="L53" s="75"/>
      <c r="M53" s="75"/>
      <c r="N53" s="75"/>
    </row>
    <row r="54" spans="1:19" x14ac:dyDescent="0.35">
      <c r="A54" s="77" t="s">
        <v>187</v>
      </c>
      <c r="B54" s="77" t="s">
        <v>185</v>
      </c>
      <c r="C54" s="75"/>
      <c r="D54" s="75"/>
      <c r="E54" s="75"/>
      <c r="F54" s="75"/>
      <c r="G54" s="75"/>
      <c r="H54" s="75"/>
      <c r="I54" s="75"/>
      <c r="J54" s="75"/>
      <c r="K54" s="75"/>
      <c r="L54" s="75"/>
      <c r="M54" s="75"/>
      <c r="N54" s="75"/>
    </row>
    <row r="55" spans="1:19" x14ac:dyDescent="0.35">
      <c r="A55" s="92" t="s">
        <v>23</v>
      </c>
      <c r="B55" s="91" t="s">
        <v>267</v>
      </c>
      <c r="C55" s="75"/>
      <c r="D55" s="75"/>
      <c r="E55" s="75"/>
      <c r="F55" s="75"/>
      <c r="G55" s="75"/>
      <c r="H55" s="75"/>
      <c r="I55" s="75"/>
      <c r="J55" s="75"/>
      <c r="K55" s="75"/>
      <c r="L55" s="75"/>
      <c r="M55" s="75"/>
      <c r="N55" s="75"/>
    </row>
    <row r="56" spans="1:19" x14ac:dyDescent="0.35">
      <c r="A56" s="92" t="s">
        <v>27</v>
      </c>
      <c r="B56" s="76" t="s">
        <v>268</v>
      </c>
      <c r="C56" s="75"/>
      <c r="D56" s="75"/>
      <c r="E56" s="75"/>
      <c r="F56" s="75"/>
      <c r="G56" s="75"/>
      <c r="H56" s="75"/>
      <c r="I56" s="75"/>
      <c r="J56" s="75"/>
      <c r="K56" s="75"/>
      <c r="L56" s="75"/>
      <c r="M56" s="75"/>
      <c r="N56" s="75"/>
    </row>
    <row r="57" spans="1:19" x14ac:dyDescent="0.35">
      <c r="A57" s="92" t="s">
        <v>169</v>
      </c>
      <c r="B57" s="76" t="s">
        <v>184</v>
      </c>
      <c r="C57" s="75"/>
      <c r="D57" s="75"/>
      <c r="E57" s="75"/>
      <c r="F57" s="75"/>
      <c r="G57" s="75"/>
      <c r="H57" s="75"/>
      <c r="I57" s="75"/>
      <c r="J57" s="75"/>
      <c r="K57" s="75"/>
      <c r="L57" s="75"/>
      <c r="M57" s="75"/>
      <c r="N57" s="75"/>
    </row>
    <row r="58" spans="1:19" x14ac:dyDescent="0.35">
      <c r="A58" s="92" t="s">
        <v>170</v>
      </c>
      <c r="B58" s="76" t="s">
        <v>260</v>
      </c>
      <c r="C58" s="75"/>
      <c r="D58" s="75"/>
      <c r="E58" s="75"/>
      <c r="F58" s="75"/>
      <c r="G58" s="75"/>
      <c r="H58" s="75"/>
      <c r="I58" s="75"/>
      <c r="J58" s="75"/>
      <c r="K58" s="75"/>
      <c r="L58" s="75"/>
      <c r="M58" s="75"/>
      <c r="N58" s="75"/>
    </row>
    <row r="59" spans="1:19" x14ac:dyDescent="0.35">
      <c r="A59" s="92" t="s">
        <v>171</v>
      </c>
      <c r="B59" s="76" t="s">
        <v>184</v>
      </c>
      <c r="C59" s="76"/>
      <c r="D59" s="75"/>
      <c r="E59" s="75"/>
      <c r="F59" s="75"/>
      <c r="G59" s="75"/>
      <c r="H59" s="75"/>
      <c r="I59" s="75"/>
      <c r="J59" s="75"/>
      <c r="K59" s="75"/>
      <c r="L59" s="75"/>
      <c r="M59" s="75"/>
      <c r="N59" s="75"/>
    </row>
    <row r="60" spans="1:19" x14ac:dyDescent="0.35">
      <c r="A60" s="92" t="s">
        <v>183</v>
      </c>
      <c r="B60" s="76" t="s">
        <v>276</v>
      </c>
      <c r="C60" s="76"/>
      <c r="D60" s="75"/>
      <c r="E60" s="75"/>
      <c r="F60" s="75"/>
      <c r="G60" s="75"/>
      <c r="H60" s="75"/>
      <c r="I60" s="75"/>
      <c r="J60" s="75"/>
      <c r="K60" s="75"/>
      <c r="L60" s="75"/>
      <c r="M60" s="75"/>
      <c r="N60" s="75"/>
    </row>
    <row r="61" spans="1:19" x14ac:dyDescent="0.35">
      <c r="A61" s="92" t="s">
        <v>173</v>
      </c>
      <c r="B61" s="76" t="s">
        <v>286</v>
      </c>
      <c r="C61" s="76"/>
      <c r="D61" s="75"/>
      <c r="E61" s="75"/>
      <c r="F61" s="75"/>
      <c r="G61" s="75"/>
      <c r="H61" s="75"/>
      <c r="I61" s="75"/>
      <c r="J61" s="75"/>
      <c r="K61" s="75"/>
      <c r="L61" s="75"/>
      <c r="M61" s="75"/>
      <c r="N61" s="75"/>
    </row>
    <row r="62" spans="1:19" x14ac:dyDescent="0.35">
      <c r="A62" s="108" t="s">
        <v>174</v>
      </c>
      <c r="B62" s="91" t="s">
        <v>184</v>
      </c>
      <c r="C62" s="75"/>
      <c r="D62" s="75"/>
      <c r="E62" s="75"/>
      <c r="F62" s="75"/>
      <c r="G62" s="75"/>
      <c r="H62" s="75"/>
      <c r="I62" s="75"/>
      <c r="J62" s="75"/>
      <c r="K62" s="75"/>
      <c r="L62" s="75"/>
      <c r="M62" s="75"/>
      <c r="N62" s="75"/>
    </row>
    <row r="63" spans="1:19" x14ac:dyDescent="0.35">
      <c r="A63" s="92" t="s">
        <v>131</v>
      </c>
      <c r="B63" s="76" t="s">
        <v>184</v>
      </c>
      <c r="C63" s="75"/>
      <c r="D63" s="75"/>
      <c r="E63" s="75"/>
      <c r="F63" s="75"/>
      <c r="G63" s="75"/>
      <c r="H63" s="75"/>
      <c r="I63" s="75"/>
      <c r="J63" s="75"/>
      <c r="K63" s="75"/>
      <c r="L63" s="75"/>
      <c r="M63" s="75"/>
      <c r="N63" s="75"/>
    </row>
    <row r="64" spans="1:19" x14ac:dyDescent="0.35">
      <c r="A64" s="92" t="s">
        <v>175</v>
      </c>
      <c r="B64" s="76" t="s">
        <v>299</v>
      </c>
      <c r="C64" s="75"/>
      <c r="D64" s="75"/>
      <c r="E64" s="75"/>
      <c r="F64" s="75"/>
      <c r="G64" s="75"/>
      <c r="H64" s="75"/>
      <c r="I64" s="75"/>
      <c r="J64" s="75"/>
      <c r="K64" s="75"/>
      <c r="L64" s="75"/>
      <c r="M64" s="75"/>
      <c r="N64" s="75"/>
    </row>
    <row r="65" spans="1:14" x14ac:dyDescent="0.35">
      <c r="A65" s="92" t="s">
        <v>176</v>
      </c>
      <c r="B65" s="76" t="s">
        <v>284</v>
      </c>
      <c r="C65" s="75"/>
      <c r="D65" s="75"/>
      <c r="E65" s="75"/>
      <c r="F65" s="75"/>
      <c r="G65" s="75"/>
      <c r="H65" s="75"/>
      <c r="I65" s="75"/>
      <c r="J65" s="75"/>
      <c r="K65" s="75"/>
      <c r="L65" s="75"/>
      <c r="M65" s="75"/>
      <c r="N65" s="75"/>
    </row>
    <row r="66" spans="1:14" x14ac:dyDescent="0.35">
      <c r="A66" s="92" t="s">
        <v>289</v>
      </c>
      <c r="B66" s="91" t="s">
        <v>290</v>
      </c>
      <c r="C66" s="75"/>
      <c r="D66" s="75"/>
      <c r="E66" s="75"/>
      <c r="F66" s="75"/>
      <c r="G66" s="75"/>
      <c r="H66" s="75"/>
      <c r="I66" s="75"/>
      <c r="J66" s="75"/>
      <c r="K66" s="75"/>
      <c r="L66" s="75"/>
      <c r="M66" s="75"/>
      <c r="N66" s="75"/>
    </row>
    <row r="67" spans="1:14" x14ac:dyDescent="0.35">
      <c r="A67" s="92" t="s">
        <v>295</v>
      </c>
      <c r="B67" s="76" t="s">
        <v>184</v>
      </c>
      <c r="C67" s="75"/>
      <c r="D67" s="75"/>
      <c r="E67" s="75"/>
      <c r="F67" s="75"/>
      <c r="G67" s="75"/>
      <c r="H67" s="75"/>
      <c r="I67" s="75"/>
      <c r="J67" s="75"/>
      <c r="K67" s="75"/>
      <c r="L67" s="75"/>
      <c r="M67" s="75"/>
      <c r="N67" s="75"/>
    </row>
    <row r="68" spans="1:14" x14ac:dyDescent="0.35">
      <c r="A68" s="92"/>
      <c r="C68" s="75"/>
      <c r="D68" s="75"/>
      <c r="E68" s="75"/>
      <c r="F68" s="75"/>
      <c r="G68" s="75"/>
      <c r="H68" s="75"/>
      <c r="I68" s="75"/>
      <c r="J68" s="75"/>
      <c r="K68" s="75"/>
      <c r="L68" s="75"/>
      <c r="M68" s="75"/>
      <c r="N68" s="75"/>
    </row>
    <row r="69" spans="1:14" x14ac:dyDescent="0.35">
      <c r="A69" s="92"/>
      <c r="C69" s="75"/>
      <c r="D69" s="75"/>
      <c r="E69" s="75"/>
      <c r="F69" s="75"/>
      <c r="G69" s="75"/>
      <c r="H69" s="75"/>
      <c r="I69" s="75"/>
      <c r="J69" s="75"/>
      <c r="K69" s="75"/>
      <c r="L69" s="75"/>
      <c r="M69" s="75"/>
      <c r="N69" s="75"/>
    </row>
    <row r="70" spans="1:14" x14ac:dyDescent="0.35">
      <c r="A70" s="92"/>
      <c r="C70" s="75"/>
      <c r="D70" s="75"/>
      <c r="E70" s="75"/>
      <c r="F70" s="75"/>
      <c r="G70" s="75"/>
      <c r="H70" s="75"/>
      <c r="I70" s="75"/>
      <c r="J70" s="75"/>
      <c r="K70" s="75"/>
      <c r="L70" s="75"/>
      <c r="M70" s="75"/>
      <c r="N70" s="75"/>
    </row>
    <row r="71" spans="1:14" x14ac:dyDescent="0.35">
      <c r="A71" s="92"/>
      <c r="C71" s="75"/>
      <c r="D71" s="75"/>
      <c r="E71" s="75"/>
      <c r="F71" s="75"/>
      <c r="G71" s="75"/>
      <c r="H71" s="75"/>
      <c r="I71" s="75"/>
      <c r="J71" s="75"/>
      <c r="K71" s="75"/>
      <c r="L71" s="75"/>
      <c r="M71" s="75"/>
      <c r="N71" s="75"/>
    </row>
    <row r="72" spans="1:14" x14ac:dyDescent="0.35">
      <c r="C72" s="75"/>
      <c r="D72" s="75"/>
      <c r="E72" s="75"/>
      <c r="F72" s="75"/>
      <c r="G72" s="75"/>
      <c r="H72" s="75"/>
      <c r="I72" s="75"/>
      <c r="J72" s="75"/>
      <c r="K72" s="75"/>
      <c r="L72" s="75"/>
      <c r="M72" s="75"/>
      <c r="N72" s="75"/>
    </row>
    <row r="73" spans="1:14" x14ac:dyDescent="0.35">
      <c r="C73" s="75"/>
      <c r="D73" s="75"/>
      <c r="E73" s="75"/>
      <c r="F73" s="75"/>
      <c r="G73" s="75"/>
      <c r="H73" s="75"/>
      <c r="I73" s="75"/>
      <c r="J73" s="75"/>
      <c r="K73" s="75"/>
      <c r="L73" s="75"/>
      <c r="M73" s="75"/>
      <c r="N73" s="75"/>
    </row>
    <row r="74" spans="1:14" x14ac:dyDescent="0.35">
      <c r="C74" s="75"/>
      <c r="D74" s="75"/>
      <c r="E74" s="75"/>
      <c r="F74" s="75"/>
      <c r="G74" s="75"/>
      <c r="H74" s="75"/>
      <c r="I74" s="75"/>
      <c r="J74" s="75"/>
      <c r="K74" s="75"/>
      <c r="L74" s="75"/>
      <c r="M74" s="75"/>
      <c r="N74" s="75"/>
    </row>
    <row r="75" spans="1:14" x14ac:dyDescent="0.35">
      <c r="C75" s="75"/>
      <c r="D75" s="75"/>
      <c r="E75" s="75"/>
      <c r="F75" s="75"/>
      <c r="G75" s="75"/>
      <c r="H75" s="75"/>
      <c r="I75" s="75"/>
      <c r="J75" s="75"/>
      <c r="K75" s="75"/>
      <c r="L75" s="75"/>
      <c r="M75" s="75"/>
      <c r="N75" s="75"/>
    </row>
    <row r="76" spans="1:14" x14ac:dyDescent="0.35">
      <c r="C76" s="75"/>
      <c r="D76" s="75"/>
      <c r="E76" s="75"/>
      <c r="F76" s="75"/>
      <c r="G76" s="75"/>
      <c r="H76" s="75"/>
      <c r="I76" s="75"/>
      <c r="J76" s="75"/>
      <c r="K76" s="75"/>
      <c r="L76" s="75"/>
      <c r="M76" s="75"/>
      <c r="N76" s="75"/>
    </row>
    <row r="77" spans="1:14" x14ac:dyDescent="0.35">
      <c r="C77" s="75"/>
      <c r="D77" s="75"/>
      <c r="E77" s="75"/>
      <c r="F77" s="75"/>
      <c r="G77" s="75"/>
      <c r="H77" s="75"/>
      <c r="I77" s="75"/>
      <c r="J77" s="75"/>
      <c r="K77" s="75"/>
      <c r="L77" s="75"/>
      <c r="M77" s="75"/>
      <c r="N77" s="75"/>
    </row>
    <row r="78" spans="1:14" x14ac:dyDescent="0.35">
      <c r="C78" s="75"/>
      <c r="D78" s="75"/>
      <c r="E78" s="75"/>
      <c r="F78" s="75"/>
      <c r="G78" s="75"/>
      <c r="H78" s="75"/>
      <c r="I78" s="75"/>
      <c r="J78" s="75"/>
      <c r="K78" s="75"/>
      <c r="L78" s="75"/>
      <c r="M78" s="75"/>
      <c r="N78" s="75"/>
    </row>
    <row r="79" spans="1:14" x14ac:dyDescent="0.35">
      <c r="C79" s="75"/>
      <c r="D79" s="75"/>
      <c r="E79" s="75"/>
      <c r="F79" s="75"/>
      <c r="G79" s="75"/>
      <c r="H79" s="75"/>
      <c r="I79" s="75"/>
      <c r="J79" s="75"/>
      <c r="K79" s="75"/>
      <c r="L79" s="75"/>
      <c r="M79" s="75"/>
      <c r="N79" s="75"/>
    </row>
    <row r="80" spans="1:14" x14ac:dyDescent="0.35">
      <c r="C80" s="75"/>
      <c r="D80" s="75"/>
      <c r="E80" s="75"/>
      <c r="F80" s="75"/>
      <c r="G80" s="75"/>
      <c r="H80" s="75"/>
      <c r="I80" s="75"/>
      <c r="J80" s="75"/>
      <c r="K80" s="75"/>
      <c r="L80" s="75"/>
      <c r="M80" s="75"/>
      <c r="N80" s="75"/>
    </row>
    <row r="81" spans="3:14" x14ac:dyDescent="0.35">
      <c r="C81" s="75"/>
      <c r="D81" s="75"/>
      <c r="E81" s="75"/>
      <c r="F81" s="75"/>
      <c r="G81" s="75"/>
      <c r="H81" s="75"/>
      <c r="I81" s="75"/>
      <c r="J81" s="75"/>
      <c r="K81" s="75"/>
      <c r="L81" s="75"/>
      <c r="M81" s="75"/>
      <c r="N81" s="75"/>
    </row>
    <row r="82" spans="3:14" x14ac:dyDescent="0.35">
      <c r="C82" s="75"/>
      <c r="D82" s="75"/>
      <c r="E82" s="75"/>
      <c r="F82" s="75"/>
      <c r="G82" s="75"/>
      <c r="H82" s="75"/>
      <c r="I82" s="75"/>
      <c r="J82" s="75"/>
      <c r="K82" s="75"/>
      <c r="L82" s="75"/>
      <c r="M82" s="75"/>
      <c r="N82" s="75"/>
    </row>
    <row r="83" spans="3:14" x14ac:dyDescent="0.35">
      <c r="C83" s="75"/>
      <c r="D83" s="75"/>
      <c r="E83" s="75"/>
      <c r="F83" s="75"/>
      <c r="G83" s="75"/>
      <c r="H83" s="75"/>
      <c r="I83" s="75"/>
      <c r="J83" s="75"/>
      <c r="K83" s="75"/>
      <c r="L83" s="75"/>
      <c r="M83" s="75"/>
      <c r="N83" s="75"/>
    </row>
    <row r="84" spans="3:14" x14ac:dyDescent="0.35">
      <c r="C84" s="75"/>
      <c r="D84" s="75"/>
      <c r="E84" s="75"/>
      <c r="F84" s="75"/>
      <c r="G84" s="75"/>
      <c r="H84" s="75"/>
      <c r="I84" s="75"/>
      <c r="J84" s="75"/>
      <c r="K84" s="75"/>
      <c r="L84" s="75"/>
      <c r="M84" s="75"/>
      <c r="N84" s="75"/>
    </row>
    <row r="85" spans="3:14" x14ac:dyDescent="0.35">
      <c r="C85" s="75"/>
      <c r="D85" s="75"/>
      <c r="E85" s="75"/>
      <c r="F85" s="75"/>
      <c r="G85" s="75"/>
      <c r="H85" s="75"/>
      <c r="I85" s="75"/>
      <c r="J85" s="75"/>
      <c r="K85" s="75"/>
      <c r="L85" s="75"/>
      <c r="M85" s="75"/>
      <c r="N85" s="75"/>
    </row>
    <row r="86" spans="3:14" x14ac:dyDescent="0.35">
      <c r="C86" s="75"/>
      <c r="D86" s="75"/>
      <c r="E86" s="75"/>
      <c r="F86" s="75"/>
      <c r="G86" s="75"/>
      <c r="H86" s="75"/>
      <c r="I86" s="75"/>
      <c r="J86" s="75"/>
      <c r="K86" s="75"/>
      <c r="L86" s="75"/>
      <c r="M86" s="75"/>
      <c r="N86" s="75"/>
    </row>
    <row r="87" spans="3:14" x14ac:dyDescent="0.35">
      <c r="C87" s="75"/>
      <c r="D87" s="75"/>
      <c r="E87" s="75"/>
      <c r="F87" s="75"/>
      <c r="G87" s="75"/>
      <c r="H87" s="75"/>
      <c r="I87" s="75"/>
      <c r="J87" s="75"/>
      <c r="K87" s="75"/>
      <c r="L87" s="75"/>
      <c r="M87" s="75"/>
      <c r="N87" s="75"/>
    </row>
    <row r="88" spans="3:14" x14ac:dyDescent="0.35">
      <c r="C88" s="75"/>
      <c r="D88" s="75"/>
      <c r="E88" s="75"/>
      <c r="F88" s="75"/>
      <c r="G88" s="75"/>
      <c r="H88" s="75"/>
      <c r="I88" s="75"/>
      <c r="J88" s="75"/>
      <c r="K88" s="75"/>
      <c r="L88" s="75"/>
      <c r="M88" s="75"/>
      <c r="N88" s="75"/>
    </row>
    <row r="89" spans="3:14" x14ac:dyDescent="0.35">
      <c r="C89" s="75"/>
      <c r="D89" s="75"/>
      <c r="E89" s="75"/>
      <c r="F89" s="75"/>
      <c r="G89" s="75"/>
      <c r="H89" s="75"/>
      <c r="I89" s="75"/>
      <c r="J89" s="75"/>
      <c r="K89" s="75"/>
      <c r="L89" s="75"/>
      <c r="M89" s="75"/>
      <c r="N89" s="75"/>
    </row>
    <row r="90" spans="3:14" x14ac:dyDescent="0.35">
      <c r="C90" s="75"/>
      <c r="D90" s="75"/>
      <c r="E90" s="75"/>
      <c r="F90" s="75"/>
      <c r="G90" s="75"/>
      <c r="H90" s="75"/>
      <c r="I90" s="75"/>
      <c r="J90" s="75"/>
      <c r="K90" s="75"/>
      <c r="L90" s="75"/>
      <c r="M90" s="75"/>
      <c r="N90" s="75"/>
    </row>
    <row r="91" spans="3:14" x14ac:dyDescent="0.35">
      <c r="C91" s="75"/>
      <c r="D91" s="75"/>
      <c r="E91" s="75"/>
      <c r="F91" s="75"/>
      <c r="G91" s="75"/>
      <c r="H91" s="75"/>
      <c r="I91" s="75"/>
      <c r="J91" s="75"/>
      <c r="K91" s="75"/>
      <c r="L91" s="75"/>
      <c r="M91" s="75"/>
      <c r="N91" s="75"/>
    </row>
    <row r="92" spans="3:14" x14ac:dyDescent="0.35">
      <c r="C92" s="75"/>
      <c r="D92" s="75"/>
      <c r="E92" s="75"/>
      <c r="F92" s="75"/>
      <c r="G92" s="75"/>
      <c r="H92" s="75"/>
      <c r="I92" s="75"/>
      <c r="J92" s="75"/>
      <c r="K92" s="75"/>
      <c r="L92" s="75"/>
      <c r="M92" s="75"/>
      <c r="N92" s="75"/>
    </row>
    <row r="93" spans="3:14" x14ac:dyDescent="0.35">
      <c r="C93" s="75"/>
      <c r="D93" s="75"/>
      <c r="E93" s="75"/>
      <c r="F93" s="75"/>
      <c r="G93" s="75"/>
      <c r="H93" s="75"/>
      <c r="I93" s="75"/>
      <c r="J93" s="75"/>
      <c r="K93" s="75"/>
      <c r="L93" s="75"/>
      <c r="M93" s="75"/>
      <c r="N93" s="75"/>
    </row>
    <row r="94" spans="3:14" x14ac:dyDescent="0.35">
      <c r="C94" s="75"/>
      <c r="D94" s="75"/>
      <c r="E94" s="75"/>
      <c r="F94" s="75"/>
      <c r="G94" s="75"/>
      <c r="H94" s="75"/>
      <c r="I94" s="75"/>
      <c r="J94" s="75"/>
      <c r="K94" s="75"/>
      <c r="L94" s="75"/>
      <c r="M94" s="75"/>
      <c r="N94" s="75"/>
    </row>
    <row r="95" spans="3:14" x14ac:dyDescent="0.35">
      <c r="C95" s="75"/>
      <c r="D95" s="75"/>
      <c r="E95" s="75"/>
      <c r="F95" s="75"/>
      <c r="G95" s="75"/>
      <c r="H95" s="75"/>
      <c r="I95" s="75"/>
      <c r="J95" s="75"/>
      <c r="K95" s="75"/>
      <c r="L95" s="75"/>
      <c r="M95" s="75"/>
      <c r="N95" s="75"/>
    </row>
    <row r="96" spans="3:14" x14ac:dyDescent="0.35">
      <c r="C96" s="75"/>
      <c r="D96" s="75"/>
      <c r="E96" s="75"/>
      <c r="F96" s="75"/>
      <c r="G96" s="75"/>
      <c r="H96" s="75"/>
      <c r="I96" s="75"/>
      <c r="J96" s="75"/>
      <c r="K96" s="75"/>
      <c r="L96" s="75"/>
      <c r="M96" s="75"/>
      <c r="N96" s="75"/>
    </row>
    <row r="97" spans="3:14" x14ac:dyDescent="0.35">
      <c r="C97" s="75"/>
      <c r="D97" s="75"/>
      <c r="E97" s="75"/>
      <c r="F97" s="75"/>
      <c r="G97" s="75"/>
      <c r="H97" s="75"/>
      <c r="I97" s="75"/>
      <c r="J97" s="75"/>
      <c r="K97" s="75"/>
      <c r="L97" s="75"/>
      <c r="M97" s="75"/>
      <c r="N97" s="75"/>
    </row>
    <row r="98" spans="3:14" x14ac:dyDescent="0.35">
      <c r="C98" s="75"/>
      <c r="D98" s="75"/>
      <c r="E98" s="75"/>
      <c r="F98" s="75"/>
      <c r="G98" s="75"/>
      <c r="H98" s="75"/>
      <c r="I98" s="75"/>
      <c r="J98" s="75"/>
      <c r="K98" s="75"/>
      <c r="L98" s="75"/>
      <c r="M98" s="75"/>
      <c r="N98" s="75"/>
    </row>
    <row r="99" spans="3:14" x14ac:dyDescent="0.35">
      <c r="C99" s="75"/>
      <c r="D99" s="75"/>
      <c r="E99" s="75"/>
      <c r="F99" s="75"/>
      <c r="G99" s="75"/>
      <c r="H99" s="75"/>
      <c r="I99" s="75"/>
      <c r="J99" s="75"/>
      <c r="K99" s="75"/>
      <c r="L99" s="75"/>
      <c r="M99" s="75"/>
      <c r="N99" s="75"/>
    </row>
    <row r="100" spans="3:14" x14ac:dyDescent="0.35">
      <c r="C100" s="75"/>
      <c r="D100" s="75"/>
      <c r="E100" s="75"/>
      <c r="F100" s="75"/>
      <c r="G100" s="75"/>
      <c r="H100" s="75"/>
      <c r="I100" s="75"/>
      <c r="J100" s="75"/>
      <c r="K100" s="75"/>
      <c r="L100" s="75"/>
      <c r="M100" s="75"/>
      <c r="N100" s="75"/>
    </row>
    <row r="101" spans="3:14" x14ac:dyDescent="0.35">
      <c r="C101" s="75"/>
      <c r="D101" s="75"/>
      <c r="E101" s="75"/>
      <c r="F101" s="75"/>
      <c r="G101" s="75"/>
      <c r="H101" s="75"/>
      <c r="I101" s="75"/>
      <c r="J101" s="75"/>
      <c r="K101" s="75"/>
      <c r="L101" s="75"/>
      <c r="M101" s="75"/>
      <c r="N101" s="75"/>
    </row>
    <row r="102" spans="3:14" x14ac:dyDescent="0.35">
      <c r="C102" s="75"/>
      <c r="D102" s="75"/>
      <c r="E102" s="75"/>
      <c r="F102" s="75"/>
      <c r="G102" s="75"/>
      <c r="H102" s="75"/>
      <c r="I102" s="75"/>
      <c r="J102" s="75"/>
      <c r="K102" s="75"/>
      <c r="L102" s="75"/>
      <c r="M102" s="75"/>
      <c r="N102" s="75"/>
    </row>
    <row r="103" spans="3:14" x14ac:dyDescent="0.35">
      <c r="C103" s="75"/>
      <c r="D103" s="75"/>
      <c r="E103" s="75"/>
      <c r="F103" s="75"/>
      <c r="G103" s="75"/>
      <c r="H103" s="75"/>
      <c r="I103" s="75"/>
      <c r="J103" s="75"/>
      <c r="K103" s="75"/>
      <c r="L103" s="75"/>
      <c r="M103" s="75"/>
      <c r="N103" s="75"/>
    </row>
    <row r="104" spans="3:14" x14ac:dyDescent="0.35">
      <c r="C104" s="75"/>
      <c r="D104" s="75"/>
      <c r="E104" s="75"/>
      <c r="F104" s="75"/>
      <c r="G104" s="75"/>
      <c r="H104" s="75"/>
      <c r="I104" s="75"/>
      <c r="J104" s="75"/>
      <c r="K104" s="75"/>
      <c r="L104" s="75"/>
      <c r="M104" s="75"/>
      <c r="N104" s="75"/>
    </row>
    <row r="105" spans="3:14" x14ac:dyDescent="0.35">
      <c r="C105" s="75"/>
      <c r="D105" s="75"/>
      <c r="E105" s="75"/>
      <c r="F105" s="75"/>
      <c r="G105" s="75"/>
      <c r="H105" s="75"/>
      <c r="I105" s="75"/>
      <c r="J105" s="75"/>
      <c r="K105" s="75"/>
      <c r="L105" s="75"/>
      <c r="M105" s="75"/>
      <c r="N105" s="75"/>
    </row>
    <row r="106" spans="3:14" x14ac:dyDescent="0.35">
      <c r="C106" s="75"/>
      <c r="D106" s="75"/>
      <c r="E106" s="75"/>
      <c r="F106" s="75"/>
      <c r="G106" s="75"/>
      <c r="H106" s="75"/>
      <c r="I106" s="75"/>
      <c r="J106" s="75"/>
      <c r="K106" s="75"/>
      <c r="L106" s="75"/>
      <c r="M106" s="75"/>
      <c r="N106" s="75"/>
    </row>
    <row r="107" spans="3:14" x14ac:dyDescent="0.35">
      <c r="C107" s="75"/>
      <c r="D107" s="75"/>
      <c r="E107" s="75"/>
      <c r="F107" s="75"/>
      <c r="G107" s="75"/>
      <c r="H107" s="75"/>
      <c r="I107" s="75"/>
      <c r="J107" s="75"/>
      <c r="K107" s="75"/>
      <c r="L107" s="75"/>
      <c r="M107" s="75"/>
      <c r="N107" s="75"/>
    </row>
    <row r="108" spans="3:14" x14ac:dyDescent="0.35">
      <c r="C108" s="75"/>
      <c r="D108" s="75"/>
      <c r="E108" s="75"/>
      <c r="F108" s="75"/>
      <c r="G108" s="75"/>
      <c r="H108" s="75"/>
      <c r="I108" s="75"/>
      <c r="J108" s="75"/>
      <c r="K108" s="75"/>
      <c r="L108" s="75"/>
      <c r="M108" s="75"/>
      <c r="N108" s="75"/>
    </row>
    <row r="109" spans="3:14" x14ac:dyDescent="0.35">
      <c r="C109" s="75"/>
      <c r="D109" s="75"/>
      <c r="E109" s="75"/>
      <c r="F109" s="75"/>
      <c r="G109" s="75"/>
      <c r="H109" s="75"/>
      <c r="I109" s="75"/>
      <c r="J109" s="75"/>
      <c r="K109" s="75"/>
      <c r="L109" s="75"/>
      <c r="M109" s="75"/>
      <c r="N109" s="75"/>
    </row>
    <row r="110" spans="3:14" x14ac:dyDescent="0.35">
      <c r="C110" s="75"/>
      <c r="D110" s="75"/>
      <c r="E110" s="75"/>
      <c r="F110" s="75"/>
      <c r="G110" s="75"/>
      <c r="H110" s="75"/>
      <c r="I110" s="75"/>
      <c r="J110" s="75"/>
      <c r="K110" s="75"/>
      <c r="L110" s="75"/>
      <c r="M110" s="75"/>
      <c r="N110" s="75"/>
    </row>
    <row r="111" spans="3:14" x14ac:dyDescent="0.35">
      <c r="C111" s="75"/>
      <c r="D111" s="75"/>
      <c r="E111" s="75"/>
      <c r="F111" s="75"/>
      <c r="G111" s="75"/>
      <c r="H111" s="75"/>
      <c r="I111" s="75"/>
      <c r="J111" s="75"/>
      <c r="K111" s="75"/>
      <c r="L111" s="75"/>
      <c r="M111" s="75"/>
      <c r="N111" s="75"/>
    </row>
    <row r="112" spans="3:14" x14ac:dyDescent="0.35">
      <c r="C112" s="75"/>
      <c r="D112" s="75"/>
      <c r="E112" s="75"/>
      <c r="F112" s="75"/>
      <c r="G112" s="75"/>
      <c r="H112" s="75"/>
      <c r="I112" s="75"/>
      <c r="J112" s="75"/>
      <c r="K112" s="75"/>
      <c r="L112" s="75"/>
      <c r="M112" s="75"/>
      <c r="N112" s="75"/>
    </row>
    <row r="113" spans="3:14" x14ac:dyDescent="0.35">
      <c r="C113" s="75"/>
      <c r="D113" s="75"/>
      <c r="E113" s="75"/>
      <c r="F113" s="75"/>
      <c r="G113" s="75"/>
      <c r="H113" s="75"/>
      <c r="I113" s="75"/>
      <c r="J113" s="75"/>
      <c r="K113" s="75"/>
      <c r="L113" s="75"/>
      <c r="M113" s="75"/>
      <c r="N113" s="75"/>
    </row>
    <row r="114" spans="3:14" x14ac:dyDescent="0.35">
      <c r="C114" s="75"/>
      <c r="D114" s="75"/>
      <c r="E114" s="75"/>
      <c r="F114" s="75"/>
      <c r="G114" s="75"/>
      <c r="H114" s="75"/>
      <c r="I114" s="75"/>
      <c r="J114" s="75"/>
      <c r="K114" s="75"/>
      <c r="L114" s="75"/>
      <c r="M114" s="75"/>
      <c r="N114" s="75"/>
    </row>
    <row r="115" spans="3:14" x14ac:dyDescent="0.35">
      <c r="C115" s="75"/>
      <c r="D115" s="75"/>
      <c r="E115" s="75"/>
      <c r="F115" s="75"/>
      <c r="G115" s="75"/>
      <c r="H115" s="75"/>
      <c r="I115" s="75"/>
      <c r="J115" s="75"/>
      <c r="K115" s="75"/>
      <c r="L115" s="75"/>
      <c r="M115" s="75"/>
      <c r="N115" s="75"/>
    </row>
    <row r="116" spans="3:14" x14ac:dyDescent="0.35">
      <c r="C116" s="75"/>
      <c r="D116" s="75"/>
      <c r="E116" s="75"/>
      <c r="F116" s="75"/>
      <c r="G116" s="75"/>
      <c r="H116" s="75"/>
      <c r="I116" s="75"/>
      <c r="J116" s="75"/>
      <c r="K116" s="75"/>
      <c r="L116" s="75"/>
      <c r="M116" s="75"/>
      <c r="N116" s="75"/>
    </row>
    <row r="117" spans="3:14" x14ac:dyDescent="0.35">
      <c r="C117" s="75"/>
      <c r="D117" s="75"/>
      <c r="E117" s="75"/>
      <c r="F117" s="75"/>
      <c r="G117" s="75"/>
      <c r="H117" s="75"/>
      <c r="I117" s="75"/>
      <c r="J117" s="75"/>
      <c r="K117" s="75"/>
      <c r="L117" s="75"/>
      <c r="M117" s="75"/>
      <c r="N117" s="75"/>
    </row>
    <row r="118" spans="3:14" x14ac:dyDescent="0.35">
      <c r="C118" s="75"/>
      <c r="D118" s="75"/>
      <c r="E118" s="75"/>
      <c r="F118" s="75"/>
      <c r="G118" s="75"/>
      <c r="H118" s="75"/>
      <c r="I118" s="75"/>
      <c r="J118" s="75"/>
      <c r="K118" s="75"/>
      <c r="L118" s="75"/>
      <c r="M118" s="75"/>
      <c r="N118" s="75"/>
    </row>
    <row r="119" spans="3:14" x14ac:dyDescent="0.35">
      <c r="C119" s="75"/>
      <c r="D119" s="75"/>
      <c r="E119" s="75"/>
      <c r="F119" s="75"/>
      <c r="G119" s="75"/>
      <c r="H119" s="75"/>
      <c r="I119" s="75"/>
      <c r="J119" s="75"/>
      <c r="K119" s="75"/>
      <c r="L119" s="75"/>
      <c r="M119" s="75"/>
      <c r="N119" s="75"/>
    </row>
    <row r="120" spans="3:14" x14ac:dyDescent="0.35">
      <c r="C120" s="75"/>
      <c r="D120" s="75"/>
      <c r="E120" s="75"/>
      <c r="F120" s="75"/>
      <c r="G120" s="75"/>
      <c r="H120" s="75"/>
      <c r="I120" s="75"/>
      <c r="J120" s="75"/>
      <c r="K120" s="75"/>
      <c r="L120" s="75"/>
      <c r="M120" s="75"/>
      <c r="N120" s="75"/>
    </row>
    <row r="121" spans="3:14" x14ac:dyDescent="0.35">
      <c r="C121" s="75"/>
      <c r="D121" s="75"/>
      <c r="E121" s="75"/>
      <c r="F121" s="75"/>
      <c r="G121" s="75"/>
      <c r="H121" s="75"/>
      <c r="I121" s="75"/>
      <c r="J121" s="75"/>
      <c r="K121" s="75"/>
      <c r="L121" s="75"/>
      <c r="M121" s="75"/>
      <c r="N121" s="75"/>
    </row>
    <row r="122" spans="3:14" x14ac:dyDescent="0.35">
      <c r="C122" s="75"/>
      <c r="D122" s="75"/>
      <c r="E122" s="75"/>
      <c r="F122" s="75"/>
      <c r="G122" s="75"/>
      <c r="H122" s="75"/>
      <c r="I122" s="75"/>
      <c r="J122" s="75"/>
      <c r="K122" s="75"/>
      <c r="L122" s="75"/>
      <c r="M122" s="75"/>
      <c r="N122" s="75"/>
    </row>
    <row r="123" spans="3:14" x14ac:dyDescent="0.35">
      <c r="C123" s="75"/>
      <c r="D123" s="75"/>
      <c r="E123" s="75"/>
      <c r="F123" s="75"/>
      <c r="G123" s="75"/>
      <c r="H123" s="75"/>
      <c r="I123" s="75"/>
      <c r="J123" s="75"/>
      <c r="K123" s="75"/>
      <c r="L123" s="75"/>
      <c r="M123" s="75"/>
      <c r="N123" s="75"/>
    </row>
    <row r="124" spans="3:14" x14ac:dyDescent="0.35">
      <c r="C124" s="75"/>
      <c r="D124" s="75"/>
      <c r="E124" s="75"/>
      <c r="F124" s="75"/>
      <c r="G124" s="75"/>
      <c r="H124" s="75"/>
      <c r="I124" s="75"/>
      <c r="J124" s="75"/>
      <c r="K124" s="75"/>
      <c r="L124" s="75"/>
      <c r="M124" s="75"/>
      <c r="N124" s="75"/>
    </row>
    <row r="125" spans="3:14" x14ac:dyDescent="0.35">
      <c r="C125" s="75"/>
      <c r="D125" s="75"/>
      <c r="E125" s="75"/>
      <c r="F125" s="75"/>
      <c r="G125" s="75"/>
      <c r="H125" s="75"/>
      <c r="I125" s="75"/>
      <c r="J125" s="75"/>
      <c r="K125" s="75"/>
      <c r="L125" s="75"/>
      <c r="M125" s="75"/>
      <c r="N125" s="75"/>
    </row>
    <row r="126" spans="3:14" x14ac:dyDescent="0.35">
      <c r="C126" s="75"/>
      <c r="D126" s="75"/>
      <c r="E126" s="75"/>
      <c r="F126" s="75"/>
      <c r="G126" s="75"/>
      <c r="H126" s="75"/>
      <c r="I126" s="75"/>
      <c r="J126" s="75"/>
      <c r="K126" s="75"/>
      <c r="L126" s="75"/>
      <c r="M126" s="75"/>
      <c r="N126" s="75"/>
    </row>
    <row r="127" spans="3:14" x14ac:dyDescent="0.35">
      <c r="C127" s="75"/>
      <c r="D127" s="75"/>
      <c r="E127" s="75"/>
      <c r="F127" s="75"/>
      <c r="G127" s="75"/>
      <c r="H127" s="75"/>
      <c r="I127" s="75"/>
      <c r="J127" s="75"/>
      <c r="K127" s="75"/>
      <c r="L127" s="75"/>
      <c r="M127" s="75"/>
      <c r="N127" s="75"/>
    </row>
    <row r="128" spans="3:14" x14ac:dyDescent="0.35">
      <c r="C128" s="75"/>
      <c r="D128" s="75"/>
      <c r="E128" s="75"/>
      <c r="F128" s="75"/>
      <c r="G128" s="75"/>
      <c r="H128" s="75"/>
      <c r="I128" s="75"/>
      <c r="J128" s="75"/>
      <c r="K128" s="75"/>
      <c r="L128" s="75"/>
      <c r="M128" s="75"/>
      <c r="N128" s="75"/>
    </row>
    <row r="129" spans="3:14" x14ac:dyDescent="0.35">
      <c r="C129" s="75"/>
      <c r="D129" s="75"/>
      <c r="E129" s="75"/>
      <c r="F129" s="75"/>
      <c r="G129" s="75"/>
      <c r="H129" s="75"/>
      <c r="I129" s="75"/>
      <c r="J129" s="75"/>
      <c r="K129" s="75"/>
      <c r="L129" s="75"/>
      <c r="M129" s="75"/>
      <c r="N129" s="75"/>
    </row>
    <row r="130" spans="3:14" x14ac:dyDescent="0.35">
      <c r="C130" s="75"/>
      <c r="D130" s="75"/>
      <c r="E130" s="75"/>
      <c r="F130" s="75"/>
      <c r="G130" s="75"/>
      <c r="H130" s="75"/>
      <c r="I130" s="75"/>
      <c r="J130" s="75"/>
      <c r="K130" s="75"/>
      <c r="L130" s="75"/>
      <c r="M130" s="75"/>
      <c r="N130" s="75"/>
    </row>
    <row r="131" spans="3:14" x14ac:dyDescent="0.35">
      <c r="C131" s="75"/>
      <c r="D131" s="75"/>
      <c r="E131" s="75"/>
      <c r="F131" s="75"/>
      <c r="G131" s="75"/>
      <c r="H131" s="75"/>
      <c r="I131" s="75"/>
      <c r="J131" s="75"/>
      <c r="K131" s="75"/>
      <c r="L131" s="75"/>
      <c r="M131" s="75"/>
      <c r="N131" s="75"/>
    </row>
    <row r="132" spans="3:14" x14ac:dyDescent="0.35">
      <c r="C132" s="75"/>
      <c r="D132" s="75"/>
      <c r="E132" s="75"/>
      <c r="F132" s="75"/>
      <c r="G132" s="75"/>
      <c r="H132" s="75"/>
      <c r="I132" s="75"/>
      <c r="J132" s="75"/>
      <c r="K132" s="75"/>
      <c r="L132" s="75"/>
      <c r="M132" s="75"/>
      <c r="N132" s="75"/>
    </row>
    <row r="133" spans="3:14" x14ac:dyDescent="0.35">
      <c r="C133" s="75"/>
      <c r="D133" s="75"/>
      <c r="E133" s="75"/>
      <c r="F133" s="75"/>
      <c r="G133" s="75"/>
      <c r="H133" s="75"/>
      <c r="I133" s="75"/>
      <c r="J133" s="75"/>
      <c r="K133" s="75"/>
      <c r="L133" s="75"/>
      <c r="M133" s="75"/>
      <c r="N133" s="75"/>
    </row>
    <row r="134" spans="3:14" x14ac:dyDescent="0.35">
      <c r="C134" s="75"/>
      <c r="D134" s="75"/>
      <c r="E134" s="75"/>
      <c r="F134" s="75"/>
      <c r="G134" s="75"/>
      <c r="H134" s="75"/>
      <c r="I134" s="75"/>
      <c r="J134" s="75"/>
      <c r="K134" s="75"/>
      <c r="L134" s="75"/>
      <c r="M134" s="75"/>
      <c r="N134" s="75"/>
    </row>
    <row r="135" spans="3:14" x14ac:dyDescent="0.35">
      <c r="C135" s="75"/>
      <c r="D135" s="75"/>
      <c r="E135" s="75"/>
      <c r="F135" s="75"/>
      <c r="G135" s="75"/>
      <c r="H135" s="75"/>
      <c r="I135" s="75"/>
      <c r="J135" s="75"/>
      <c r="K135" s="75"/>
      <c r="L135" s="75"/>
      <c r="M135" s="75"/>
      <c r="N135" s="75"/>
    </row>
    <row r="136" spans="3:14" x14ac:dyDescent="0.35">
      <c r="C136" s="75"/>
      <c r="D136" s="75"/>
      <c r="E136" s="75"/>
      <c r="F136" s="75"/>
      <c r="G136" s="75"/>
      <c r="H136" s="75"/>
      <c r="I136" s="75"/>
      <c r="J136" s="75"/>
      <c r="K136" s="75"/>
      <c r="L136" s="75"/>
      <c r="M136" s="75"/>
      <c r="N136" s="75"/>
    </row>
    <row r="137" spans="3:14" x14ac:dyDescent="0.35">
      <c r="C137" s="75"/>
      <c r="D137" s="75"/>
      <c r="E137" s="75"/>
      <c r="F137" s="75"/>
      <c r="G137" s="75"/>
      <c r="H137" s="75"/>
      <c r="I137" s="75"/>
      <c r="J137" s="75"/>
      <c r="K137" s="75"/>
      <c r="L137" s="75"/>
      <c r="M137" s="75"/>
      <c r="N137" s="75"/>
    </row>
    <row r="138" spans="3:14" x14ac:dyDescent="0.35">
      <c r="C138" s="75"/>
      <c r="D138" s="75"/>
      <c r="E138" s="75"/>
      <c r="F138" s="75"/>
      <c r="G138" s="75"/>
      <c r="H138" s="75"/>
      <c r="I138" s="75"/>
      <c r="J138" s="75"/>
      <c r="K138" s="75"/>
      <c r="L138" s="75"/>
      <c r="M138" s="75"/>
      <c r="N138" s="75"/>
    </row>
    <row r="139" spans="3:14" x14ac:dyDescent="0.35">
      <c r="C139" s="75"/>
      <c r="D139" s="75"/>
      <c r="E139" s="75"/>
      <c r="F139" s="75"/>
      <c r="G139" s="75"/>
      <c r="H139" s="75"/>
      <c r="I139" s="75"/>
      <c r="J139" s="75"/>
      <c r="K139" s="75"/>
      <c r="L139" s="75"/>
      <c r="M139" s="75"/>
      <c r="N139" s="75"/>
    </row>
    <row r="140" spans="3:14" x14ac:dyDescent="0.35">
      <c r="C140" s="75"/>
      <c r="D140" s="75"/>
      <c r="E140" s="75"/>
      <c r="F140" s="75"/>
      <c r="G140" s="75"/>
      <c r="H140" s="75"/>
      <c r="I140" s="75"/>
      <c r="J140" s="75"/>
      <c r="K140" s="75"/>
      <c r="L140" s="75"/>
      <c r="M140" s="75"/>
      <c r="N140" s="75"/>
    </row>
    <row r="141" spans="3:14" x14ac:dyDescent="0.35">
      <c r="C141" s="75"/>
      <c r="D141" s="75"/>
      <c r="E141" s="75"/>
      <c r="F141" s="75"/>
      <c r="G141" s="75"/>
      <c r="H141" s="75"/>
      <c r="I141" s="75"/>
      <c r="J141" s="75"/>
      <c r="K141" s="75"/>
      <c r="L141" s="75"/>
      <c r="M141" s="75"/>
      <c r="N141" s="75"/>
    </row>
    <row r="142" spans="3:14" x14ac:dyDescent="0.35">
      <c r="C142" s="75"/>
      <c r="D142" s="75"/>
      <c r="E142" s="75"/>
      <c r="F142" s="75"/>
      <c r="G142" s="75"/>
      <c r="H142" s="75"/>
      <c r="I142" s="75"/>
      <c r="J142" s="75"/>
      <c r="K142" s="75"/>
      <c r="L142" s="75"/>
      <c r="M142" s="75"/>
      <c r="N142" s="75"/>
    </row>
    <row r="143" spans="3:14" x14ac:dyDescent="0.35">
      <c r="C143" s="75"/>
      <c r="D143" s="75"/>
      <c r="E143" s="75"/>
      <c r="F143" s="75"/>
      <c r="G143" s="75"/>
      <c r="H143" s="75"/>
      <c r="I143" s="75"/>
      <c r="J143" s="75"/>
      <c r="K143" s="75"/>
      <c r="L143" s="75"/>
      <c r="M143" s="75"/>
      <c r="N143" s="75"/>
    </row>
    <row r="144" spans="3:14" x14ac:dyDescent="0.35">
      <c r="C144" s="75"/>
      <c r="D144" s="75"/>
      <c r="E144" s="75"/>
      <c r="F144" s="75"/>
      <c r="G144" s="75"/>
      <c r="H144" s="75"/>
      <c r="I144" s="75"/>
      <c r="J144" s="75"/>
      <c r="K144" s="75"/>
      <c r="L144" s="75"/>
      <c r="M144" s="75"/>
      <c r="N144" s="75"/>
    </row>
    <row r="145" spans="3:14" x14ac:dyDescent="0.35">
      <c r="C145" s="75"/>
      <c r="D145" s="75"/>
      <c r="E145" s="75"/>
      <c r="F145" s="75"/>
      <c r="G145" s="75"/>
      <c r="H145" s="75"/>
      <c r="I145" s="75"/>
      <c r="J145" s="75"/>
      <c r="K145" s="75"/>
      <c r="L145" s="75"/>
      <c r="M145" s="75"/>
      <c r="N145" s="75"/>
    </row>
    <row r="146" spans="3:14" x14ac:dyDescent="0.35">
      <c r="C146" s="75"/>
      <c r="D146" s="75"/>
      <c r="E146" s="75"/>
      <c r="F146" s="75"/>
      <c r="G146" s="75"/>
      <c r="H146" s="75"/>
      <c r="I146" s="75"/>
      <c r="J146" s="75"/>
      <c r="K146" s="75"/>
      <c r="L146" s="75"/>
      <c r="M146" s="75"/>
      <c r="N146" s="75"/>
    </row>
    <row r="147" spans="3:14" x14ac:dyDescent="0.35">
      <c r="C147" s="75"/>
      <c r="D147" s="75"/>
      <c r="E147" s="75"/>
      <c r="F147" s="75"/>
      <c r="G147" s="75"/>
      <c r="H147" s="75"/>
      <c r="I147" s="75"/>
      <c r="J147" s="75"/>
      <c r="K147" s="75"/>
      <c r="L147" s="75"/>
      <c r="M147" s="75"/>
      <c r="N147" s="75"/>
    </row>
    <row r="148" spans="3:14" x14ac:dyDescent="0.35">
      <c r="C148" s="75"/>
      <c r="D148" s="75"/>
      <c r="E148" s="75"/>
      <c r="F148" s="75"/>
      <c r="G148" s="75"/>
      <c r="H148" s="75"/>
      <c r="I148" s="75"/>
      <c r="J148" s="75"/>
      <c r="K148" s="75"/>
      <c r="L148" s="75"/>
      <c r="M148" s="75"/>
      <c r="N148" s="75"/>
    </row>
    <row r="149" spans="3:14" x14ac:dyDescent="0.35">
      <c r="C149" s="75"/>
      <c r="D149" s="75"/>
      <c r="E149" s="75"/>
      <c r="F149" s="75"/>
      <c r="G149" s="75"/>
      <c r="H149" s="75"/>
      <c r="I149" s="75"/>
      <c r="J149" s="75"/>
      <c r="K149" s="75"/>
      <c r="L149" s="75"/>
      <c r="M149" s="75"/>
      <c r="N149" s="75"/>
    </row>
    <row r="150" spans="3:14" x14ac:dyDescent="0.35">
      <c r="C150" s="75"/>
      <c r="D150" s="75"/>
      <c r="E150" s="75"/>
      <c r="F150" s="75"/>
      <c r="G150" s="75"/>
      <c r="H150" s="75"/>
      <c r="I150" s="75"/>
      <c r="J150" s="75"/>
      <c r="K150" s="75"/>
      <c r="L150" s="75"/>
      <c r="M150" s="75"/>
      <c r="N150" s="75"/>
    </row>
    <row r="151" spans="3:14" x14ac:dyDescent="0.35">
      <c r="C151" s="75"/>
      <c r="D151" s="75"/>
      <c r="E151" s="75"/>
      <c r="F151" s="75"/>
      <c r="G151" s="75"/>
      <c r="H151" s="75"/>
      <c r="I151" s="75"/>
      <c r="J151" s="75"/>
      <c r="K151" s="75"/>
      <c r="L151" s="75"/>
      <c r="M151" s="75"/>
      <c r="N151" s="75"/>
    </row>
    <row r="152" spans="3:14" x14ac:dyDescent="0.35">
      <c r="C152" s="75"/>
      <c r="D152" s="75"/>
      <c r="E152" s="75"/>
      <c r="F152" s="75"/>
      <c r="G152" s="75"/>
      <c r="H152" s="75"/>
      <c r="I152" s="75"/>
      <c r="J152" s="75"/>
      <c r="K152" s="75"/>
      <c r="L152" s="75"/>
      <c r="M152" s="75"/>
      <c r="N152" s="75"/>
    </row>
    <row r="153" spans="3:14" x14ac:dyDescent="0.35">
      <c r="C153" s="75"/>
      <c r="D153" s="75"/>
      <c r="E153" s="75"/>
      <c r="F153" s="75"/>
      <c r="G153" s="75"/>
      <c r="H153" s="75"/>
      <c r="I153" s="75"/>
      <c r="J153" s="75"/>
      <c r="K153" s="75"/>
      <c r="L153" s="75"/>
      <c r="M153" s="75"/>
      <c r="N153" s="75"/>
    </row>
    <row r="154" spans="3:14" x14ac:dyDescent="0.35">
      <c r="C154" s="75"/>
      <c r="D154" s="75"/>
      <c r="E154" s="75"/>
      <c r="F154" s="75"/>
      <c r="G154" s="75"/>
      <c r="H154" s="75"/>
      <c r="I154" s="75"/>
      <c r="J154" s="75"/>
      <c r="K154" s="75"/>
      <c r="L154" s="75"/>
      <c r="M154" s="75"/>
      <c r="N154" s="75"/>
    </row>
    <row r="155" spans="3:14" x14ac:dyDescent="0.35">
      <c r="C155" s="75"/>
      <c r="D155" s="75"/>
      <c r="E155" s="75"/>
      <c r="F155" s="75"/>
      <c r="G155" s="75"/>
      <c r="H155" s="75"/>
      <c r="I155" s="75"/>
      <c r="J155" s="75"/>
      <c r="K155" s="75"/>
      <c r="L155" s="75"/>
      <c r="M155" s="75"/>
      <c r="N155" s="75"/>
    </row>
    <row r="156" spans="3:14" x14ac:dyDescent="0.35">
      <c r="C156" s="75"/>
      <c r="D156" s="75"/>
      <c r="E156" s="75"/>
      <c r="F156" s="75"/>
      <c r="G156" s="75"/>
      <c r="H156" s="75"/>
      <c r="I156" s="75"/>
      <c r="J156" s="75"/>
      <c r="K156" s="75"/>
      <c r="L156" s="75"/>
      <c r="M156" s="75"/>
      <c r="N156" s="75"/>
    </row>
    <row r="157" spans="3:14" x14ac:dyDescent="0.35">
      <c r="C157" s="75"/>
      <c r="D157" s="75"/>
      <c r="E157" s="75"/>
      <c r="F157" s="75"/>
      <c r="G157" s="75"/>
      <c r="H157" s="75"/>
      <c r="I157" s="75"/>
      <c r="J157" s="75"/>
      <c r="K157" s="75"/>
      <c r="L157" s="75"/>
      <c r="M157" s="75"/>
      <c r="N157" s="75"/>
    </row>
    <row r="158" spans="3:14" x14ac:dyDescent="0.35">
      <c r="C158" s="75"/>
      <c r="D158" s="75"/>
      <c r="E158" s="75"/>
      <c r="F158" s="75"/>
      <c r="G158" s="75"/>
      <c r="H158" s="75"/>
      <c r="I158" s="75"/>
      <c r="J158" s="75"/>
      <c r="K158" s="75"/>
      <c r="L158" s="75"/>
      <c r="M158" s="75"/>
      <c r="N158" s="75"/>
    </row>
    <row r="159" spans="3:14" x14ac:dyDescent="0.35">
      <c r="C159" s="75"/>
      <c r="D159" s="75"/>
      <c r="E159" s="75"/>
      <c r="F159" s="75"/>
      <c r="G159" s="75"/>
      <c r="H159" s="75"/>
      <c r="I159" s="75"/>
      <c r="J159" s="75"/>
      <c r="K159" s="75"/>
      <c r="L159" s="75"/>
      <c r="M159" s="75"/>
      <c r="N159" s="75"/>
    </row>
    <row r="160" spans="3:14" x14ac:dyDescent="0.35">
      <c r="C160" s="75"/>
      <c r="D160" s="75"/>
      <c r="E160" s="75"/>
      <c r="F160" s="75"/>
      <c r="G160" s="75"/>
      <c r="H160" s="75"/>
      <c r="I160" s="75"/>
      <c r="J160" s="75"/>
      <c r="K160" s="75"/>
      <c r="L160" s="75"/>
      <c r="M160" s="75"/>
      <c r="N160" s="75"/>
    </row>
    <row r="161" spans="3:14" x14ac:dyDescent="0.35">
      <c r="C161" s="75"/>
      <c r="D161" s="75"/>
      <c r="E161" s="75"/>
      <c r="F161" s="75"/>
      <c r="G161" s="75"/>
      <c r="H161" s="75"/>
      <c r="I161" s="75"/>
      <c r="J161" s="75"/>
      <c r="K161" s="75"/>
      <c r="L161" s="75"/>
      <c r="M161" s="75"/>
      <c r="N161" s="75"/>
    </row>
    <row r="162" spans="3:14" x14ac:dyDescent="0.35">
      <c r="C162" s="75"/>
      <c r="D162" s="75"/>
      <c r="E162" s="75"/>
      <c r="F162" s="75"/>
      <c r="G162" s="75"/>
      <c r="H162" s="75"/>
      <c r="I162" s="75"/>
      <c r="J162" s="75"/>
      <c r="K162" s="75"/>
      <c r="L162" s="75"/>
      <c r="M162" s="75"/>
      <c r="N162" s="75"/>
    </row>
    <row r="163" spans="3:14" x14ac:dyDescent="0.35">
      <c r="C163" s="75"/>
      <c r="D163" s="75"/>
      <c r="E163" s="75"/>
      <c r="F163" s="75"/>
      <c r="G163" s="75"/>
      <c r="H163" s="75"/>
      <c r="I163" s="75"/>
      <c r="J163" s="75"/>
      <c r="K163" s="75"/>
      <c r="L163" s="75"/>
      <c r="M163" s="75"/>
      <c r="N163" s="75"/>
    </row>
    <row r="164" spans="3:14" x14ac:dyDescent="0.35">
      <c r="C164" s="75"/>
      <c r="D164" s="75"/>
      <c r="E164" s="75"/>
      <c r="F164" s="75"/>
      <c r="G164" s="75"/>
      <c r="H164" s="75"/>
      <c r="I164" s="75"/>
      <c r="J164" s="75"/>
      <c r="K164" s="75"/>
      <c r="L164" s="75"/>
      <c r="M164" s="75"/>
      <c r="N164" s="75"/>
    </row>
    <row r="165" spans="3:14" x14ac:dyDescent="0.35">
      <c r="C165" s="75"/>
      <c r="D165" s="75"/>
      <c r="E165" s="75"/>
      <c r="F165" s="75"/>
      <c r="G165" s="75"/>
      <c r="H165" s="75"/>
      <c r="I165" s="75"/>
      <c r="J165" s="75"/>
      <c r="K165" s="75"/>
      <c r="L165" s="75"/>
      <c r="M165" s="75"/>
      <c r="N165" s="75"/>
    </row>
    <row r="166" spans="3:14" x14ac:dyDescent="0.35">
      <c r="C166" s="75"/>
      <c r="D166" s="75"/>
      <c r="E166" s="75"/>
      <c r="F166" s="75"/>
      <c r="G166" s="75"/>
      <c r="H166" s="75"/>
      <c r="I166" s="75"/>
      <c r="J166" s="75"/>
      <c r="K166" s="75"/>
      <c r="L166" s="75"/>
      <c r="M166" s="75"/>
      <c r="N166" s="75"/>
    </row>
    <row r="167" spans="3:14" x14ac:dyDescent="0.35">
      <c r="C167" s="75"/>
      <c r="D167" s="75"/>
      <c r="E167" s="75"/>
      <c r="F167" s="75"/>
      <c r="G167" s="75"/>
      <c r="H167" s="75"/>
      <c r="I167" s="75"/>
      <c r="J167" s="75"/>
      <c r="K167" s="75"/>
      <c r="L167" s="75"/>
      <c r="M167" s="75"/>
      <c r="N167" s="75"/>
    </row>
    <row r="168" spans="3:14" x14ac:dyDescent="0.35">
      <c r="C168" s="75"/>
      <c r="D168" s="75"/>
      <c r="E168" s="75"/>
      <c r="F168" s="75"/>
      <c r="G168" s="75"/>
      <c r="H168" s="75"/>
      <c r="I168" s="75"/>
      <c r="J168" s="75"/>
      <c r="K168" s="75"/>
      <c r="L168" s="75"/>
      <c r="M168" s="75"/>
      <c r="N168" s="75"/>
    </row>
    <row r="169" spans="3:14" x14ac:dyDescent="0.35">
      <c r="C169" s="75"/>
      <c r="D169" s="75"/>
      <c r="E169" s="75"/>
      <c r="F169" s="75"/>
      <c r="G169" s="75"/>
      <c r="H169" s="75"/>
      <c r="I169" s="75"/>
      <c r="J169" s="75"/>
      <c r="K169" s="75"/>
      <c r="L169" s="75"/>
      <c r="M169" s="75"/>
      <c r="N169" s="75"/>
    </row>
    <row r="170" spans="3:14" x14ac:dyDescent="0.35">
      <c r="C170" s="75"/>
      <c r="D170" s="75"/>
      <c r="E170" s="75"/>
      <c r="F170" s="75"/>
      <c r="G170" s="75"/>
      <c r="H170" s="75"/>
      <c r="I170" s="75"/>
      <c r="J170" s="75"/>
      <c r="K170" s="75"/>
      <c r="L170" s="75"/>
      <c r="M170" s="75"/>
      <c r="N170" s="75"/>
    </row>
    <row r="171" spans="3:14" x14ac:dyDescent="0.35">
      <c r="C171" s="75"/>
      <c r="D171" s="75"/>
      <c r="E171" s="75"/>
      <c r="F171" s="75"/>
      <c r="G171" s="75"/>
      <c r="H171" s="75"/>
      <c r="I171" s="75"/>
      <c r="J171" s="75"/>
      <c r="K171" s="75"/>
      <c r="L171" s="75"/>
      <c r="M171" s="75"/>
      <c r="N171" s="75"/>
    </row>
    <row r="172" spans="3:14" x14ac:dyDescent="0.35">
      <c r="C172" s="75"/>
      <c r="D172" s="75"/>
      <c r="E172" s="75"/>
      <c r="F172" s="75"/>
      <c r="G172" s="75"/>
      <c r="H172" s="75"/>
      <c r="I172" s="75"/>
      <c r="J172" s="75"/>
      <c r="K172" s="75"/>
      <c r="L172" s="75"/>
      <c r="M172" s="75"/>
      <c r="N172" s="75"/>
    </row>
    <row r="173" spans="3:14" x14ac:dyDescent="0.35">
      <c r="C173" s="75"/>
      <c r="D173" s="75"/>
      <c r="E173" s="75"/>
      <c r="F173" s="75"/>
      <c r="G173" s="75"/>
      <c r="H173" s="75"/>
      <c r="I173" s="75"/>
      <c r="J173" s="75"/>
      <c r="K173" s="75"/>
      <c r="L173" s="75"/>
      <c r="M173" s="75"/>
      <c r="N173" s="75"/>
    </row>
    <row r="174" spans="3:14" x14ac:dyDescent="0.35">
      <c r="C174" s="75"/>
      <c r="D174" s="75"/>
      <c r="E174" s="75"/>
      <c r="F174" s="75"/>
      <c r="G174" s="75"/>
      <c r="H174" s="75"/>
      <c r="I174" s="75"/>
      <c r="J174" s="75"/>
      <c r="K174" s="75"/>
      <c r="L174" s="75"/>
      <c r="M174" s="75"/>
      <c r="N174" s="75"/>
    </row>
    <row r="175" spans="3:14" x14ac:dyDescent="0.35">
      <c r="C175" s="75"/>
      <c r="D175" s="75"/>
      <c r="E175" s="75"/>
      <c r="F175" s="75"/>
      <c r="G175" s="75"/>
      <c r="H175" s="75"/>
      <c r="I175" s="75"/>
      <c r="J175" s="75"/>
      <c r="K175" s="75"/>
      <c r="L175" s="75"/>
      <c r="M175" s="75"/>
      <c r="N175" s="75"/>
    </row>
    <row r="176" spans="3:14" x14ac:dyDescent="0.35">
      <c r="C176" s="75"/>
      <c r="D176" s="75"/>
      <c r="E176" s="75"/>
      <c r="F176" s="75"/>
      <c r="G176" s="75"/>
      <c r="H176" s="75"/>
      <c r="I176" s="75"/>
      <c r="J176" s="75"/>
      <c r="K176" s="75"/>
      <c r="L176" s="75"/>
      <c r="M176" s="75"/>
      <c r="N176" s="75"/>
    </row>
    <row r="177" spans="3:14" x14ac:dyDescent="0.35">
      <c r="C177" s="75"/>
      <c r="D177" s="75"/>
      <c r="E177" s="75"/>
      <c r="F177" s="75"/>
      <c r="G177" s="75"/>
      <c r="H177" s="75"/>
      <c r="I177" s="75"/>
      <c r="J177" s="75"/>
      <c r="K177" s="75"/>
      <c r="L177" s="75"/>
      <c r="M177" s="75"/>
      <c r="N177" s="75"/>
    </row>
    <row r="178" spans="3:14" x14ac:dyDescent="0.35">
      <c r="C178" s="75"/>
      <c r="D178" s="75"/>
      <c r="E178" s="75"/>
      <c r="F178" s="75"/>
      <c r="G178" s="75"/>
      <c r="H178" s="75"/>
      <c r="I178" s="75"/>
      <c r="J178" s="75"/>
      <c r="K178" s="75"/>
      <c r="L178" s="75"/>
      <c r="M178" s="75"/>
      <c r="N178" s="75"/>
    </row>
    <row r="179" spans="3:14" x14ac:dyDescent="0.35">
      <c r="C179" s="75"/>
      <c r="D179" s="75"/>
      <c r="E179" s="75"/>
      <c r="F179" s="75"/>
      <c r="G179" s="75"/>
      <c r="H179" s="75"/>
      <c r="I179" s="75"/>
      <c r="J179" s="75"/>
      <c r="K179" s="75"/>
      <c r="L179" s="75"/>
      <c r="M179" s="75"/>
      <c r="N179" s="75"/>
    </row>
    <row r="180" spans="3:14" x14ac:dyDescent="0.35">
      <c r="C180" s="75"/>
      <c r="D180" s="75"/>
      <c r="E180" s="75"/>
      <c r="F180" s="75"/>
      <c r="G180" s="75"/>
      <c r="H180" s="75"/>
      <c r="I180" s="75"/>
      <c r="J180" s="75"/>
      <c r="K180" s="75"/>
      <c r="L180" s="75"/>
      <c r="M180" s="75"/>
      <c r="N180" s="75"/>
    </row>
    <row r="181" spans="3:14" x14ac:dyDescent="0.35">
      <c r="C181" s="75"/>
      <c r="D181" s="75"/>
      <c r="E181" s="75"/>
      <c r="F181" s="75"/>
      <c r="G181" s="75"/>
      <c r="H181" s="75"/>
      <c r="I181" s="75"/>
      <c r="J181" s="75"/>
      <c r="K181" s="75"/>
      <c r="L181" s="75"/>
      <c r="M181" s="75"/>
      <c r="N181" s="75"/>
    </row>
    <row r="182" spans="3:14" x14ac:dyDescent="0.35">
      <c r="C182" s="75"/>
      <c r="D182" s="75"/>
      <c r="E182" s="75"/>
      <c r="F182" s="75"/>
      <c r="G182" s="75"/>
      <c r="H182" s="75"/>
      <c r="I182" s="75"/>
      <c r="J182" s="75"/>
      <c r="K182" s="75"/>
      <c r="L182" s="75"/>
      <c r="M182" s="75"/>
      <c r="N182" s="75"/>
    </row>
    <row r="183" spans="3:14" x14ac:dyDescent="0.35">
      <c r="C183" s="75"/>
      <c r="D183" s="75"/>
      <c r="E183" s="75"/>
      <c r="F183" s="75"/>
      <c r="G183" s="75"/>
      <c r="H183" s="75"/>
      <c r="I183" s="75"/>
      <c r="J183" s="75"/>
      <c r="K183" s="75"/>
      <c r="L183" s="75"/>
      <c r="M183" s="75"/>
      <c r="N183" s="75"/>
    </row>
    <row r="184" spans="3:14" x14ac:dyDescent="0.35">
      <c r="C184" s="75"/>
      <c r="D184" s="75"/>
      <c r="E184" s="75"/>
      <c r="F184" s="75"/>
      <c r="G184" s="75"/>
      <c r="H184" s="75"/>
      <c r="I184" s="75"/>
      <c r="J184" s="75"/>
      <c r="K184" s="75"/>
      <c r="L184" s="75"/>
      <c r="M184" s="75"/>
      <c r="N184" s="75"/>
    </row>
    <row r="185" spans="3:14" x14ac:dyDescent="0.35">
      <c r="C185" s="75"/>
      <c r="D185" s="75"/>
      <c r="E185" s="75"/>
      <c r="F185" s="75"/>
      <c r="G185" s="75"/>
      <c r="H185" s="75"/>
      <c r="I185" s="75"/>
      <c r="J185" s="75"/>
      <c r="K185" s="75"/>
      <c r="L185" s="75"/>
      <c r="M185" s="75"/>
      <c r="N185" s="75"/>
    </row>
    <row r="186" spans="3:14" x14ac:dyDescent="0.35">
      <c r="C186" s="75"/>
      <c r="D186" s="75"/>
      <c r="E186" s="75"/>
      <c r="F186" s="75"/>
      <c r="G186" s="75"/>
      <c r="H186" s="75"/>
      <c r="I186" s="75"/>
      <c r="J186" s="75"/>
      <c r="K186" s="75"/>
      <c r="L186" s="75"/>
      <c r="M186" s="75"/>
      <c r="N186" s="75"/>
    </row>
    <row r="187" spans="3:14" x14ac:dyDescent="0.35">
      <c r="C187" s="75"/>
      <c r="D187" s="75"/>
      <c r="E187" s="75"/>
      <c r="F187" s="75"/>
      <c r="G187" s="75"/>
      <c r="H187" s="75"/>
      <c r="I187" s="75"/>
      <c r="J187" s="75"/>
      <c r="K187" s="75"/>
      <c r="L187" s="75"/>
      <c r="M187" s="75"/>
      <c r="N187" s="75"/>
    </row>
    <row r="188" spans="3:14" x14ac:dyDescent="0.35">
      <c r="C188" s="75"/>
      <c r="D188" s="75"/>
      <c r="E188" s="75"/>
      <c r="F188" s="75"/>
      <c r="G188" s="75"/>
      <c r="H188" s="75"/>
      <c r="I188" s="75"/>
      <c r="J188" s="75"/>
      <c r="K188" s="75"/>
      <c r="L188" s="75"/>
      <c r="M188" s="75"/>
      <c r="N188" s="75"/>
    </row>
    <row r="189" spans="3:14" x14ac:dyDescent="0.35">
      <c r="C189" s="75"/>
      <c r="D189" s="75"/>
      <c r="E189" s="75"/>
      <c r="F189" s="75"/>
      <c r="G189" s="75"/>
      <c r="H189" s="75"/>
      <c r="I189" s="75"/>
      <c r="J189" s="75"/>
      <c r="K189" s="75"/>
      <c r="L189" s="75"/>
      <c r="M189" s="75"/>
      <c r="N189" s="75"/>
    </row>
    <row r="190" spans="3:14" x14ac:dyDescent="0.35">
      <c r="C190" s="75"/>
      <c r="D190" s="75"/>
      <c r="E190" s="75"/>
      <c r="F190" s="75"/>
      <c r="G190" s="75"/>
      <c r="H190" s="75"/>
      <c r="I190" s="75"/>
      <c r="J190" s="75"/>
      <c r="K190" s="75"/>
      <c r="L190" s="75"/>
      <c r="M190" s="75"/>
      <c r="N190" s="75"/>
    </row>
    <row r="191" spans="3:14" x14ac:dyDescent="0.35">
      <c r="C191" s="75"/>
      <c r="D191" s="75"/>
      <c r="E191" s="75"/>
      <c r="F191" s="75"/>
      <c r="G191" s="75"/>
      <c r="H191" s="75"/>
      <c r="I191" s="75"/>
      <c r="J191" s="75"/>
      <c r="K191" s="75"/>
      <c r="L191" s="75"/>
      <c r="M191" s="75"/>
      <c r="N191" s="75"/>
    </row>
    <row r="192" spans="3:14" x14ac:dyDescent="0.35">
      <c r="C192" s="75"/>
      <c r="D192" s="75"/>
      <c r="E192" s="75"/>
      <c r="F192" s="75"/>
      <c r="G192" s="75"/>
      <c r="H192" s="75"/>
      <c r="I192" s="75"/>
      <c r="J192" s="75"/>
      <c r="K192" s="75"/>
      <c r="L192" s="75"/>
      <c r="M192" s="75"/>
      <c r="N192" s="75"/>
    </row>
    <row r="193" spans="3:14" x14ac:dyDescent="0.35">
      <c r="C193" s="75"/>
      <c r="D193" s="75"/>
      <c r="E193" s="75"/>
      <c r="F193" s="75"/>
      <c r="G193" s="75"/>
      <c r="H193" s="75"/>
      <c r="I193" s="75"/>
      <c r="J193" s="75"/>
      <c r="K193" s="75"/>
      <c r="L193" s="75"/>
      <c r="M193" s="75"/>
      <c r="N193" s="75"/>
    </row>
    <row r="194" spans="3:14" x14ac:dyDescent="0.35">
      <c r="C194" s="75"/>
      <c r="D194" s="75"/>
      <c r="E194" s="75"/>
      <c r="F194" s="75"/>
      <c r="G194" s="75"/>
      <c r="H194" s="75"/>
      <c r="I194" s="75"/>
      <c r="J194" s="75"/>
      <c r="K194" s="75"/>
      <c r="L194" s="75"/>
      <c r="M194" s="75"/>
      <c r="N194" s="75"/>
    </row>
    <row r="195" spans="3:14" x14ac:dyDescent="0.35">
      <c r="C195" s="75"/>
      <c r="D195" s="75"/>
      <c r="E195" s="75"/>
      <c r="F195" s="75"/>
      <c r="G195" s="75"/>
      <c r="H195" s="75"/>
      <c r="I195" s="75"/>
      <c r="J195" s="75"/>
      <c r="K195" s="75"/>
      <c r="L195" s="75"/>
      <c r="M195" s="75"/>
      <c r="N195" s="75"/>
    </row>
    <row r="196" spans="3:14" x14ac:dyDescent="0.35">
      <c r="C196" s="75"/>
      <c r="D196" s="75"/>
      <c r="E196" s="75"/>
      <c r="F196" s="75"/>
      <c r="G196" s="75"/>
      <c r="H196" s="75"/>
      <c r="I196" s="75"/>
      <c r="J196" s="75"/>
      <c r="K196" s="75"/>
      <c r="L196" s="75"/>
      <c r="M196" s="75"/>
      <c r="N196" s="75"/>
    </row>
    <row r="197" spans="3:14" x14ac:dyDescent="0.35">
      <c r="C197" s="75"/>
      <c r="D197" s="75"/>
      <c r="E197" s="75"/>
      <c r="F197" s="75"/>
      <c r="G197" s="75"/>
      <c r="H197" s="75"/>
      <c r="I197" s="75"/>
      <c r="J197" s="75"/>
      <c r="K197" s="75"/>
      <c r="L197" s="75"/>
      <c r="M197" s="75"/>
      <c r="N197" s="75"/>
    </row>
    <row r="198" spans="3:14" x14ac:dyDescent="0.35">
      <c r="C198" s="75"/>
      <c r="D198" s="75"/>
      <c r="E198" s="75"/>
      <c r="F198" s="75"/>
      <c r="G198" s="75"/>
      <c r="H198" s="75"/>
      <c r="I198" s="75"/>
      <c r="J198" s="75"/>
      <c r="K198" s="75"/>
      <c r="L198" s="75"/>
      <c r="M198" s="75"/>
      <c r="N198" s="75"/>
    </row>
  </sheetData>
  <mergeCells count="5">
    <mergeCell ref="F2:G2"/>
    <mergeCell ref="H2:J2"/>
    <mergeCell ref="C2:E2"/>
    <mergeCell ref="K2:L2"/>
    <mergeCell ref="P2:S2"/>
  </mergeCells>
  <pageMargins left="0.7" right="0.7" top="0.75" bottom="0.75" header="0.3" footer="0.3"/>
  <pageSetup orientation="portrait" verticalDpi="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workbookViewId="0">
      <selection activeCell="A53" sqref="A53"/>
    </sheetView>
  </sheetViews>
  <sheetFormatPr defaultRowHeight="14.5" x14ac:dyDescent="0.35"/>
  <cols>
    <col min="1" max="1" width="10.81640625" customWidth="1"/>
    <col min="2" max="2" width="32.7265625" customWidth="1"/>
    <col min="3" max="3" width="16.1796875" customWidth="1"/>
    <col min="4" max="4" width="16.1796875" style="13" customWidth="1"/>
    <col min="5" max="5" width="16.1796875" customWidth="1"/>
    <col min="6" max="7" width="16.1796875" style="13" customWidth="1"/>
  </cols>
  <sheetData>
    <row r="1" spans="1:7" ht="15" thickBot="1" x14ac:dyDescent="0.4">
      <c r="A1" s="197" t="s">
        <v>400</v>
      </c>
      <c r="B1" s="198"/>
      <c r="C1" s="227" t="s">
        <v>181</v>
      </c>
      <c r="D1" s="228" t="s">
        <v>344</v>
      </c>
      <c r="E1" s="227" t="s">
        <v>181</v>
      </c>
      <c r="F1" s="229" t="s">
        <v>140</v>
      </c>
      <c r="G1" s="199" t="s">
        <v>360</v>
      </c>
    </row>
    <row r="2" spans="1:7" x14ac:dyDescent="0.35">
      <c r="A2" s="203"/>
      <c r="B2" s="200"/>
      <c r="C2" s="214"/>
      <c r="D2" s="215"/>
      <c r="E2" s="214"/>
      <c r="F2" s="204"/>
      <c r="G2" s="204"/>
    </row>
    <row r="3" spans="1:7" x14ac:dyDescent="0.35">
      <c r="A3" s="205" t="s">
        <v>340</v>
      </c>
      <c r="B3" s="200"/>
      <c r="C3" s="205"/>
      <c r="D3" s="206"/>
      <c r="E3" s="205"/>
      <c r="F3" s="206"/>
      <c r="G3" s="206"/>
    </row>
    <row r="4" spans="1:7" x14ac:dyDescent="0.35">
      <c r="A4" s="205"/>
      <c r="B4" s="200" t="s">
        <v>341</v>
      </c>
      <c r="C4" s="216" t="s">
        <v>361</v>
      </c>
      <c r="D4" s="206">
        <f>'Table 2'!O15</f>
        <v>5035141.4646700006</v>
      </c>
      <c r="E4" s="216" t="s">
        <v>362</v>
      </c>
      <c r="F4" s="206">
        <f>'Table 2'!O15</f>
        <v>5035141.4646700006</v>
      </c>
      <c r="G4" s="206">
        <f>D4-F4</f>
        <v>0</v>
      </c>
    </row>
    <row r="5" spans="1:7" x14ac:dyDescent="0.35">
      <c r="A5" s="205"/>
      <c r="B5" s="201" t="s">
        <v>342</v>
      </c>
      <c r="C5" s="217"/>
      <c r="D5" s="207"/>
      <c r="E5" s="217"/>
      <c r="F5" s="207"/>
      <c r="G5" s="207"/>
    </row>
    <row r="6" spans="1:7" x14ac:dyDescent="0.35">
      <c r="A6" s="205"/>
      <c r="B6" s="201" t="s">
        <v>343</v>
      </c>
      <c r="C6" s="217"/>
      <c r="D6" s="208"/>
      <c r="E6" s="217"/>
      <c r="F6" s="208"/>
      <c r="G6" s="208"/>
    </row>
    <row r="7" spans="1:7" s="1" customFormat="1" x14ac:dyDescent="0.35">
      <c r="A7" s="203" t="s">
        <v>390</v>
      </c>
      <c r="B7" s="202"/>
      <c r="C7" s="203"/>
      <c r="D7" s="209">
        <f>SUM(D4:D6)</f>
        <v>5035141.4646700006</v>
      </c>
      <c r="E7" s="203"/>
      <c r="F7" s="209">
        <f>SUM(F4:F6)</f>
        <v>5035141.4646700006</v>
      </c>
      <c r="G7" s="209">
        <f>D7-F7</f>
        <v>0</v>
      </c>
    </row>
    <row r="8" spans="1:7" x14ac:dyDescent="0.35">
      <c r="A8" s="205"/>
      <c r="B8" s="200"/>
      <c r="C8" s="205"/>
      <c r="D8" s="206"/>
      <c r="E8" s="205"/>
      <c r="F8" s="206"/>
      <c r="G8" s="206"/>
    </row>
    <row r="9" spans="1:7" x14ac:dyDescent="0.35">
      <c r="A9" s="205" t="s">
        <v>345</v>
      </c>
      <c r="B9" s="200"/>
      <c r="C9" s="205"/>
      <c r="D9" s="206"/>
      <c r="E9" s="205"/>
      <c r="F9" s="206"/>
      <c r="G9" s="206"/>
    </row>
    <row r="10" spans="1:7" x14ac:dyDescent="0.35">
      <c r="A10" s="205"/>
      <c r="B10" s="200" t="s">
        <v>346</v>
      </c>
      <c r="C10" s="216" t="s">
        <v>363</v>
      </c>
      <c r="D10" s="206">
        <f>'Table 2'!P15</f>
        <v>818431.76930000004</v>
      </c>
      <c r="E10" s="216" t="s">
        <v>373</v>
      </c>
      <c r="F10" s="206">
        <f>'Table 2'!P15</f>
        <v>818431.76930000004</v>
      </c>
      <c r="G10" s="206">
        <f>D10-F10</f>
        <v>0</v>
      </c>
    </row>
    <row r="11" spans="1:7" x14ac:dyDescent="0.35">
      <c r="A11" s="205"/>
      <c r="B11" s="200" t="s">
        <v>347</v>
      </c>
      <c r="C11" s="216" t="s">
        <v>364</v>
      </c>
      <c r="D11" s="206">
        <f>'Table 2'!Q15</f>
        <v>7200248</v>
      </c>
      <c r="E11" s="216" t="s">
        <v>374</v>
      </c>
      <c r="F11" s="206">
        <f>'Table 2'!T15</f>
        <v>4873998.0332856029</v>
      </c>
      <c r="G11" s="206">
        <f>D11-F11</f>
        <v>2326249.9667143971</v>
      </c>
    </row>
    <row r="12" spans="1:7" x14ac:dyDescent="0.35">
      <c r="A12" s="205"/>
      <c r="B12" s="200" t="s">
        <v>348</v>
      </c>
      <c r="C12" s="216" t="s">
        <v>365</v>
      </c>
      <c r="D12" s="206">
        <f>'Table 2'!R15</f>
        <v>-2983538.3046299992</v>
      </c>
      <c r="E12" s="216" t="s">
        <v>375</v>
      </c>
      <c r="F12" s="206">
        <f>'Table 2'!U15</f>
        <v>-657288.33791560214</v>
      </c>
      <c r="G12" s="206">
        <f>D12-F12</f>
        <v>-2326249.9667143971</v>
      </c>
    </row>
    <row r="13" spans="1:7" x14ac:dyDescent="0.35">
      <c r="A13" s="205"/>
      <c r="B13" s="201" t="s">
        <v>349</v>
      </c>
      <c r="C13" s="217"/>
      <c r="D13" s="207"/>
      <c r="E13" s="217"/>
      <c r="F13" s="207"/>
      <c r="G13" s="207"/>
    </row>
    <row r="14" spans="1:7" x14ac:dyDescent="0.35">
      <c r="A14" s="205"/>
      <c r="B14" s="201" t="s">
        <v>350</v>
      </c>
      <c r="C14" s="217"/>
      <c r="D14" s="208"/>
      <c r="E14" s="217"/>
      <c r="F14" s="208"/>
      <c r="G14" s="208"/>
    </row>
    <row r="15" spans="1:7" s="1" customFormat="1" x14ac:dyDescent="0.35">
      <c r="A15" s="203" t="s">
        <v>401</v>
      </c>
      <c r="B15" s="202"/>
      <c r="C15" s="203"/>
      <c r="D15" s="209">
        <f>SUM(D10:D14)</f>
        <v>5035141.4646700006</v>
      </c>
      <c r="E15" s="203"/>
      <c r="F15" s="209">
        <f>SUM(F10:F14)</f>
        <v>5035141.4646700006</v>
      </c>
      <c r="G15" s="209">
        <f>D15-F15</f>
        <v>0</v>
      </c>
    </row>
    <row r="16" spans="1:7" s="1" customFormat="1" x14ac:dyDescent="0.35">
      <c r="A16" s="205" t="s">
        <v>402</v>
      </c>
      <c r="B16" s="202"/>
      <c r="C16" s="216" t="s">
        <v>366</v>
      </c>
      <c r="D16" s="230">
        <f>-D30</f>
        <v>-2004919.6100000003</v>
      </c>
      <c r="E16" s="216" t="s">
        <v>377</v>
      </c>
      <c r="F16" s="230">
        <f>-F30</f>
        <v>321330.35671439674</v>
      </c>
      <c r="G16" s="230">
        <f t="shared" ref="G16:G18" si="0">D16-F16</f>
        <v>-2326249.9667143971</v>
      </c>
    </row>
    <row r="17" spans="1:7" s="1" customFormat="1" x14ac:dyDescent="0.35">
      <c r="A17" s="205" t="s">
        <v>403</v>
      </c>
      <c r="B17" s="202"/>
      <c r="C17" s="216" t="s">
        <v>367</v>
      </c>
      <c r="D17" s="231">
        <f>-D16</f>
        <v>2004919.6100000003</v>
      </c>
      <c r="E17" s="216" t="s">
        <v>378</v>
      </c>
      <c r="F17" s="231">
        <f>-F16</f>
        <v>-321330.35671439674</v>
      </c>
      <c r="G17" s="232">
        <f t="shared" si="0"/>
        <v>2326249.9667143971</v>
      </c>
    </row>
    <row r="18" spans="1:7" s="1" customFormat="1" x14ac:dyDescent="0.35">
      <c r="A18" s="203" t="s">
        <v>357</v>
      </c>
      <c r="B18" s="202"/>
      <c r="C18" s="203"/>
      <c r="D18" s="209">
        <f>SUM(D15:D17)</f>
        <v>5035141.4646700006</v>
      </c>
      <c r="E18" s="203"/>
      <c r="F18" s="209">
        <f>SUM(F15:F17)</f>
        <v>5035141.4646700006</v>
      </c>
      <c r="G18" s="209">
        <f t="shared" si="0"/>
        <v>0</v>
      </c>
    </row>
    <row r="19" spans="1:7" x14ac:dyDescent="0.35">
      <c r="A19" s="205"/>
      <c r="B19" s="200"/>
      <c r="C19" s="205"/>
      <c r="D19" s="206"/>
      <c r="E19" s="205"/>
      <c r="F19" s="206"/>
      <c r="G19" s="206"/>
    </row>
    <row r="20" spans="1:7" x14ac:dyDescent="0.35">
      <c r="A20" s="205" t="s">
        <v>351</v>
      </c>
      <c r="B20" s="200"/>
      <c r="C20" s="205"/>
      <c r="D20" s="206"/>
      <c r="E20" s="205"/>
      <c r="F20" s="206"/>
      <c r="G20" s="206"/>
    </row>
    <row r="21" spans="1:7" x14ac:dyDescent="0.35">
      <c r="A21" s="205"/>
      <c r="B21" s="201" t="s">
        <v>342</v>
      </c>
      <c r="C21" s="217"/>
      <c r="D21" s="207"/>
      <c r="E21" s="217"/>
      <c r="F21" s="207"/>
      <c r="G21" s="207"/>
    </row>
    <row r="22" spans="1:7" x14ac:dyDescent="0.35">
      <c r="A22" s="205"/>
      <c r="B22" s="200" t="s">
        <v>343</v>
      </c>
      <c r="C22" s="216" t="s">
        <v>368</v>
      </c>
      <c r="D22" s="210">
        <f>'Cl B Non-RPP GA'!P129</f>
        <v>6713766.1799999997</v>
      </c>
      <c r="E22" s="216" t="s">
        <v>379</v>
      </c>
      <c r="F22" s="210">
        <f>'Cl B Non-RPP GA'!P129</f>
        <v>6713766.1799999997</v>
      </c>
      <c r="G22" s="210">
        <f>D22-F22</f>
        <v>0</v>
      </c>
    </row>
    <row r="23" spans="1:7" s="1" customFormat="1" x14ac:dyDescent="0.35">
      <c r="A23" s="203" t="s">
        <v>391</v>
      </c>
      <c r="B23" s="202"/>
      <c r="C23" s="203"/>
      <c r="D23" s="209">
        <f>SUM(D21:D22)</f>
        <v>6713766.1799999997</v>
      </c>
      <c r="E23" s="203"/>
      <c r="F23" s="209">
        <f>SUM(F21:F22)</f>
        <v>6713766.1799999997</v>
      </c>
      <c r="G23" s="209">
        <f>D23-F23</f>
        <v>0</v>
      </c>
    </row>
    <row r="24" spans="1:7" x14ac:dyDescent="0.35">
      <c r="A24" s="205"/>
      <c r="B24" s="200"/>
      <c r="C24" s="205"/>
      <c r="D24" s="206"/>
      <c r="E24" s="205"/>
      <c r="F24" s="206"/>
      <c r="G24" s="206"/>
    </row>
    <row r="25" spans="1:7" x14ac:dyDescent="0.35">
      <c r="A25" s="205" t="s">
        <v>353</v>
      </c>
      <c r="B25" s="200"/>
      <c r="C25" s="205"/>
      <c r="D25" s="206"/>
      <c r="E25" s="205"/>
      <c r="F25" s="206"/>
      <c r="G25" s="206"/>
    </row>
    <row r="26" spans="1:7" x14ac:dyDescent="0.35">
      <c r="A26" s="205"/>
      <c r="B26" s="201" t="s">
        <v>342</v>
      </c>
      <c r="C26" s="217"/>
      <c r="D26" s="207"/>
      <c r="E26" s="217"/>
      <c r="F26" s="207"/>
      <c r="G26" s="207"/>
    </row>
    <row r="27" spans="1:7" x14ac:dyDescent="0.35">
      <c r="A27" s="205"/>
      <c r="B27" s="200" t="s">
        <v>343</v>
      </c>
      <c r="C27" s="216" t="s">
        <v>369</v>
      </c>
      <c r="D27" s="210">
        <f>'Table 2'!F15-'Table 2'!Q15</f>
        <v>3686489.4499999993</v>
      </c>
      <c r="E27" s="216" t="s">
        <v>380</v>
      </c>
      <c r="F27" s="210">
        <f>'Table 2'!F15-'Table 2'!T15</f>
        <v>6012739.4167143963</v>
      </c>
      <c r="G27" s="210">
        <f>D27-F27</f>
        <v>-2326249.9667143971</v>
      </c>
    </row>
    <row r="28" spans="1:7" x14ac:dyDescent="0.35">
      <c r="A28" s="205" t="s">
        <v>354</v>
      </c>
      <c r="B28" s="200"/>
      <c r="C28" s="216"/>
      <c r="D28" s="206">
        <f>SUM(D26:D27)</f>
        <v>3686489.4499999993</v>
      </c>
      <c r="E28" s="216"/>
      <c r="F28" s="206">
        <f>SUM(F26:F27)</f>
        <v>6012739.4167143963</v>
      </c>
      <c r="G28" s="206">
        <f>D28-F28</f>
        <v>-2326249.9667143971</v>
      </c>
    </row>
    <row r="29" spans="1:7" x14ac:dyDescent="0.35">
      <c r="A29" s="205" t="s">
        <v>355</v>
      </c>
      <c r="B29" s="200"/>
      <c r="C29" s="216" t="s">
        <v>370</v>
      </c>
      <c r="D29" s="206">
        <f>'Cl B Non-RPP GA'!P64</f>
        <v>5691409.0599999996</v>
      </c>
      <c r="E29" s="216" t="s">
        <v>376</v>
      </c>
      <c r="F29" s="206">
        <f>'Cl B Non-RPP GA'!P64</f>
        <v>5691409.0599999996</v>
      </c>
      <c r="G29" s="206">
        <f>D29-F29</f>
        <v>0</v>
      </c>
    </row>
    <row r="30" spans="1:7" x14ac:dyDescent="0.35">
      <c r="A30" s="205" t="s">
        <v>352</v>
      </c>
      <c r="B30" s="200"/>
      <c r="C30" s="216" t="s">
        <v>371</v>
      </c>
      <c r="D30" s="210">
        <f>D29-D28</f>
        <v>2004919.6100000003</v>
      </c>
      <c r="E30" s="216" t="s">
        <v>381</v>
      </c>
      <c r="F30" s="210">
        <f>F29-F28</f>
        <v>-321330.35671439674</v>
      </c>
      <c r="G30" s="210">
        <f>D30-F30</f>
        <v>2326249.9667143971</v>
      </c>
    </row>
    <row r="31" spans="1:7" s="1" customFormat="1" x14ac:dyDescent="0.35">
      <c r="A31" s="203" t="s">
        <v>356</v>
      </c>
      <c r="B31" s="202"/>
      <c r="C31" s="203"/>
      <c r="D31" s="209">
        <f>D28+D30</f>
        <v>5691409.0599999996</v>
      </c>
      <c r="E31" s="203"/>
      <c r="F31" s="209">
        <f>F28+F30</f>
        <v>5691409.0599999996</v>
      </c>
      <c r="G31" s="209">
        <f>D31-F31</f>
        <v>0</v>
      </c>
    </row>
    <row r="32" spans="1:7" x14ac:dyDescent="0.35">
      <c r="A32" s="205"/>
      <c r="B32" s="200"/>
      <c r="C32" s="205"/>
      <c r="D32" s="206"/>
      <c r="E32" s="205"/>
      <c r="F32" s="206"/>
      <c r="G32" s="206"/>
    </row>
    <row r="33" spans="1:7" s="1" customFormat="1" x14ac:dyDescent="0.35">
      <c r="A33" s="203" t="s">
        <v>358</v>
      </c>
      <c r="B33" s="202"/>
      <c r="C33" s="216" t="s">
        <v>372</v>
      </c>
      <c r="D33" s="209">
        <f>D7-D18</f>
        <v>0</v>
      </c>
      <c r="E33" s="216" t="s">
        <v>382</v>
      </c>
      <c r="F33" s="209">
        <f>F7-F18</f>
        <v>0</v>
      </c>
      <c r="G33" s="209">
        <f>D33-F33</f>
        <v>0</v>
      </c>
    </row>
    <row r="34" spans="1:7" s="1" customFormat="1" x14ac:dyDescent="0.35">
      <c r="A34" s="203"/>
      <c r="B34" s="202"/>
      <c r="C34" s="203"/>
      <c r="D34" s="209"/>
      <c r="E34" s="203"/>
      <c r="F34" s="209"/>
      <c r="G34" s="209"/>
    </row>
    <row r="35" spans="1:7" s="1" customFormat="1" x14ac:dyDescent="0.35">
      <c r="A35" s="203" t="s">
        <v>359</v>
      </c>
      <c r="B35" s="202"/>
      <c r="C35" s="216" t="s">
        <v>405</v>
      </c>
      <c r="D35" s="209">
        <f>D23-D31</f>
        <v>1022357.1200000001</v>
      </c>
      <c r="E35" s="216" t="s">
        <v>407</v>
      </c>
      <c r="F35" s="209">
        <f>F23-F31</f>
        <v>1022357.1200000001</v>
      </c>
      <c r="G35" s="209">
        <f>D35-F35</f>
        <v>0</v>
      </c>
    </row>
    <row r="36" spans="1:7" x14ac:dyDescent="0.35">
      <c r="A36" s="205"/>
      <c r="B36" s="200"/>
      <c r="C36" s="205"/>
      <c r="D36" s="206"/>
      <c r="E36" s="205"/>
      <c r="F36" s="206"/>
      <c r="G36" s="206"/>
    </row>
    <row r="37" spans="1:7" s="1" customFormat="1" x14ac:dyDescent="0.35">
      <c r="A37" s="211" t="s">
        <v>404</v>
      </c>
      <c r="B37" s="212"/>
      <c r="C37" s="218" t="s">
        <v>406</v>
      </c>
      <c r="D37" s="213">
        <f>D17</f>
        <v>2004919.6100000003</v>
      </c>
      <c r="E37" s="218" t="s">
        <v>408</v>
      </c>
      <c r="F37" s="213">
        <f>F17</f>
        <v>-321330.35671439674</v>
      </c>
      <c r="G37" s="213">
        <f>D37-F37</f>
        <v>2326249.9667143971</v>
      </c>
    </row>
    <row r="38" spans="1:7" s="222" customFormat="1" x14ac:dyDescent="0.35">
      <c r="A38" s="200"/>
      <c r="B38" s="200"/>
      <c r="C38" s="200"/>
      <c r="D38" s="54"/>
      <c r="E38" s="200"/>
      <c r="F38" s="54"/>
      <c r="G38" s="54"/>
    </row>
    <row r="39" spans="1:7" s="1" customFormat="1" x14ac:dyDescent="0.35">
      <c r="A39" s="223" t="s">
        <v>187</v>
      </c>
      <c r="B39" s="224" t="s">
        <v>185</v>
      </c>
      <c r="C39" s="224"/>
      <c r="D39" s="224" t="s">
        <v>187</v>
      </c>
      <c r="E39" s="224" t="s">
        <v>185</v>
      </c>
      <c r="F39" s="225"/>
      <c r="G39" s="226"/>
    </row>
    <row r="40" spans="1:7" s="195" customFormat="1" x14ac:dyDescent="0.35">
      <c r="A40" s="219" t="s">
        <v>361</v>
      </c>
      <c r="B40" s="338" t="s">
        <v>383</v>
      </c>
      <c r="C40" s="338"/>
      <c r="D40" s="220" t="s">
        <v>362</v>
      </c>
      <c r="E40" s="338" t="s">
        <v>394</v>
      </c>
      <c r="F40" s="338"/>
      <c r="G40" s="339"/>
    </row>
    <row r="41" spans="1:7" s="195" customFormat="1" x14ac:dyDescent="0.35">
      <c r="A41" s="219" t="s">
        <v>363</v>
      </c>
      <c r="B41" s="338" t="s">
        <v>384</v>
      </c>
      <c r="C41" s="338"/>
      <c r="D41" s="220" t="s">
        <v>373</v>
      </c>
      <c r="E41" s="338" t="s">
        <v>395</v>
      </c>
      <c r="F41" s="338"/>
      <c r="G41" s="339"/>
    </row>
    <row r="42" spans="1:7" s="195" customFormat="1" x14ac:dyDescent="0.35">
      <c r="A42" s="219" t="s">
        <v>364</v>
      </c>
      <c r="B42" s="338" t="s">
        <v>385</v>
      </c>
      <c r="C42" s="338"/>
      <c r="D42" s="220" t="s">
        <v>374</v>
      </c>
      <c r="E42" s="336" t="s">
        <v>396</v>
      </c>
      <c r="F42" s="336"/>
      <c r="G42" s="337"/>
    </row>
    <row r="43" spans="1:7" s="195" customFormat="1" x14ac:dyDescent="0.35">
      <c r="A43" s="219" t="s">
        <v>365</v>
      </c>
      <c r="B43" s="338" t="s">
        <v>386</v>
      </c>
      <c r="C43" s="338"/>
      <c r="D43" s="220" t="s">
        <v>375</v>
      </c>
      <c r="E43" s="336" t="s">
        <v>397</v>
      </c>
      <c r="F43" s="336"/>
      <c r="G43" s="337"/>
    </row>
    <row r="44" spans="1:7" s="195" customFormat="1" x14ac:dyDescent="0.35">
      <c r="A44" s="219" t="s">
        <v>366</v>
      </c>
      <c r="B44" s="233" t="s">
        <v>409</v>
      </c>
      <c r="C44" s="233"/>
      <c r="D44" s="220" t="s">
        <v>377</v>
      </c>
      <c r="E44" s="234" t="s">
        <v>410</v>
      </c>
      <c r="F44" s="234"/>
      <c r="G44" s="235"/>
    </row>
    <row r="45" spans="1:7" s="195" customFormat="1" x14ac:dyDescent="0.35">
      <c r="A45" s="219" t="s">
        <v>367</v>
      </c>
      <c r="B45" s="233" t="s">
        <v>411</v>
      </c>
      <c r="C45" s="233"/>
      <c r="D45" s="220" t="s">
        <v>378</v>
      </c>
      <c r="E45" s="234" t="s">
        <v>412</v>
      </c>
      <c r="F45" s="234"/>
      <c r="G45" s="235"/>
    </row>
    <row r="46" spans="1:7" s="195" customFormat="1" x14ac:dyDescent="0.35">
      <c r="A46" s="219" t="s">
        <v>368</v>
      </c>
      <c r="B46" s="338" t="s">
        <v>387</v>
      </c>
      <c r="C46" s="338"/>
      <c r="D46" s="220" t="s">
        <v>379</v>
      </c>
      <c r="E46" s="336" t="s">
        <v>399</v>
      </c>
      <c r="F46" s="336"/>
      <c r="G46" s="337"/>
    </row>
    <row r="47" spans="1:7" s="195" customFormat="1" ht="47.25" customHeight="1" x14ac:dyDescent="0.35">
      <c r="A47" s="219" t="s">
        <v>369</v>
      </c>
      <c r="B47" s="336" t="s">
        <v>388</v>
      </c>
      <c r="C47" s="336"/>
      <c r="D47" s="220" t="s">
        <v>380</v>
      </c>
      <c r="E47" s="336" t="s">
        <v>398</v>
      </c>
      <c r="F47" s="336"/>
      <c r="G47" s="337"/>
    </row>
    <row r="48" spans="1:7" s="195" customFormat="1" ht="30.75" customHeight="1" x14ac:dyDescent="0.35">
      <c r="A48" s="219" t="s">
        <v>370</v>
      </c>
      <c r="B48" s="336" t="s">
        <v>389</v>
      </c>
      <c r="C48" s="336"/>
      <c r="D48" s="220" t="s">
        <v>376</v>
      </c>
      <c r="E48" s="336" t="s">
        <v>413</v>
      </c>
      <c r="F48" s="336"/>
      <c r="G48" s="337"/>
    </row>
    <row r="49" spans="1:7" s="195" customFormat="1" x14ac:dyDescent="0.35">
      <c r="A49" s="219" t="s">
        <v>371</v>
      </c>
      <c r="B49" s="338" t="s">
        <v>414</v>
      </c>
      <c r="C49" s="338"/>
      <c r="D49" s="220" t="s">
        <v>381</v>
      </c>
      <c r="E49" s="336" t="s">
        <v>415</v>
      </c>
      <c r="F49" s="336"/>
      <c r="G49" s="337"/>
    </row>
    <row r="50" spans="1:7" s="195" customFormat="1" x14ac:dyDescent="0.35">
      <c r="A50" s="219" t="s">
        <v>372</v>
      </c>
      <c r="B50" s="336" t="s">
        <v>392</v>
      </c>
      <c r="C50" s="336"/>
      <c r="D50" s="220" t="s">
        <v>382</v>
      </c>
      <c r="E50" s="336" t="s">
        <v>392</v>
      </c>
      <c r="F50" s="336"/>
      <c r="G50" s="337"/>
    </row>
    <row r="51" spans="1:7" s="195" customFormat="1" x14ac:dyDescent="0.35">
      <c r="A51" s="219" t="s">
        <v>405</v>
      </c>
      <c r="B51" s="336" t="s">
        <v>393</v>
      </c>
      <c r="C51" s="336"/>
      <c r="D51" s="220" t="s">
        <v>407</v>
      </c>
      <c r="E51" s="336" t="s">
        <v>393</v>
      </c>
      <c r="F51" s="336"/>
      <c r="G51" s="337"/>
    </row>
    <row r="52" spans="1:7" s="195" customFormat="1" x14ac:dyDescent="0.35">
      <c r="A52" s="219" t="s">
        <v>406</v>
      </c>
      <c r="B52" s="234" t="s">
        <v>416</v>
      </c>
      <c r="C52" s="234"/>
      <c r="D52" s="220" t="s">
        <v>408</v>
      </c>
      <c r="E52" s="234" t="s">
        <v>417</v>
      </c>
      <c r="F52" s="234"/>
      <c r="G52" s="235"/>
    </row>
    <row r="53" spans="1:7" x14ac:dyDescent="0.35">
      <c r="A53" s="218"/>
      <c r="B53" s="221"/>
      <c r="C53" s="221"/>
      <c r="D53" s="196"/>
      <c r="E53" s="221"/>
      <c r="F53" s="196"/>
      <c r="G53" s="210"/>
    </row>
    <row r="54" spans="1:7" x14ac:dyDescent="0.35">
      <c r="A54" s="159"/>
    </row>
    <row r="55" spans="1:7" x14ac:dyDescent="0.35">
      <c r="A55" s="159"/>
    </row>
  </sheetData>
  <mergeCells count="20">
    <mergeCell ref="E48:G48"/>
    <mergeCell ref="E49:G49"/>
    <mergeCell ref="E50:G50"/>
    <mergeCell ref="E51:G51"/>
    <mergeCell ref="B48:C48"/>
    <mergeCell ref="B49:C49"/>
    <mergeCell ref="B50:C50"/>
    <mergeCell ref="B51:C51"/>
    <mergeCell ref="B47:C47"/>
    <mergeCell ref="E47:G47"/>
    <mergeCell ref="B40:C40"/>
    <mergeCell ref="B41:C41"/>
    <mergeCell ref="B42:C42"/>
    <mergeCell ref="B43:C43"/>
    <mergeCell ref="B46:C46"/>
    <mergeCell ref="E40:G40"/>
    <mergeCell ref="E41:G41"/>
    <mergeCell ref="E42:G42"/>
    <mergeCell ref="E43:G43"/>
    <mergeCell ref="E46:G4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X59"/>
  <sheetViews>
    <sheetView zoomScaleNormal="100" workbookViewId="0">
      <pane xSplit="1" ySplit="2" topLeftCell="X24" activePane="bottomRight" state="frozen"/>
      <selection activeCell="AB30" sqref="AB30"/>
      <selection pane="topRight" activeCell="AB30" sqref="AB30"/>
      <selection pane="bottomLeft" activeCell="AB30" sqref="AB30"/>
      <selection pane="bottomRight" activeCell="AD31" sqref="AD31"/>
    </sheetView>
  </sheetViews>
  <sheetFormatPr defaultRowHeight="14.5" x14ac:dyDescent="0.35"/>
  <cols>
    <col min="1" max="1" width="23" customWidth="1"/>
    <col min="2" max="2" width="10.1796875" bestFit="1" customWidth="1"/>
    <col min="3" max="50" width="14.1796875" customWidth="1"/>
  </cols>
  <sheetData>
    <row r="1" spans="1:50" x14ac:dyDescent="0.35">
      <c r="A1" s="237" t="s">
        <v>418</v>
      </c>
    </row>
    <row r="2" spans="1:50" x14ac:dyDescent="0.35">
      <c r="A2" s="1" t="s">
        <v>419</v>
      </c>
      <c r="B2" s="239">
        <v>41974</v>
      </c>
      <c r="C2" s="238">
        <f>EOMONTH(B2, 1)</f>
        <v>42035</v>
      </c>
      <c r="D2" s="238">
        <f t="shared" ref="D2:AX2" si="0">EOMONTH(C2, 1)</f>
        <v>42063</v>
      </c>
      <c r="E2" s="238">
        <f t="shared" si="0"/>
        <v>42094</v>
      </c>
      <c r="F2" s="238">
        <f t="shared" si="0"/>
        <v>42124</v>
      </c>
      <c r="G2" s="238">
        <f t="shared" si="0"/>
        <v>42155</v>
      </c>
      <c r="H2" s="238">
        <f t="shared" si="0"/>
        <v>42185</v>
      </c>
      <c r="I2" s="238">
        <f t="shared" si="0"/>
        <v>42216</v>
      </c>
      <c r="J2" s="238">
        <f t="shared" si="0"/>
        <v>42247</v>
      </c>
      <c r="K2" s="238">
        <f t="shared" si="0"/>
        <v>42277</v>
      </c>
      <c r="L2" s="238">
        <f t="shared" si="0"/>
        <v>42308</v>
      </c>
      <c r="M2" s="238">
        <f t="shared" si="0"/>
        <v>42338</v>
      </c>
      <c r="N2" s="238">
        <f t="shared" si="0"/>
        <v>42369</v>
      </c>
      <c r="O2" s="238">
        <f t="shared" si="0"/>
        <v>42400</v>
      </c>
      <c r="P2" s="238">
        <f t="shared" si="0"/>
        <v>42429</v>
      </c>
      <c r="Q2" s="238">
        <f t="shared" si="0"/>
        <v>42460</v>
      </c>
      <c r="R2" s="238">
        <f t="shared" si="0"/>
        <v>42490</v>
      </c>
      <c r="S2" s="238">
        <f t="shared" si="0"/>
        <v>42521</v>
      </c>
      <c r="T2" s="238">
        <f t="shared" si="0"/>
        <v>42551</v>
      </c>
      <c r="U2" s="238">
        <f t="shared" si="0"/>
        <v>42582</v>
      </c>
      <c r="V2" s="238">
        <f t="shared" si="0"/>
        <v>42613</v>
      </c>
      <c r="W2" s="238">
        <f t="shared" si="0"/>
        <v>42643</v>
      </c>
      <c r="X2" s="238">
        <f t="shared" si="0"/>
        <v>42674</v>
      </c>
      <c r="Y2" s="238">
        <f t="shared" si="0"/>
        <v>42704</v>
      </c>
      <c r="Z2" s="238">
        <f t="shared" si="0"/>
        <v>42735</v>
      </c>
      <c r="AA2" s="238">
        <f t="shared" si="0"/>
        <v>42766</v>
      </c>
      <c r="AB2" s="238">
        <f t="shared" si="0"/>
        <v>42794</v>
      </c>
      <c r="AC2" s="238">
        <f t="shared" si="0"/>
        <v>42825</v>
      </c>
      <c r="AD2" s="238">
        <f t="shared" si="0"/>
        <v>42855</v>
      </c>
      <c r="AE2" s="238">
        <f t="shared" si="0"/>
        <v>42886</v>
      </c>
      <c r="AF2" s="238">
        <f t="shared" si="0"/>
        <v>42916</v>
      </c>
      <c r="AG2" s="238">
        <f t="shared" si="0"/>
        <v>42947</v>
      </c>
      <c r="AH2" s="238">
        <f t="shared" si="0"/>
        <v>42978</v>
      </c>
      <c r="AI2" s="238">
        <f t="shared" si="0"/>
        <v>43008</v>
      </c>
      <c r="AJ2" s="238">
        <f t="shared" si="0"/>
        <v>43039</v>
      </c>
      <c r="AK2" s="238">
        <f t="shared" si="0"/>
        <v>43069</v>
      </c>
      <c r="AL2" s="238">
        <f t="shared" si="0"/>
        <v>43100</v>
      </c>
      <c r="AM2" s="238">
        <f t="shared" si="0"/>
        <v>43131</v>
      </c>
      <c r="AN2" s="238">
        <f t="shared" si="0"/>
        <v>43159</v>
      </c>
      <c r="AO2" s="238">
        <f t="shared" si="0"/>
        <v>43190</v>
      </c>
      <c r="AP2" s="238">
        <f t="shared" si="0"/>
        <v>43220</v>
      </c>
      <c r="AQ2" s="238">
        <f t="shared" si="0"/>
        <v>43251</v>
      </c>
      <c r="AR2" s="238">
        <f t="shared" si="0"/>
        <v>43281</v>
      </c>
      <c r="AS2" s="238">
        <f t="shared" si="0"/>
        <v>43312</v>
      </c>
      <c r="AT2" s="238">
        <f t="shared" si="0"/>
        <v>43343</v>
      </c>
      <c r="AU2" s="238">
        <f t="shared" si="0"/>
        <v>43373</v>
      </c>
      <c r="AV2" s="238">
        <f t="shared" si="0"/>
        <v>43404</v>
      </c>
      <c r="AW2" s="238">
        <f t="shared" si="0"/>
        <v>43434</v>
      </c>
      <c r="AX2" s="238">
        <f t="shared" si="0"/>
        <v>43465</v>
      </c>
    </row>
    <row r="3" spans="1:50" x14ac:dyDescent="0.35">
      <c r="A3" s="1" t="s">
        <v>420</v>
      </c>
      <c r="B3" s="240"/>
    </row>
    <row r="4" spans="1:50" x14ac:dyDescent="0.35">
      <c r="A4" s="239">
        <v>41974</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row>
    <row r="5" spans="1:50" x14ac:dyDescent="0.35">
      <c r="A5" s="238">
        <f>EOMONTH(A4, 1)</f>
        <v>42035</v>
      </c>
      <c r="B5" s="240"/>
      <c r="C5" s="286">
        <v>1545858.2810698608</v>
      </c>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51"/>
      <c r="AE5" s="251"/>
      <c r="AF5" s="251"/>
      <c r="AG5" s="251"/>
      <c r="AH5" s="251"/>
      <c r="AI5" s="251"/>
      <c r="AJ5" s="251"/>
      <c r="AK5" s="251"/>
      <c r="AL5" s="251"/>
      <c r="AM5" s="13"/>
      <c r="AN5" s="13"/>
      <c r="AO5" s="13"/>
      <c r="AP5" s="13"/>
      <c r="AQ5" s="13"/>
      <c r="AR5" s="13"/>
      <c r="AS5" s="13"/>
      <c r="AT5" s="13"/>
      <c r="AU5" s="13"/>
      <c r="AV5" s="13"/>
      <c r="AW5" s="13"/>
      <c r="AX5" s="13"/>
    </row>
    <row r="6" spans="1:50" x14ac:dyDescent="0.35">
      <c r="A6" s="238">
        <f t="shared" ref="A6:A55" si="1">EOMONTH(A5, 1)</f>
        <v>42063</v>
      </c>
      <c r="B6" s="240"/>
      <c r="C6" s="286">
        <v>60784749.972931534</v>
      </c>
      <c r="D6" s="286">
        <v>595871.88398947427</v>
      </c>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51"/>
      <c r="AE6" s="251"/>
      <c r="AF6" s="251"/>
      <c r="AG6" s="251"/>
      <c r="AH6" s="251"/>
      <c r="AI6" s="251"/>
      <c r="AJ6" s="251"/>
      <c r="AK6" s="251"/>
      <c r="AL6" s="251"/>
      <c r="AM6" s="13"/>
      <c r="AN6" s="13"/>
      <c r="AO6" s="13"/>
      <c r="AP6" s="13"/>
      <c r="AQ6" s="13"/>
      <c r="AR6" s="13"/>
      <c r="AS6" s="13"/>
      <c r="AT6" s="13"/>
      <c r="AU6" s="13"/>
      <c r="AV6" s="13"/>
      <c r="AW6" s="13"/>
      <c r="AX6" s="13"/>
    </row>
    <row r="7" spans="1:50" x14ac:dyDescent="0.35">
      <c r="A7" s="238">
        <f t="shared" si="1"/>
        <v>42094</v>
      </c>
      <c r="B7" s="240"/>
      <c r="C7" s="286">
        <v>3007209.7080099955</v>
      </c>
      <c r="D7" s="286">
        <v>58093259.49175182</v>
      </c>
      <c r="E7" s="286">
        <v>1012097.3312521514</v>
      </c>
      <c r="F7" s="286"/>
      <c r="G7" s="286"/>
      <c r="H7" s="286"/>
      <c r="I7" s="286"/>
      <c r="J7" s="286"/>
      <c r="K7" s="286"/>
      <c r="L7" s="286"/>
      <c r="M7" s="286"/>
      <c r="N7" s="286"/>
      <c r="O7" s="286"/>
      <c r="P7" s="286"/>
      <c r="Q7" s="286"/>
      <c r="R7" s="286"/>
      <c r="S7" s="286"/>
      <c r="T7" s="286"/>
      <c r="U7" s="286"/>
      <c r="V7" s="286"/>
      <c r="W7" s="286"/>
      <c r="X7" s="286"/>
      <c r="Y7" s="286"/>
      <c r="Z7" s="286"/>
      <c r="AA7" s="286"/>
      <c r="AB7" s="286"/>
      <c r="AC7" s="286"/>
      <c r="AD7" s="251"/>
      <c r="AE7" s="251"/>
      <c r="AF7" s="251"/>
      <c r="AG7" s="251"/>
      <c r="AH7" s="251"/>
      <c r="AI7" s="251"/>
      <c r="AJ7" s="251"/>
      <c r="AK7" s="251"/>
      <c r="AL7" s="251"/>
      <c r="AM7" s="13"/>
      <c r="AN7" s="13"/>
      <c r="AO7" s="13"/>
      <c r="AP7" s="13"/>
      <c r="AQ7" s="13"/>
      <c r="AR7" s="13"/>
      <c r="AS7" s="13"/>
      <c r="AT7" s="13"/>
      <c r="AU7" s="13"/>
      <c r="AV7" s="13"/>
      <c r="AW7" s="13"/>
      <c r="AX7" s="13"/>
    </row>
    <row r="8" spans="1:50" x14ac:dyDescent="0.35">
      <c r="A8" s="238">
        <f t="shared" si="1"/>
        <v>42124</v>
      </c>
      <c r="B8" s="240"/>
      <c r="C8" s="286">
        <v>184953.23143992687</v>
      </c>
      <c r="D8" s="286">
        <v>1692891.2647878737</v>
      </c>
      <c r="E8" s="286">
        <v>61076368.708816387</v>
      </c>
      <c r="F8" s="286">
        <v>707876.51495581993</v>
      </c>
      <c r="G8" s="286"/>
      <c r="H8" s="286"/>
      <c r="I8" s="286"/>
      <c r="J8" s="286"/>
      <c r="K8" s="286"/>
      <c r="L8" s="286"/>
      <c r="M8" s="286"/>
      <c r="N8" s="286"/>
      <c r="O8" s="286"/>
      <c r="P8" s="286"/>
      <c r="Q8" s="286"/>
      <c r="R8" s="286"/>
      <c r="S8" s="286"/>
      <c r="T8" s="286"/>
      <c r="U8" s="286"/>
      <c r="V8" s="286"/>
      <c r="W8" s="286"/>
      <c r="X8" s="286"/>
      <c r="Y8" s="286"/>
      <c r="Z8" s="286"/>
      <c r="AA8" s="286"/>
      <c r="AB8" s="286"/>
      <c r="AC8" s="286"/>
      <c r="AD8" s="251"/>
      <c r="AE8" s="251"/>
      <c r="AF8" s="251"/>
      <c r="AG8" s="251"/>
      <c r="AH8" s="251"/>
      <c r="AI8" s="251"/>
      <c r="AJ8" s="251"/>
      <c r="AK8" s="251"/>
      <c r="AL8" s="251"/>
      <c r="AM8" s="13"/>
      <c r="AN8" s="13"/>
      <c r="AO8" s="13"/>
      <c r="AP8" s="13"/>
      <c r="AQ8" s="13"/>
      <c r="AR8" s="13"/>
      <c r="AS8" s="13"/>
      <c r="AT8" s="13"/>
      <c r="AU8" s="13"/>
      <c r="AV8" s="13"/>
      <c r="AW8" s="13"/>
      <c r="AX8" s="13"/>
    </row>
    <row r="9" spans="1:50" x14ac:dyDescent="0.35">
      <c r="A9" s="238">
        <f t="shared" si="1"/>
        <v>42155</v>
      </c>
      <c r="B9" s="240"/>
      <c r="C9" s="286"/>
      <c r="D9" s="286">
        <v>292164.54128088028</v>
      </c>
      <c r="E9" s="286">
        <v>2381940.7536532981</v>
      </c>
      <c r="F9" s="286">
        <v>56963701.532360844</v>
      </c>
      <c r="G9" s="286">
        <v>1284685.8027049722</v>
      </c>
      <c r="H9" s="286"/>
      <c r="I9" s="286"/>
      <c r="J9" s="286"/>
      <c r="K9" s="286"/>
      <c r="L9" s="286"/>
      <c r="M9" s="286"/>
      <c r="N9" s="286"/>
      <c r="O9" s="286"/>
      <c r="P9" s="286"/>
      <c r="Q9" s="286"/>
      <c r="R9" s="286"/>
      <c r="S9" s="286"/>
      <c r="T9" s="286"/>
      <c r="U9" s="286"/>
      <c r="V9" s="286"/>
      <c r="W9" s="286"/>
      <c r="X9" s="286"/>
      <c r="Y9" s="286"/>
      <c r="Z9" s="286"/>
      <c r="AA9" s="286"/>
      <c r="AB9" s="286"/>
      <c r="AC9" s="286"/>
      <c r="AD9" s="251"/>
      <c r="AE9" s="251"/>
      <c r="AF9" s="251"/>
      <c r="AG9" s="251"/>
      <c r="AH9" s="251"/>
      <c r="AI9" s="251"/>
      <c r="AJ9" s="251"/>
      <c r="AK9" s="251"/>
      <c r="AL9" s="251"/>
      <c r="AM9" s="13"/>
      <c r="AN9" s="13"/>
      <c r="AO9" s="13"/>
      <c r="AP9" s="13"/>
      <c r="AQ9" s="13"/>
      <c r="AR9" s="13"/>
      <c r="AS9" s="13"/>
      <c r="AT9" s="13"/>
      <c r="AU9" s="13"/>
      <c r="AV9" s="13"/>
      <c r="AW9" s="13"/>
      <c r="AX9" s="13"/>
    </row>
    <row r="10" spans="1:50" x14ac:dyDescent="0.35">
      <c r="A10" s="238">
        <f t="shared" si="1"/>
        <v>42185</v>
      </c>
      <c r="B10" s="240"/>
      <c r="C10" s="286"/>
      <c r="D10" s="286"/>
      <c r="E10" s="286">
        <v>212275.3420436508</v>
      </c>
      <c r="F10" s="286">
        <v>1212747.6944525689</v>
      </c>
      <c r="G10" s="286">
        <v>57682686.118173614</v>
      </c>
      <c r="H10" s="286">
        <v>427820.90533010283</v>
      </c>
      <c r="I10" s="286"/>
      <c r="J10" s="286"/>
      <c r="K10" s="286"/>
      <c r="L10" s="286"/>
      <c r="M10" s="286"/>
      <c r="N10" s="286"/>
      <c r="O10" s="286"/>
      <c r="P10" s="286"/>
      <c r="Q10" s="286"/>
      <c r="R10" s="286"/>
      <c r="S10" s="286"/>
      <c r="T10" s="286"/>
      <c r="U10" s="286"/>
      <c r="V10" s="286"/>
      <c r="W10" s="286"/>
      <c r="X10" s="286"/>
      <c r="Y10" s="286"/>
      <c r="Z10" s="286"/>
      <c r="AA10" s="286"/>
      <c r="AB10" s="286"/>
      <c r="AC10" s="286"/>
      <c r="AD10" s="251"/>
      <c r="AE10" s="251"/>
      <c r="AF10" s="251"/>
      <c r="AG10" s="251"/>
      <c r="AH10" s="251"/>
      <c r="AI10" s="251"/>
      <c r="AJ10" s="251"/>
      <c r="AK10" s="251"/>
      <c r="AL10" s="251"/>
      <c r="AM10" s="13"/>
      <c r="AN10" s="13"/>
      <c r="AO10" s="13"/>
      <c r="AP10" s="13"/>
      <c r="AQ10" s="13"/>
      <c r="AR10" s="13"/>
      <c r="AS10" s="13"/>
      <c r="AT10" s="13"/>
      <c r="AU10" s="13"/>
      <c r="AV10" s="13"/>
      <c r="AW10" s="13"/>
      <c r="AX10" s="13"/>
    </row>
    <row r="11" spans="1:50" x14ac:dyDescent="0.35">
      <c r="A11" s="238">
        <f t="shared" si="1"/>
        <v>42216</v>
      </c>
      <c r="B11" s="240"/>
      <c r="C11" s="286"/>
      <c r="D11" s="286"/>
      <c r="E11" s="286"/>
      <c r="F11" s="286">
        <v>193549.37857249175</v>
      </c>
      <c r="G11" s="286">
        <v>2406212.3912534323</v>
      </c>
      <c r="H11" s="286">
        <v>60822315.349926688</v>
      </c>
      <c r="I11" s="286">
        <v>1174303.5802474937</v>
      </c>
      <c r="J11" s="286"/>
      <c r="K11" s="286"/>
      <c r="L11" s="286"/>
      <c r="M11" s="286"/>
      <c r="N11" s="286"/>
      <c r="O11" s="286"/>
      <c r="P11" s="286"/>
      <c r="Q11" s="286"/>
      <c r="R11" s="286"/>
      <c r="S11" s="286"/>
      <c r="T11" s="286"/>
      <c r="U11" s="286"/>
      <c r="V11" s="286"/>
      <c r="W11" s="286"/>
      <c r="X11" s="286"/>
      <c r="Y11" s="286"/>
      <c r="Z11" s="286"/>
      <c r="AA11" s="286"/>
      <c r="AB11" s="286"/>
      <c r="AC11" s="286"/>
      <c r="AD11" s="251"/>
      <c r="AE11" s="251"/>
      <c r="AF11" s="251"/>
      <c r="AG11" s="251"/>
      <c r="AH11" s="251"/>
      <c r="AI11" s="251"/>
      <c r="AJ11" s="251"/>
      <c r="AK11" s="251"/>
      <c r="AL11" s="251"/>
      <c r="AM11" s="13"/>
      <c r="AN11" s="13"/>
      <c r="AO11" s="13"/>
      <c r="AP11" s="13"/>
      <c r="AQ11" s="13"/>
      <c r="AR11" s="13"/>
      <c r="AS11" s="13"/>
      <c r="AT11" s="13"/>
      <c r="AU11" s="13"/>
      <c r="AV11" s="13"/>
      <c r="AW11" s="13"/>
      <c r="AX11" s="13"/>
    </row>
    <row r="12" spans="1:50" x14ac:dyDescent="0.35">
      <c r="A12" s="238">
        <f t="shared" si="1"/>
        <v>42247</v>
      </c>
      <c r="B12" s="240"/>
      <c r="C12" s="286"/>
      <c r="D12" s="286"/>
      <c r="E12" s="286"/>
      <c r="F12" s="286"/>
      <c r="G12" s="286">
        <v>144038.13576106346</v>
      </c>
      <c r="H12" s="286">
        <v>690142.7647507108</v>
      </c>
      <c r="I12" s="286">
        <v>61742644.574448243</v>
      </c>
      <c r="J12" s="286">
        <v>1304155.6850399664</v>
      </c>
      <c r="K12" s="286"/>
      <c r="L12" s="286"/>
      <c r="M12" s="286"/>
      <c r="N12" s="286"/>
      <c r="O12" s="286"/>
      <c r="P12" s="286"/>
      <c r="Q12" s="286"/>
      <c r="R12" s="286"/>
      <c r="S12" s="286"/>
      <c r="T12" s="286"/>
      <c r="U12" s="286"/>
      <c r="V12" s="286"/>
      <c r="W12" s="286"/>
      <c r="X12" s="286"/>
      <c r="Y12" s="286"/>
      <c r="Z12" s="286"/>
      <c r="AA12" s="286"/>
      <c r="AB12" s="286"/>
      <c r="AC12" s="286"/>
      <c r="AD12" s="251"/>
      <c r="AE12" s="251"/>
      <c r="AF12" s="251"/>
      <c r="AG12" s="251"/>
      <c r="AH12" s="251"/>
      <c r="AI12" s="251"/>
      <c r="AJ12" s="251"/>
      <c r="AK12" s="251"/>
      <c r="AL12" s="251"/>
      <c r="AM12" s="13"/>
      <c r="AN12" s="13"/>
      <c r="AO12" s="13"/>
      <c r="AP12" s="13"/>
      <c r="AQ12" s="13"/>
      <c r="AR12" s="13"/>
      <c r="AS12" s="13"/>
      <c r="AT12" s="13"/>
      <c r="AU12" s="13"/>
      <c r="AV12" s="13"/>
      <c r="AW12" s="13"/>
      <c r="AX12" s="13"/>
    </row>
    <row r="13" spans="1:50" x14ac:dyDescent="0.35">
      <c r="A13" s="238">
        <f t="shared" si="1"/>
        <v>42277</v>
      </c>
      <c r="B13" s="240"/>
      <c r="C13" s="286"/>
      <c r="D13" s="286"/>
      <c r="E13" s="286"/>
      <c r="F13" s="286"/>
      <c r="G13" s="286"/>
      <c r="H13" s="286">
        <v>243579.68519756634</v>
      </c>
      <c r="I13" s="286">
        <v>2199946.8520954438</v>
      </c>
      <c r="J13" s="286">
        <v>60217806.65415854</v>
      </c>
      <c r="K13" s="286">
        <v>584167.52854849095</v>
      </c>
      <c r="L13" s="286"/>
      <c r="M13" s="286"/>
      <c r="N13" s="286"/>
      <c r="O13" s="286"/>
      <c r="P13" s="286"/>
      <c r="Q13" s="286"/>
      <c r="R13" s="286"/>
      <c r="S13" s="286"/>
      <c r="T13" s="286"/>
      <c r="U13" s="286"/>
      <c r="V13" s="286"/>
      <c r="W13" s="286"/>
      <c r="X13" s="286"/>
      <c r="Y13" s="286"/>
      <c r="Z13" s="286"/>
      <c r="AA13" s="286"/>
      <c r="AB13" s="286"/>
      <c r="AC13" s="286"/>
      <c r="AD13" s="251"/>
      <c r="AE13" s="251"/>
      <c r="AF13" s="251"/>
      <c r="AG13" s="251"/>
      <c r="AH13" s="251"/>
      <c r="AI13" s="251"/>
      <c r="AJ13" s="251"/>
      <c r="AK13" s="251"/>
      <c r="AL13" s="251"/>
      <c r="AM13" s="13"/>
      <c r="AN13" s="13"/>
      <c r="AO13" s="13"/>
      <c r="AP13" s="13"/>
      <c r="AQ13" s="13"/>
      <c r="AR13" s="13"/>
      <c r="AS13" s="13"/>
      <c r="AT13" s="13"/>
      <c r="AU13" s="13"/>
      <c r="AV13" s="13"/>
      <c r="AW13" s="13"/>
      <c r="AX13" s="13"/>
    </row>
    <row r="14" spans="1:50" x14ac:dyDescent="0.35">
      <c r="A14" s="238">
        <f t="shared" si="1"/>
        <v>42308</v>
      </c>
      <c r="B14" s="240"/>
      <c r="C14" s="286"/>
      <c r="D14" s="286"/>
      <c r="E14" s="286"/>
      <c r="F14" s="286"/>
      <c r="G14" s="286"/>
      <c r="H14" s="286"/>
      <c r="I14" s="286">
        <v>187846.28445970037</v>
      </c>
      <c r="J14" s="286">
        <v>1639886.9716526794</v>
      </c>
      <c r="K14" s="286">
        <v>60902544.052318394</v>
      </c>
      <c r="L14" s="286">
        <v>561550.24156925222</v>
      </c>
      <c r="M14" s="286"/>
      <c r="N14" s="286"/>
      <c r="O14" s="286"/>
      <c r="P14" s="286"/>
      <c r="Q14" s="286"/>
      <c r="R14" s="286"/>
      <c r="S14" s="286"/>
      <c r="T14" s="286"/>
      <c r="U14" s="286"/>
      <c r="V14" s="286"/>
      <c r="W14" s="286"/>
      <c r="X14" s="286"/>
      <c r="Y14" s="286"/>
      <c r="Z14" s="286"/>
      <c r="AA14" s="286"/>
      <c r="AB14" s="286"/>
      <c r="AC14" s="286"/>
      <c r="AD14" s="251"/>
      <c r="AE14" s="251"/>
      <c r="AF14" s="251"/>
      <c r="AG14" s="251"/>
      <c r="AH14" s="251"/>
      <c r="AI14" s="251"/>
      <c r="AJ14" s="251"/>
      <c r="AK14" s="251"/>
      <c r="AL14" s="251"/>
      <c r="AM14" s="13"/>
      <c r="AN14" s="13"/>
      <c r="AO14" s="13"/>
      <c r="AP14" s="13"/>
      <c r="AQ14" s="13"/>
      <c r="AR14" s="13"/>
      <c r="AS14" s="13"/>
      <c r="AT14" s="13"/>
      <c r="AU14" s="13"/>
      <c r="AV14" s="13"/>
      <c r="AW14" s="13"/>
      <c r="AX14" s="13"/>
    </row>
    <row r="15" spans="1:50" x14ac:dyDescent="0.35">
      <c r="A15" s="238">
        <f t="shared" si="1"/>
        <v>42338</v>
      </c>
      <c r="B15" s="240"/>
      <c r="C15" s="286"/>
      <c r="D15" s="286"/>
      <c r="E15" s="286"/>
      <c r="F15" s="286"/>
      <c r="G15" s="286"/>
      <c r="H15" s="286"/>
      <c r="I15" s="286"/>
      <c r="J15" s="286">
        <v>299474</v>
      </c>
      <c r="K15" s="286">
        <v>2010082</v>
      </c>
      <c r="L15" s="286">
        <v>58858825</v>
      </c>
      <c r="M15" s="286">
        <v>1107468</v>
      </c>
      <c r="N15" s="286"/>
      <c r="O15" s="286"/>
      <c r="P15" s="286"/>
      <c r="Q15" s="286"/>
      <c r="R15" s="286"/>
      <c r="S15" s="286"/>
      <c r="T15" s="286"/>
      <c r="U15" s="286"/>
      <c r="V15" s="286"/>
      <c r="W15" s="286"/>
      <c r="X15" s="286"/>
      <c r="Y15" s="286"/>
      <c r="Z15" s="286"/>
      <c r="AA15" s="286"/>
      <c r="AB15" s="286"/>
      <c r="AC15" s="286"/>
      <c r="AD15" s="251"/>
      <c r="AE15" s="251"/>
      <c r="AF15" s="251"/>
      <c r="AG15" s="251"/>
      <c r="AH15" s="251"/>
      <c r="AI15" s="251"/>
      <c r="AJ15" s="251"/>
      <c r="AK15" s="251"/>
      <c r="AL15" s="251"/>
      <c r="AM15" s="13"/>
      <c r="AN15" s="13"/>
      <c r="AO15" s="13"/>
      <c r="AP15" s="13"/>
      <c r="AQ15" s="13"/>
      <c r="AR15" s="13"/>
      <c r="AS15" s="13"/>
      <c r="AT15" s="13"/>
      <c r="AU15" s="13"/>
      <c r="AV15" s="13"/>
      <c r="AW15" s="13"/>
      <c r="AX15" s="13"/>
    </row>
    <row r="16" spans="1:50" x14ac:dyDescent="0.35">
      <c r="A16" s="238">
        <f t="shared" si="1"/>
        <v>42369</v>
      </c>
      <c r="B16" s="240"/>
      <c r="C16" s="286"/>
      <c r="D16" s="286"/>
      <c r="E16" s="286"/>
      <c r="F16" s="286"/>
      <c r="G16" s="286"/>
      <c r="H16" s="286"/>
      <c r="I16" s="286"/>
      <c r="J16" s="286"/>
      <c r="K16" s="286">
        <v>140948</v>
      </c>
      <c r="L16" s="286">
        <v>1148063</v>
      </c>
      <c r="M16" s="286">
        <v>57283071</v>
      </c>
      <c r="N16" s="286">
        <v>549050</v>
      </c>
      <c r="O16" s="286"/>
      <c r="P16" s="286"/>
      <c r="Q16" s="286"/>
      <c r="R16" s="286"/>
      <c r="S16" s="286"/>
      <c r="T16" s="286"/>
      <c r="U16" s="286"/>
      <c r="V16" s="286"/>
      <c r="W16" s="286"/>
      <c r="X16" s="286"/>
      <c r="Y16" s="286"/>
      <c r="Z16" s="286"/>
      <c r="AA16" s="286"/>
      <c r="AB16" s="286"/>
      <c r="AC16" s="286"/>
      <c r="AD16" s="251"/>
      <c r="AE16" s="251"/>
      <c r="AF16" s="251"/>
      <c r="AG16" s="251"/>
      <c r="AH16" s="251"/>
      <c r="AI16" s="251"/>
      <c r="AJ16" s="251"/>
      <c r="AK16" s="251"/>
      <c r="AL16" s="251"/>
      <c r="AM16" s="13"/>
      <c r="AN16" s="13"/>
      <c r="AO16" s="13"/>
      <c r="AP16" s="13"/>
      <c r="AQ16" s="13"/>
      <c r="AR16" s="13"/>
      <c r="AS16" s="13"/>
      <c r="AT16" s="13"/>
      <c r="AU16" s="13"/>
      <c r="AV16" s="13"/>
      <c r="AW16" s="13"/>
      <c r="AX16" s="13"/>
    </row>
    <row r="17" spans="1:50" x14ac:dyDescent="0.35">
      <c r="A17" s="238">
        <f t="shared" si="1"/>
        <v>42400</v>
      </c>
      <c r="B17" s="240"/>
      <c r="C17" s="286"/>
      <c r="D17" s="286"/>
      <c r="E17" s="286"/>
      <c r="F17" s="286"/>
      <c r="G17" s="286"/>
      <c r="H17" s="286"/>
      <c r="I17" s="286"/>
      <c r="J17" s="286"/>
      <c r="K17" s="286"/>
      <c r="L17" s="286">
        <v>172618</v>
      </c>
      <c r="M17" s="286">
        <v>1727358</v>
      </c>
      <c r="N17" s="286">
        <v>57353336</v>
      </c>
      <c r="O17" s="286">
        <v>1662920</v>
      </c>
      <c r="P17" s="286"/>
      <c r="Q17" s="286"/>
      <c r="R17" s="286"/>
      <c r="S17" s="286"/>
      <c r="T17" s="286"/>
      <c r="U17" s="286"/>
      <c r="V17" s="286"/>
      <c r="W17" s="286"/>
      <c r="X17" s="286"/>
      <c r="Y17" s="286"/>
      <c r="Z17" s="286"/>
      <c r="AA17" s="286"/>
      <c r="AB17" s="286"/>
      <c r="AC17" s="286"/>
      <c r="AD17" s="251"/>
      <c r="AE17" s="251"/>
      <c r="AF17" s="251"/>
      <c r="AG17" s="251"/>
      <c r="AH17" s="251"/>
      <c r="AI17" s="251"/>
      <c r="AJ17" s="251"/>
      <c r="AK17" s="251"/>
      <c r="AL17" s="251"/>
      <c r="AM17" s="13"/>
      <c r="AN17" s="13"/>
      <c r="AO17" s="13"/>
      <c r="AP17" s="13"/>
      <c r="AQ17" s="13"/>
      <c r="AR17" s="13"/>
      <c r="AS17" s="13"/>
      <c r="AT17" s="13"/>
      <c r="AU17" s="13"/>
      <c r="AV17" s="13"/>
      <c r="AW17" s="13"/>
      <c r="AX17" s="13"/>
    </row>
    <row r="18" spans="1:50" x14ac:dyDescent="0.35">
      <c r="A18" s="238">
        <f t="shared" si="1"/>
        <v>42429</v>
      </c>
      <c r="B18" s="240"/>
      <c r="C18" s="286"/>
      <c r="D18" s="286"/>
      <c r="E18" s="286"/>
      <c r="F18" s="286">
        <v>-257</v>
      </c>
      <c r="G18" s="286">
        <v>-28208</v>
      </c>
      <c r="H18" s="286">
        <v>-34560</v>
      </c>
      <c r="I18" s="286">
        <v>-46219</v>
      </c>
      <c r="J18" s="286">
        <v>-59559</v>
      </c>
      <c r="K18" s="286">
        <v>-52149</v>
      </c>
      <c r="L18" s="286">
        <v>-46615</v>
      </c>
      <c r="M18" s="286">
        <v>115575</v>
      </c>
      <c r="N18" s="286">
        <v>1386934</v>
      </c>
      <c r="O18" s="286">
        <v>58454612</v>
      </c>
      <c r="P18" s="286">
        <v>487331</v>
      </c>
      <c r="Q18" s="286"/>
      <c r="R18" s="286"/>
      <c r="S18" s="286"/>
      <c r="T18" s="286"/>
      <c r="U18" s="286"/>
      <c r="V18" s="286"/>
      <c r="W18" s="286"/>
      <c r="X18" s="286"/>
      <c r="Y18" s="286"/>
      <c r="Z18" s="286"/>
      <c r="AA18" s="286"/>
      <c r="AB18" s="286"/>
      <c r="AC18" s="286"/>
      <c r="AD18" s="251"/>
      <c r="AE18" s="251"/>
      <c r="AF18" s="251"/>
      <c r="AG18" s="251"/>
      <c r="AH18" s="251"/>
      <c r="AI18" s="251"/>
      <c r="AJ18" s="251"/>
      <c r="AK18" s="251"/>
      <c r="AL18" s="251"/>
      <c r="AM18" s="13"/>
      <c r="AN18" s="13"/>
      <c r="AO18" s="13"/>
      <c r="AP18" s="13"/>
      <c r="AQ18" s="13"/>
      <c r="AR18" s="13"/>
      <c r="AS18" s="13"/>
      <c r="AT18" s="13"/>
      <c r="AU18" s="13"/>
      <c r="AV18" s="13"/>
      <c r="AW18" s="13"/>
      <c r="AX18" s="13"/>
    </row>
    <row r="19" spans="1:50" x14ac:dyDescent="0.35">
      <c r="A19" s="238">
        <f t="shared" si="1"/>
        <v>42460</v>
      </c>
      <c r="B19" s="240"/>
      <c r="C19" s="286"/>
      <c r="D19" s="286"/>
      <c r="E19" s="286"/>
      <c r="F19" s="286">
        <v>80</v>
      </c>
      <c r="G19" s="286">
        <v>27280</v>
      </c>
      <c r="H19" s="286">
        <v>34560</v>
      </c>
      <c r="I19" s="286">
        <v>46219</v>
      </c>
      <c r="J19" s="286">
        <v>59559</v>
      </c>
      <c r="K19" s="286">
        <v>52149</v>
      </c>
      <c r="L19" s="286">
        <v>46615</v>
      </c>
      <c r="M19" s="286">
        <v>40258</v>
      </c>
      <c r="N19" s="286">
        <v>368368</v>
      </c>
      <c r="O19" s="286">
        <v>2222707</v>
      </c>
      <c r="P19" s="286">
        <v>57055803</v>
      </c>
      <c r="Q19" s="286">
        <v>718457</v>
      </c>
      <c r="R19" s="286"/>
      <c r="S19" s="286"/>
      <c r="T19" s="286"/>
      <c r="U19" s="286"/>
      <c r="V19" s="286"/>
      <c r="W19" s="286"/>
      <c r="X19" s="286"/>
      <c r="Y19" s="286"/>
      <c r="Z19" s="286"/>
      <c r="AA19" s="286"/>
      <c r="AB19" s="286"/>
      <c r="AC19" s="286"/>
      <c r="AD19" s="251"/>
      <c r="AE19" s="251"/>
      <c r="AF19" s="251"/>
      <c r="AG19" s="251"/>
      <c r="AH19" s="251"/>
      <c r="AI19" s="251"/>
      <c r="AJ19" s="251"/>
      <c r="AK19" s="251"/>
      <c r="AL19" s="251"/>
      <c r="AM19" s="13"/>
      <c r="AN19" s="13"/>
      <c r="AO19" s="13"/>
      <c r="AP19" s="13"/>
      <c r="AQ19" s="13"/>
      <c r="AR19" s="13"/>
      <c r="AS19" s="13"/>
      <c r="AT19" s="13"/>
      <c r="AU19" s="13"/>
      <c r="AV19" s="13"/>
      <c r="AW19" s="13"/>
      <c r="AX19" s="13"/>
    </row>
    <row r="20" spans="1:50" x14ac:dyDescent="0.35">
      <c r="A20" s="238">
        <f t="shared" si="1"/>
        <v>42490</v>
      </c>
      <c r="B20" s="240"/>
      <c r="C20" s="286"/>
      <c r="D20" s="286"/>
      <c r="E20" s="286"/>
      <c r="F20" s="286"/>
      <c r="G20" s="286"/>
      <c r="H20" s="286"/>
      <c r="I20" s="286"/>
      <c r="J20" s="286"/>
      <c r="K20" s="286"/>
      <c r="L20" s="286"/>
      <c r="M20" s="286"/>
      <c r="N20" s="286"/>
      <c r="O20" s="286">
        <v>190494</v>
      </c>
      <c r="P20" s="286">
        <v>1387733</v>
      </c>
      <c r="Q20" s="286">
        <v>58853992</v>
      </c>
      <c r="R20" s="286">
        <v>1017855</v>
      </c>
      <c r="S20" s="286"/>
      <c r="T20" s="286"/>
      <c r="U20" s="286"/>
      <c r="V20" s="286"/>
      <c r="W20" s="286"/>
      <c r="X20" s="286"/>
      <c r="Y20" s="286"/>
      <c r="Z20" s="286"/>
      <c r="AA20" s="286"/>
      <c r="AB20" s="286"/>
      <c r="AC20" s="286"/>
      <c r="AD20" s="251"/>
      <c r="AE20" s="251"/>
      <c r="AF20" s="251"/>
      <c r="AG20" s="251"/>
      <c r="AH20" s="251"/>
      <c r="AI20" s="251"/>
      <c r="AJ20" s="251"/>
      <c r="AK20" s="251"/>
      <c r="AL20" s="251"/>
      <c r="AM20" s="13"/>
      <c r="AN20" s="13"/>
      <c r="AO20" s="13"/>
      <c r="AP20" s="13"/>
      <c r="AQ20" s="13"/>
      <c r="AR20" s="13"/>
      <c r="AS20" s="13"/>
      <c r="AT20" s="13"/>
      <c r="AU20" s="13"/>
      <c r="AV20" s="13"/>
      <c r="AW20" s="13"/>
      <c r="AX20" s="13"/>
    </row>
    <row r="21" spans="1:50" x14ac:dyDescent="0.35">
      <c r="A21" s="238">
        <f t="shared" si="1"/>
        <v>42521</v>
      </c>
      <c r="B21" s="240"/>
      <c r="C21" s="286"/>
      <c r="D21" s="286"/>
      <c r="E21" s="286"/>
      <c r="F21" s="286"/>
      <c r="G21" s="286"/>
      <c r="H21" s="286"/>
      <c r="I21" s="286"/>
      <c r="J21" s="286"/>
      <c r="K21" s="286"/>
      <c r="L21" s="286"/>
      <c r="M21" s="286"/>
      <c r="N21" s="286"/>
      <c r="O21" s="286"/>
      <c r="P21" s="286">
        <v>237146</v>
      </c>
      <c r="Q21" s="286">
        <v>1821724</v>
      </c>
      <c r="R21" s="286">
        <v>55717606</v>
      </c>
      <c r="S21" s="286">
        <v>900942</v>
      </c>
      <c r="T21" s="286"/>
      <c r="U21" s="286"/>
      <c r="V21" s="286"/>
      <c r="W21" s="286"/>
      <c r="X21" s="286"/>
      <c r="Y21" s="286"/>
      <c r="Z21" s="286"/>
      <c r="AA21" s="286"/>
      <c r="AB21" s="286"/>
      <c r="AC21" s="286"/>
      <c r="AD21" s="251"/>
      <c r="AE21" s="251"/>
      <c r="AF21" s="251"/>
      <c r="AG21" s="251"/>
      <c r="AH21" s="251"/>
      <c r="AI21" s="251"/>
      <c r="AJ21" s="251"/>
      <c r="AK21" s="251"/>
      <c r="AL21" s="251"/>
      <c r="AM21" s="13"/>
      <c r="AN21" s="13"/>
      <c r="AO21" s="13"/>
      <c r="AP21" s="13"/>
      <c r="AQ21" s="13"/>
      <c r="AR21" s="13"/>
      <c r="AS21" s="13"/>
      <c r="AT21" s="13"/>
      <c r="AU21" s="13"/>
      <c r="AV21" s="13"/>
      <c r="AW21" s="13"/>
      <c r="AX21" s="13"/>
    </row>
    <row r="22" spans="1:50" x14ac:dyDescent="0.35">
      <c r="A22" s="238">
        <f t="shared" si="1"/>
        <v>42551</v>
      </c>
      <c r="B22" s="240"/>
      <c r="C22" s="286"/>
      <c r="D22" s="286"/>
      <c r="E22" s="286"/>
      <c r="F22" s="286"/>
      <c r="G22" s="286"/>
      <c r="H22" s="286"/>
      <c r="I22" s="286"/>
      <c r="J22" s="286"/>
      <c r="K22" s="286"/>
      <c r="L22" s="286"/>
      <c r="M22" s="286"/>
      <c r="N22" s="286"/>
      <c r="O22" s="286"/>
      <c r="P22" s="286"/>
      <c r="Q22" s="286">
        <v>162869</v>
      </c>
      <c r="R22" s="286">
        <v>1272202</v>
      </c>
      <c r="S22" s="286">
        <v>57313253</v>
      </c>
      <c r="T22" s="286">
        <v>556972</v>
      </c>
      <c r="U22" s="286"/>
      <c r="V22" s="286"/>
      <c r="W22" s="286"/>
      <c r="X22" s="286"/>
      <c r="Y22" s="286"/>
      <c r="Z22" s="286"/>
      <c r="AA22" s="286"/>
      <c r="AB22" s="286"/>
      <c r="AC22" s="286"/>
      <c r="AD22" s="251"/>
      <c r="AE22" s="251"/>
      <c r="AF22" s="251"/>
      <c r="AG22" s="251"/>
      <c r="AH22" s="251"/>
      <c r="AI22" s="251"/>
      <c r="AJ22" s="251"/>
      <c r="AK22" s="251"/>
      <c r="AL22" s="251"/>
      <c r="AM22" s="13"/>
      <c r="AN22" s="13"/>
      <c r="AO22" s="13"/>
      <c r="AP22" s="13"/>
      <c r="AQ22" s="13"/>
      <c r="AR22" s="13"/>
      <c r="AS22" s="13"/>
      <c r="AT22" s="13"/>
      <c r="AU22" s="13"/>
      <c r="AV22" s="13"/>
      <c r="AW22" s="13"/>
      <c r="AX22" s="13"/>
    </row>
    <row r="23" spans="1:50" x14ac:dyDescent="0.35">
      <c r="A23" s="238">
        <f t="shared" si="1"/>
        <v>42582</v>
      </c>
      <c r="B23" s="240"/>
      <c r="C23" s="286"/>
      <c r="D23" s="286"/>
      <c r="E23" s="286"/>
      <c r="F23" s="286"/>
      <c r="G23" s="286"/>
      <c r="H23" s="286"/>
      <c r="I23" s="286"/>
      <c r="J23" s="286"/>
      <c r="K23" s="286"/>
      <c r="L23" s="286"/>
      <c r="M23" s="286"/>
      <c r="N23" s="286"/>
      <c r="O23" s="286"/>
      <c r="P23" s="286"/>
      <c r="Q23" s="286"/>
      <c r="R23" s="286">
        <v>120364</v>
      </c>
      <c r="S23" s="286">
        <v>1633032</v>
      </c>
      <c r="T23" s="286">
        <v>58763627</v>
      </c>
      <c r="U23" s="286">
        <v>1718783</v>
      </c>
      <c r="V23" s="286"/>
      <c r="W23" s="286"/>
      <c r="X23" s="286"/>
      <c r="Y23" s="286"/>
      <c r="Z23" s="286"/>
      <c r="AA23" s="286"/>
      <c r="AB23" s="286"/>
      <c r="AC23" s="286"/>
      <c r="AD23" s="251"/>
      <c r="AE23" s="251"/>
      <c r="AF23" s="251"/>
      <c r="AG23" s="251"/>
      <c r="AH23" s="251"/>
      <c r="AI23" s="251"/>
      <c r="AJ23" s="251"/>
      <c r="AK23" s="251"/>
      <c r="AL23" s="251"/>
      <c r="AM23" s="13"/>
      <c r="AN23" s="13"/>
      <c r="AO23" s="13"/>
      <c r="AP23" s="13"/>
      <c r="AQ23" s="13"/>
      <c r="AR23" s="13"/>
      <c r="AS23" s="13"/>
      <c r="AT23" s="13"/>
      <c r="AU23" s="13"/>
      <c r="AV23" s="13"/>
      <c r="AW23" s="13"/>
      <c r="AX23" s="13"/>
    </row>
    <row r="24" spans="1:50" x14ac:dyDescent="0.35">
      <c r="A24" s="238">
        <f t="shared" si="1"/>
        <v>42613</v>
      </c>
      <c r="B24" s="240"/>
      <c r="C24" s="286"/>
      <c r="D24" s="286"/>
      <c r="E24" s="286"/>
      <c r="F24" s="286"/>
      <c r="G24" s="286"/>
      <c r="H24" s="286"/>
      <c r="I24" s="286"/>
      <c r="J24" s="286"/>
      <c r="K24" s="286"/>
      <c r="L24" s="286"/>
      <c r="M24" s="286"/>
      <c r="N24" s="286"/>
      <c r="O24" s="286"/>
      <c r="P24" s="286"/>
      <c r="Q24" s="286"/>
      <c r="R24" s="286"/>
      <c r="S24" s="286">
        <v>196107</v>
      </c>
      <c r="T24" s="286">
        <v>1479547</v>
      </c>
      <c r="U24" s="286">
        <v>60541351</v>
      </c>
      <c r="V24" s="286">
        <v>1115549</v>
      </c>
      <c r="W24" s="286"/>
      <c r="X24" s="286"/>
      <c r="Y24" s="286"/>
      <c r="Z24" s="286"/>
      <c r="AA24" s="286"/>
      <c r="AB24" s="286"/>
      <c r="AC24" s="286"/>
      <c r="AD24" s="251"/>
      <c r="AE24" s="251"/>
      <c r="AF24" s="251"/>
      <c r="AG24" s="251"/>
      <c r="AH24" s="251"/>
      <c r="AI24" s="251"/>
      <c r="AJ24" s="251"/>
      <c r="AK24" s="251"/>
      <c r="AL24" s="251"/>
      <c r="AM24" s="13"/>
      <c r="AN24" s="13"/>
      <c r="AO24" s="13"/>
      <c r="AP24" s="13"/>
      <c r="AQ24" s="13"/>
      <c r="AR24" s="13"/>
      <c r="AS24" s="13"/>
      <c r="AT24" s="13"/>
      <c r="AU24" s="13"/>
      <c r="AV24" s="13"/>
      <c r="AW24" s="13"/>
      <c r="AX24" s="13"/>
    </row>
    <row r="25" spans="1:50" x14ac:dyDescent="0.35">
      <c r="A25" s="238">
        <f t="shared" si="1"/>
        <v>42643</v>
      </c>
      <c r="B25" s="240"/>
      <c r="C25" s="286"/>
      <c r="D25" s="286"/>
      <c r="E25" s="286"/>
      <c r="F25" s="286"/>
      <c r="G25" s="286"/>
      <c r="H25" s="286"/>
      <c r="I25" s="286"/>
      <c r="J25" s="286"/>
      <c r="K25" s="286"/>
      <c r="L25" s="286"/>
      <c r="M25" s="286"/>
      <c r="N25" s="286"/>
      <c r="O25" s="286"/>
      <c r="P25" s="286"/>
      <c r="Q25" s="286"/>
      <c r="R25" s="286"/>
      <c r="S25" s="286"/>
      <c r="T25" s="286">
        <v>247213.36157482001</v>
      </c>
      <c r="U25" s="286">
        <v>2103992.3062114492</v>
      </c>
      <c r="V25" s="286">
        <v>64255505.201332085</v>
      </c>
      <c r="W25" s="286">
        <v>1449759.1808816195</v>
      </c>
      <c r="X25" s="286"/>
      <c r="Y25" s="286"/>
      <c r="Z25" s="286"/>
      <c r="AA25" s="286"/>
      <c r="AB25" s="286"/>
      <c r="AC25" s="286"/>
      <c r="AD25" s="251"/>
      <c r="AE25" s="251"/>
      <c r="AF25" s="251"/>
      <c r="AG25" s="251"/>
      <c r="AH25" s="251"/>
      <c r="AI25" s="251"/>
      <c r="AJ25" s="251"/>
      <c r="AK25" s="251"/>
      <c r="AL25" s="251"/>
      <c r="AM25" s="13"/>
      <c r="AN25" s="13"/>
      <c r="AO25" s="13"/>
      <c r="AP25" s="13"/>
      <c r="AQ25" s="13"/>
      <c r="AR25" s="13"/>
      <c r="AS25" s="13"/>
      <c r="AT25" s="13"/>
      <c r="AU25" s="13"/>
      <c r="AV25" s="13"/>
      <c r="AW25" s="13"/>
      <c r="AX25" s="13"/>
    </row>
    <row r="26" spans="1:50" x14ac:dyDescent="0.35">
      <c r="A26" s="238">
        <f t="shared" si="1"/>
        <v>42674</v>
      </c>
      <c r="B26" s="240"/>
      <c r="C26" s="286"/>
      <c r="D26" s="286"/>
      <c r="E26" s="286"/>
      <c r="F26" s="286"/>
      <c r="G26" s="286"/>
      <c r="H26" s="286"/>
      <c r="I26" s="286"/>
      <c r="J26" s="286"/>
      <c r="K26" s="286"/>
      <c r="L26" s="286"/>
      <c r="M26" s="286"/>
      <c r="N26" s="286"/>
      <c r="O26" s="286"/>
      <c r="P26" s="286"/>
      <c r="Q26" s="286"/>
      <c r="R26" s="286"/>
      <c r="S26" s="286"/>
      <c r="T26" s="286"/>
      <c r="U26" s="286">
        <v>181750.32</v>
      </c>
      <c r="V26" s="286">
        <v>1227504.52</v>
      </c>
      <c r="W26" s="286">
        <v>59598131.969999999</v>
      </c>
      <c r="X26" s="286">
        <v>1088903.03</v>
      </c>
      <c r="Y26" s="286"/>
      <c r="Z26" s="286"/>
      <c r="AA26" s="286"/>
      <c r="AB26" s="286"/>
      <c r="AC26" s="286"/>
      <c r="AD26" s="251"/>
      <c r="AE26" s="251"/>
      <c r="AF26" s="251"/>
      <c r="AG26" s="251"/>
      <c r="AH26" s="251"/>
      <c r="AI26" s="251"/>
      <c r="AJ26" s="251"/>
      <c r="AK26" s="251"/>
      <c r="AL26" s="251"/>
      <c r="AM26" s="13"/>
      <c r="AN26" s="13"/>
      <c r="AO26" s="13"/>
      <c r="AP26" s="13"/>
      <c r="AQ26" s="13"/>
      <c r="AR26" s="13"/>
      <c r="AS26" s="13"/>
      <c r="AT26" s="13"/>
      <c r="AU26" s="13"/>
      <c r="AV26" s="13"/>
      <c r="AW26" s="13"/>
      <c r="AX26" s="13"/>
    </row>
    <row r="27" spans="1:50" x14ac:dyDescent="0.35">
      <c r="A27" s="238">
        <f t="shared" si="1"/>
        <v>42704</v>
      </c>
      <c r="B27" s="240"/>
      <c r="C27" s="286"/>
      <c r="D27" s="286"/>
      <c r="E27" s="286"/>
      <c r="F27" s="286"/>
      <c r="G27" s="286"/>
      <c r="H27" s="286"/>
      <c r="I27" s="286"/>
      <c r="J27" s="286"/>
      <c r="K27" s="286"/>
      <c r="L27" s="286"/>
      <c r="M27" s="286"/>
      <c r="N27" s="286"/>
      <c r="O27" s="286"/>
      <c r="P27" s="286"/>
      <c r="Q27" s="286"/>
      <c r="R27" s="286"/>
      <c r="S27" s="286"/>
      <c r="T27" s="286"/>
      <c r="U27" s="286"/>
      <c r="V27" s="286">
        <v>272128</v>
      </c>
      <c r="W27" s="286">
        <v>1894143</v>
      </c>
      <c r="X27" s="286">
        <v>58599597</v>
      </c>
      <c r="Y27" s="286">
        <v>640138</v>
      </c>
      <c r="Z27" s="286"/>
      <c r="AA27" s="286"/>
      <c r="AB27" s="286"/>
      <c r="AC27" s="286"/>
      <c r="AD27" s="251"/>
      <c r="AE27" s="251"/>
      <c r="AF27" s="251"/>
      <c r="AG27" s="251"/>
      <c r="AH27" s="251"/>
      <c r="AI27" s="251"/>
      <c r="AJ27" s="251"/>
      <c r="AK27" s="251"/>
      <c r="AL27" s="251"/>
      <c r="AM27" s="13"/>
      <c r="AN27" s="13"/>
      <c r="AO27" s="13"/>
      <c r="AP27" s="13"/>
      <c r="AQ27" s="13"/>
      <c r="AR27" s="13"/>
      <c r="AS27" s="13"/>
      <c r="AT27" s="13"/>
      <c r="AU27" s="13"/>
      <c r="AV27" s="13"/>
      <c r="AW27" s="13"/>
      <c r="AX27" s="13"/>
    </row>
    <row r="28" spans="1:50" x14ac:dyDescent="0.35">
      <c r="A28" s="238">
        <f t="shared" si="1"/>
        <v>42735</v>
      </c>
      <c r="B28" s="240"/>
      <c r="C28" s="286"/>
      <c r="D28" s="286"/>
      <c r="E28" s="286"/>
      <c r="F28" s="286"/>
      <c r="G28" s="286"/>
      <c r="H28" s="286"/>
      <c r="I28" s="286"/>
      <c r="J28" s="286"/>
      <c r="K28" s="286"/>
      <c r="L28" s="286"/>
      <c r="M28" s="286"/>
      <c r="N28" s="286"/>
      <c r="O28" s="286"/>
      <c r="P28" s="286"/>
      <c r="Q28" s="286"/>
      <c r="R28" s="286"/>
      <c r="S28" s="286"/>
      <c r="T28" s="286"/>
      <c r="U28" s="286"/>
      <c r="V28" s="286"/>
      <c r="W28" s="286">
        <v>146349</v>
      </c>
      <c r="X28" s="286">
        <v>1187314</v>
      </c>
      <c r="Y28" s="286">
        <v>57537264</v>
      </c>
      <c r="Z28" s="286">
        <v>813534</v>
      </c>
      <c r="AA28" s="286"/>
      <c r="AB28" s="286"/>
      <c r="AC28" s="286"/>
      <c r="AD28" s="251"/>
      <c r="AE28" s="251"/>
      <c r="AF28" s="251"/>
      <c r="AG28" s="251"/>
      <c r="AH28" s="251"/>
      <c r="AI28" s="251"/>
      <c r="AJ28" s="251"/>
      <c r="AK28" s="251"/>
      <c r="AL28" s="251"/>
      <c r="AM28" s="13"/>
      <c r="AN28" s="13"/>
      <c r="AO28" s="13"/>
      <c r="AP28" s="13"/>
      <c r="AQ28" s="13"/>
      <c r="AR28" s="13"/>
      <c r="AS28" s="13"/>
      <c r="AT28" s="13"/>
      <c r="AU28" s="13"/>
      <c r="AV28" s="13"/>
      <c r="AW28" s="13"/>
      <c r="AX28" s="13"/>
    </row>
    <row r="29" spans="1:50" x14ac:dyDescent="0.35">
      <c r="A29" s="238">
        <f t="shared" si="1"/>
        <v>42766</v>
      </c>
      <c r="B29" s="240"/>
      <c r="C29" s="286"/>
      <c r="D29" s="286"/>
      <c r="E29" s="286"/>
      <c r="F29" s="286"/>
      <c r="G29" s="286"/>
      <c r="H29" s="286"/>
      <c r="I29" s="286"/>
      <c r="J29" s="286"/>
      <c r="K29" s="286"/>
      <c r="L29" s="286"/>
      <c r="M29" s="286"/>
      <c r="N29" s="286"/>
      <c r="O29" s="286"/>
      <c r="P29" s="286"/>
      <c r="Q29" s="286"/>
      <c r="R29" s="286"/>
      <c r="S29" s="286"/>
      <c r="T29" s="286"/>
      <c r="U29" s="286"/>
      <c r="V29" s="286"/>
      <c r="W29" s="286"/>
      <c r="X29" s="286">
        <v>184610</v>
      </c>
      <c r="Y29" s="286">
        <v>1761166</v>
      </c>
      <c r="Z29" s="286">
        <v>57272004</v>
      </c>
      <c r="AA29" s="286">
        <v>899935</v>
      </c>
      <c r="AB29" s="286"/>
      <c r="AC29" s="286"/>
      <c r="AD29" s="251"/>
      <c r="AE29" s="251"/>
      <c r="AF29" s="251"/>
      <c r="AG29" s="251"/>
      <c r="AH29" s="251"/>
      <c r="AI29" s="251"/>
      <c r="AJ29" s="251"/>
      <c r="AK29" s="251"/>
      <c r="AL29" s="251"/>
      <c r="AM29" s="13"/>
      <c r="AN29" s="13"/>
      <c r="AO29" s="13"/>
      <c r="AP29" s="13"/>
      <c r="AQ29" s="13"/>
      <c r="AR29" s="13"/>
      <c r="AS29" s="13"/>
      <c r="AT29" s="13"/>
      <c r="AU29" s="13"/>
      <c r="AV29" s="13"/>
      <c r="AW29" s="13"/>
      <c r="AX29" s="13"/>
    </row>
    <row r="30" spans="1:50" x14ac:dyDescent="0.35">
      <c r="A30" s="238">
        <f t="shared" si="1"/>
        <v>42794</v>
      </c>
      <c r="B30" s="240"/>
      <c r="C30" s="286"/>
      <c r="D30" s="286"/>
      <c r="E30" s="286"/>
      <c r="F30" s="286"/>
      <c r="G30" s="286"/>
      <c r="H30" s="286"/>
      <c r="I30" s="286"/>
      <c r="J30" s="286"/>
      <c r="K30" s="286"/>
      <c r="L30" s="286"/>
      <c r="M30" s="286"/>
      <c r="N30" s="286"/>
      <c r="O30" s="286"/>
      <c r="P30" s="286"/>
      <c r="Q30" s="286"/>
      <c r="R30" s="286"/>
      <c r="S30" s="286"/>
      <c r="T30" s="286"/>
      <c r="U30" s="286"/>
      <c r="V30" s="286"/>
      <c r="W30" s="286"/>
      <c r="X30" s="286"/>
      <c r="Y30" s="286">
        <v>97405</v>
      </c>
      <c r="Z30" s="286">
        <v>1676465</v>
      </c>
      <c r="AA30" s="286">
        <v>59660115</v>
      </c>
      <c r="AB30" s="286">
        <v>504978</v>
      </c>
      <c r="AC30" s="286"/>
      <c r="AD30" s="251"/>
      <c r="AE30" s="251"/>
      <c r="AF30" s="251"/>
      <c r="AG30" s="251"/>
      <c r="AH30" s="251"/>
      <c r="AI30" s="251"/>
      <c r="AJ30" s="251"/>
      <c r="AK30" s="251"/>
      <c r="AL30" s="251"/>
      <c r="AM30" s="13"/>
      <c r="AN30" s="13"/>
      <c r="AO30" s="13"/>
      <c r="AP30" s="13"/>
      <c r="AQ30" s="13"/>
      <c r="AR30" s="13"/>
      <c r="AS30" s="13"/>
      <c r="AT30" s="13"/>
      <c r="AU30" s="13"/>
      <c r="AV30" s="13"/>
      <c r="AW30" s="13"/>
      <c r="AX30" s="13"/>
    </row>
    <row r="31" spans="1:50" x14ac:dyDescent="0.35">
      <c r="A31" s="238">
        <f t="shared" si="1"/>
        <v>42825</v>
      </c>
      <c r="B31" s="240"/>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v>321503.40000000002</v>
      </c>
      <c r="AA31" s="286">
        <v>2008158.7</v>
      </c>
      <c r="AB31" s="286">
        <v>46808912.329999998</v>
      </c>
      <c r="AC31" s="286">
        <v>703493.26</v>
      </c>
      <c r="AD31" s="251"/>
      <c r="AE31" s="251"/>
      <c r="AF31" s="251"/>
      <c r="AG31" s="251"/>
      <c r="AH31" s="251"/>
      <c r="AI31" s="251"/>
      <c r="AJ31" s="251"/>
      <c r="AK31" s="251"/>
      <c r="AL31" s="251"/>
      <c r="AM31" s="13"/>
      <c r="AN31" s="13"/>
      <c r="AO31" s="13"/>
      <c r="AP31" s="13"/>
      <c r="AQ31" s="13"/>
      <c r="AR31" s="13"/>
      <c r="AS31" s="13"/>
      <c r="AT31" s="13"/>
      <c r="AU31" s="13"/>
      <c r="AV31" s="13"/>
      <c r="AW31" s="13"/>
      <c r="AX31" s="13"/>
    </row>
    <row r="32" spans="1:50" x14ac:dyDescent="0.35">
      <c r="A32" s="238">
        <f t="shared" si="1"/>
        <v>42855</v>
      </c>
      <c r="B32" s="240"/>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14">
        <v>176.38</v>
      </c>
      <c r="AA32" s="14">
        <v>124409.95</v>
      </c>
      <c r="AB32" s="14">
        <v>8148992.04</v>
      </c>
      <c r="AC32" s="14">
        <v>58570399.32</v>
      </c>
      <c r="AD32" s="251">
        <v>1321818.1399999999</v>
      </c>
      <c r="AE32" s="251"/>
      <c r="AF32" s="251"/>
      <c r="AG32" s="251"/>
      <c r="AH32" s="251"/>
      <c r="AI32" s="251"/>
      <c r="AJ32" s="251"/>
      <c r="AK32" s="251"/>
      <c r="AL32" s="251"/>
      <c r="AM32" s="13"/>
      <c r="AN32" s="13"/>
      <c r="AO32" s="13"/>
      <c r="AP32" s="13"/>
      <c r="AQ32" s="13"/>
      <c r="AR32" s="13"/>
      <c r="AS32" s="13"/>
      <c r="AT32" s="13"/>
      <c r="AU32" s="13"/>
      <c r="AV32" s="13"/>
      <c r="AW32" s="13"/>
      <c r="AX32" s="13"/>
    </row>
    <row r="33" spans="1:50" x14ac:dyDescent="0.35">
      <c r="A33" s="238">
        <f t="shared" si="1"/>
        <v>42886</v>
      </c>
      <c r="B33" s="240"/>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14"/>
      <c r="AA33" s="14">
        <v>0</v>
      </c>
      <c r="AB33" s="14">
        <v>391156.91808999976</v>
      </c>
      <c r="AC33" s="14">
        <v>2179486.2372700009</v>
      </c>
      <c r="AD33" s="251">
        <v>51009815.481150016</v>
      </c>
      <c r="AE33" s="251">
        <v>731790.94837999973</v>
      </c>
      <c r="AF33" s="251"/>
      <c r="AG33" s="251"/>
      <c r="AH33" s="251"/>
      <c r="AI33" s="251"/>
      <c r="AJ33" s="251"/>
      <c r="AK33" s="251"/>
      <c r="AL33" s="251"/>
      <c r="AM33" s="13"/>
      <c r="AN33" s="13"/>
      <c r="AO33" s="13"/>
      <c r="AP33" s="13"/>
      <c r="AQ33" s="13"/>
      <c r="AR33" s="13"/>
      <c r="AS33" s="13"/>
      <c r="AT33" s="13"/>
      <c r="AU33" s="13"/>
      <c r="AV33" s="13"/>
      <c r="AW33" s="13"/>
      <c r="AX33" s="13"/>
    </row>
    <row r="34" spans="1:50" x14ac:dyDescent="0.35">
      <c r="A34" s="238">
        <f t="shared" si="1"/>
        <v>42916</v>
      </c>
      <c r="B34" s="240"/>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14"/>
      <c r="AA34" s="14">
        <v>9996.915649999999</v>
      </c>
      <c r="AB34" s="14">
        <v>-11118.528779999993</v>
      </c>
      <c r="AC34" s="14">
        <v>-48462.833610000001</v>
      </c>
      <c r="AD34" s="251">
        <v>1739435.799069999</v>
      </c>
      <c r="AE34" s="251">
        <v>55482133.971089929</v>
      </c>
      <c r="AF34" s="251">
        <v>1104338.8580500009</v>
      </c>
      <c r="AG34" s="251"/>
      <c r="AH34" s="251"/>
      <c r="AI34" s="251"/>
      <c r="AJ34" s="251"/>
      <c r="AK34" s="251"/>
      <c r="AL34" s="251"/>
      <c r="AM34" s="13"/>
      <c r="AN34" s="13"/>
      <c r="AO34" s="13"/>
      <c r="AP34" s="13"/>
      <c r="AQ34" s="13"/>
      <c r="AR34" s="13"/>
      <c r="AS34" s="13"/>
      <c r="AT34" s="13"/>
      <c r="AU34" s="13"/>
      <c r="AV34" s="13"/>
      <c r="AW34" s="13"/>
      <c r="AX34" s="13"/>
    </row>
    <row r="35" spans="1:50" x14ac:dyDescent="0.35">
      <c r="A35" s="238">
        <f t="shared" si="1"/>
        <v>42947</v>
      </c>
      <c r="B35" s="240"/>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14"/>
      <c r="AA35" s="14">
        <v>5244.8775800000003</v>
      </c>
      <c r="AB35" s="14">
        <v>56692.933550000002</v>
      </c>
      <c r="AC35" s="14">
        <v>631289.36020999996</v>
      </c>
      <c r="AD35" s="251">
        <v>355301.41107999993</v>
      </c>
      <c r="AE35" s="251">
        <v>810606.63038000092</v>
      </c>
      <c r="AF35" s="251">
        <v>56715128.101919927</v>
      </c>
      <c r="AG35" s="251">
        <v>1771856.5471000005</v>
      </c>
      <c r="AH35" s="251"/>
      <c r="AI35" s="251"/>
      <c r="AJ35" s="251"/>
      <c r="AK35" s="251"/>
      <c r="AL35" s="251"/>
      <c r="AM35" s="13"/>
      <c r="AN35" s="13"/>
      <c r="AO35" s="13"/>
      <c r="AP35" s="13"/>
      <c r="AQ35" s="13"/>
      <c r="AR35" s="13"/>
      <c r="AS35" s="13"/>
      <c r="AT35" s="13"/>
      <c r="AU35" s="13"/>
      <c r="AV35" s="13"/>
      <c r="AW35" s="13"/>
      <c r="AX35" s="13"/>
    </row>
    <row r="36" spans="1:50" x14ac:dyDescent="0.35">
      <c r="A36" s="238">
        <f t="shared" si="1"/>
        <v>42978</v>
      </c>
      <c r="B36" s="240"/>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14"/>
      <c r="AA36" s="14"/>
      <c r="AB36" s="14"/>
      <c r="AC36" s="14">
        <v>42449.676099999997</v>
      </c>
      <c r="AD36" s="251">
        <v>177880.71679999999</v>
      </c>
      <c r="AE36" s="251">
        <v>498292.84344999999</v>
      </c>
      <c r="AF36" s="251">
        <v>995274.43617999938</v>
      </c>
      <c r="AG36" s="251">
        <v>41545355.273410022</v>
      </c>
      <c r="AH36" s="251">
        <v>1005539.1258600008</v>
      </c>
      <c r="AI36" s="251"/>
      <c r="AJ36" s="251"/>
      <c r="AK36" s="251"/>
      <c r="AL36" s="251"/>
      <c r="AM36" s="13"/>
      <c r="AN36" s="13"/>
      <c r="AO36" s="13"/>
      <c r="AP36" s="13"/>
      <c r="AQ36" s="13"/>
      <c r="AR36" s="13"/>
      <c r="AS36" s="13"/>
      <c r="AT36" s="13"/>
      <c r="AU36" s="13"/>
      <c r="AV36" s="13"/>
      <c r="AW36" s="13"/>
      <c r="AX36" s="13"/>
    </row>
    <row r="37" spans="1:50" x14ac:dyDescent="0.35">
      <c r="A37" s="238">
        <f t="shared" si="1"/>
        <v>43008</v>
      </c>
      <c r="B37" s="240"/>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14"/>
      <c r="AA37" s="14"/>
      <c r="AB37" s="14"/>
      <c r="AC37" s="14">
        <v>11326.863009999999</v>
      </c>
      <c r="AD37" s="251">
        <v>337849.82162</v>
      </c>
      <c r="AE37" s="251">
        <v>360021.66118</v>
      </c>
      <c r="AF37" s="251">
        <v>695067.13185000001</v>
      </c>
      <c r="AG37" s="251">
        <v>1060456.1274700016</v>
      </c>
      <c r="AH37" s="251">
        <v>42209490.769820072</v>
      </c>
      <c r="AI37" s="251">
        <v>1610168.3089500018</v>
      </c>
      <c r="AJ37" s="251"/>
      <c r="AK37" s="251"/>
      <c r="AL37" s="251"/>
      <c r="AM37" s="13"/>
      <c r="AN37" s="13"/>
      <c r="AO37" s="13"/>
      <c r="AP37" s="13"/>
      <c r="AQ37" s="13"/>
      <c r="AR37" s="13"/>
      <c r="AS37" s="13"/>
      <c r="AT37" s="13"/>
      <c r="AU37" s="13"/>
      <c r="AV37" s="13"/>
      <c r="AW37" s="13"/>
      <c r="AX37" s="13"/>
    </row>
    <row r="38" spans="1:50" x14ac:dyDescent="0.35">
      <c r="A38" s="238">
        <f t="shared" si="1"/>
        <v>43039</v>
      </c>
      <c r="B38" s="240"/>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14"/>
      <c r="AA38" s="14"/>
      <c r="AB38" s="14"/>
      <c r="AC38" s="14"/>
      <c r="AD38" s="251"/>
      <c r="AE38" s="251">
        <v>440666.54877999995</v>
      </c>
      <c r="AF38" s="251">
        <v>549870.68666999997</v>
      </c>
      <c r="AG38" s="251">
        <v>750404.50445000001</v>
      </c>
      <c r="AH38" s="251">
        <v>1475100.1859299992</v>
      </c>
      <c r="AI38" s="251">
        <v>40881248.215309978</v>
      </c>
      <c r="AJ38" s="251">
        <v>1163248.7988200004</v>
      </c>
      <c r="AK38" s="251"/>
      <c r="AL38" s="251"/>
      <c r="AM38" s="13"/>
      <c r="AN38" s="13"/>
      <c r="AO38" s="13"/>
      <c r="AP38" s="13"/>
      <c r="AQ38" s="13"/>
      <c r="AR38" s="13"/>
      <c r="AS38" s="13"/>
      <c r="AT38" s="13"/>
      <c r="AU38" s="13"/>
      <c r="AV38" s="13"/>
      <c r="AW38" s="13"/>
      <c r="AX38" s="13"/>
    </row>
    <row r="39" spans="1:50" x14ac:dyDescent="0.35">
      <c r="A39" s="238">
        <f t="shared" si="1"/>
        <v>43069</v>
      </c>
      <c r="B39" s="240"/>
      <c r="C39" s="286"/>
      <c r="D39" s="286"/>
      <c r="E39" s="286"/>
      <c r="F39" s="286"/>
      <c r="G39" s="286"/>
      <c r="H39" s="286"/>
      <c r="I39" s="286"/>
      <c r="J39" s="286"/>
      <c r="K39" s="286"/>
      <c r="L39" s="286"/>
      <c r="M39" s="286"/>
      <c r="N39" s="286"/>
      <c r="O39" s="286"/>
      <c r="P39" s="286"/>
      <c r="Q39" s="286"/>
      <c r="R39" s="286"/>
      <c r="S39" s="286"/>
      <c r="T39" s="286"/>
      <c r="U39" s="286"/>
      <c r="V39" s="286"/>
      <c r="W39" s="286"/>
      <c r="X39" s="286"/>
      <c r="Y39" s="286"/>
      <c r="Z39" s="286"/>
      <c r="AA39" s="286"/>
      <c r="AB39" s="286"/>
      <c r="AC39" s="286"/>
      <c r="AD39" s="251"/>
      <c r="AE39" s="251"/>
      <c r="AF39" s="251">
        <v>12225.860189999996</v>
      </c>
      <c r="AG39" s="251">
        <v>73799.380750000011</v>
      </c>
      <c r="AH39" s="251">
        <v>74269.027369999996</v>
      </c>
      <c r="AI39" s="251">
        <v>728133.13194000022</v>
      </c>
      <c r="AJ39" s="251">
        <v>39196872.075390041</v>
      </c>
      <c r="AK39" s="251">
        <v>838338.02029999939</v>
      </c>
      <c r="AL39" s="251"/>
      <c r="AM39" s="13"/>
      <c r="AN39" s="13"/>
      <c r="AO39" s="13"/>
      <c r="AP39" s="13"/>
      <c r="AQ39" s="13"/>
      <c r="AR39" s="13"/>
      <c r="AS39" s="13"/>
      <c r="AT39" s="13"/>
      <c r="AU39" s="13"/>
      <c r="AV39" s="13"/>
      <c r="AW39" s="13"/>
      <c r="AX39" s="13"/>
    </row>
    <row r="40" spans="1:50" x14ac:dyDescent="0.35">
      <c r="A40" s="238">
        <f t="shared" si="1"/>
        <v>43100</v>
      </c>
      <c r="B40" s="240"/>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51">
        <v>59716.777979999999</v>
      </c>
      <c r="AE40" s="251">
        <v>72552.60682999999</v>
      </c>
      <c r="AF40" s="251">
        <v>177204.73251</v>
      </c>
      <c r="AG40" s="251">
        <v>74219.414950000006</v>
      </c>
      <c r="AH40" s="251">
        <v>243661.42712000001</v>
      </c>
      <c r="AI40" s="251">
        <v>434055.86125000002</v>
      </c>
      <c r="AJ40" s="251">
        <v>891938.44637999975</v>
      </c>
      <c r="AK40" s="251">
        <v>38553337.843750007</v>
      </c>
      <c r="AL40" s="251">
        <v>1161910.7638299996</v>
      </c>
      <c r="AM40" s="13"/>
      <c r="AN40" s="13"/>
      <c r="AO40" s="13"/>
      <c r="AP40" s="13"/>
      <c r="AQ40" s="13"/>
      <c r="AR40" s="13"/>
      <c r="AS40" s="13"/>
      <c r="AT40" s="13"/>
      <c r="AU40" s="13"/>
      <c r="AV40" s="13"/>
      <c r="AW40" s="13"/>
      <c r="AX40" s="13"/>
    </row>
    <row r="41" spans="1:50" x14ac:dyDescent="0.35">
      <c r="A41" s="238">
        <f t="shared" si="1"/>
        <v>43131</v>
      </c>
      <c r="B41" s="240"/>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13"/>
      <c r="AE41" s="13"/>
      <c r="AF41" s="13">
        <v>37258.088000000003</v>
      </c>
      <c r="AG41" s="13">
        <v>175225.61231</v>
      </c>
      <c r="AH41" s="13">
        <v>175918.79888999998</v>
      </c>
      <c r="AI41" s="13">
        <v>350810.56626000005</v>
      </c>
      <c r="AJ41" s="13">
        <v>578140.56424999982</v>
      </c>
      <c r="AK41" s="13">
        <v>2115583.2778699999</v>
      </c>
      <c r="AL41" s="13">
        <v>40501335.092010073</v>
      </c>
      <c r="AM41" s="13">
        <v>1434123.7774299998</v>
      </c>
      <c r="AN41" s="13"/>
      <c r="AO41" s="13"/>
      <c r="AP41" s="13"/>
      <c r="AQ41" s="13"/>
      <c r="AR41" s="13"/>
      <c r="AS41" s="13"/>
      <c r="AT41" s="13"/>
      <c r="AU41" s="13"/>
      <c r="AV41" s="13"/>
      <c r="AW41" s="13"/>
      <c r="AX41" s="13"/>
    </row>
    <row r="42" spans="1:50" x14ac:dyDescent="0.35">
      <c r="A42" s="238">
        <f t="shared" si="1"/>
        <v>43159</v>
      </c>
      <c r="B42" s="240"/>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13"/>
      <c r="AE42" s="13"/>
      <c r="AF42" s="13">
        <v>8958.6549000000014</v>
      </c>
      <c r="AG42" s="13">
        <v>17994.047609999998</v>
      </c>
      <c r="AH42" s="13">
        <v>44142.12588</v>
      </c>
      <c r="AI42" s="13">
        <v>135317.03965999995</v>
      </c>
      <c r="AJ42" s="13">
        <v>643541.7463700003</v>
      </c>
      <c r="AK42" s="13">
        <v>659811.53785999992</v>
      </c>
      <c r="AL42" s="13">
        <v>1243967.1669500002</v>
      </c>
      <c r="AM42" s="13">
        <v>41896411.696170002</v>
      </c>
      <c r="AN42" s="13">
        <v>1131757.3275300004</v>
      </c>
      <c r="AO42" s="13"/>
      <c r="AP42" s="13"/>
      <c r="AQ42" s="13"/>
      <c r="AR42" s="13"/>
      <c r="AS42" s="13"/>
      <c r="AT42" s="13"/>
      <c r="AU42" s="13"/>
      <c r="AV42" s="13"/>
      <c r="AW42" s="13"/>
      <c r="AX42" s="13"/>
    </row>
    <row r="43" spans="1:50" x14ac:dyDescent="0.35">
      <c r="A43" s="238">
        <f t="shared" si="1"/>
        <v>43190</v>
      </c>
      <c r="B43" s="240"/>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13"/>
      <c r="AE43" s="13"/>
      <c r="AF43" s="13">
        <v>4329.8661099999999</v>
      </c>
      <c r="AG43" s="13">
        <v>11612.70607</v>
      </c>
      <c r="AH43" s="13">
        <v>20696.81799</v>
      </c>
      <c r="AI43" s="13">
        <v>34102.012890000005</v>
      </c>
      <c r="AJ43" s="13">
        <v>37303.76971</v>
      </c>
      <c r="AK43" s="13">
        <v>55432.455419999998</v>
      </c>
      <c r="AL43" s="13">
        <v>156187.90369000001</v>
      </c>
      <c r="AM43" s="13">
        <v>1481974.6436100004</v>
      </c>
      <c r="AN43" s="13">
        <v>37290500.144160017</v>
      </c>
      <c r="AO43" s="13">
        <v>1263884.8335199996</v>
      </c>
      <c r="AP43" s="13"/>
      <c r="AQ43" s="13"/>
      <c r="AR43" s="13"/>
      <c r="AS43" s="13"/>
      <c r="AT43" s="13"/>
      <c r="AU43" s="13"/>
      <c r="AV43" s="13"/>
      <c r="AW43" s="13"/>
      <c r="AX43" s="13"/>
    </row>
    <row r="44" spans="1:50" x14ac:dyDescent="0.35">
      <c r="A44" s="238">
        <f t="shared" si="1"/>
        <v>43220</v>
      </c>
      <c r="B44" s="240"/>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13"/>
      <c r="AE44" s="13"/>
      <c r="AF44" s="13"/>
      <c r="AG44" s="13"/>
      <c r="AH44" s="13"/>
      <c r="AI44" s="13"/>
      <c r="AJ44" s="13"/>
      <c r="AK44" s="13">
        <v>7365.4214400000001</v>
      </c>
      <c r="AL44" s="13">
        <v>44700.422120000003</v>
      </c>
      <c r="AM44" s="13">
        <v>372577.79628999997</v>
      </c>
      <c r="AN44" s="13">
        <v>996839.70054999983</v>
      </c>
      <c r="AO44" s="13">
        <v>40830411.959470019</v>
      </c>
      <c r="AP44" s="13">
        <v>1365911.1744600013</v>
      </c>
      <c r="AQ44" s="13"/>
      <c r="AR44" s="13"/>
      <c r="AS44" s="13"/>
      <c r="AT44" s="13"/>
      <c r="AU44" s="13"/>
      <c r="AV44" s="13"/>
      <c r="AW44" s="13"/>
      <c r="AX44" s="13"/>
    </row>
    <row r="45" spans="1:50" x14ac:dyDescent="0.35">
      <c r="A45" s="238">
        <f t="shared" si="1"/>
        <v>43251</v>
      </c>
      <c r="B45" s="240"/>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13"/>
      <c r="AE45" s="13"/>
      <c r="AF45" s="13"/>
      <c r="AG45" s="13"/>
      <c r="AH45" s="13"/>
      <c r="AI45" s="13"/>
      <c r="AJ45" s="13"/>
      <c r="AK45" s="13"/>
      <c r="AL45" s="13"/>
      <c r="AM45" s="13"/>
      <c r="AN45" s="13"/>
      <c r="AO45" s="13">
        <v>582935.3515100003</v>
      </c>
      <c r="AP45" s="13">
        <v>38403981.920750029</v>
      </c>
      <c r="AQ45" s="13">
        <v>1006877.4802900004</v>
      </c>
      <c r="AR45" s="13"/>
      <c r="AS45" s="13"/>
      <c r="AT45" s="13"/>
      <c r="AU45" s="13"/>
      <c r="AV45" s="13"/>
      <c r="AW45" s="13"/>
      <c r="AX45" s="13"/>
    </row>
    <row r="46" spans="1:50" x14ac:dyDescent="0.35">
      <c r="A46" s="238">
        <f t="shared" si="1"/>
        <v>43281</v>
      </c>
      <c r="B46" s="240"/>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13"/>
      <c r="AE46" s="13"/>
      <c r="AF46" s="13"/>
      <c r="AG46" s="13"/>
      <c r="AH46" s="13"/>
      <c r="AI46" s="13"/>
      <c r="AJ46" s="13"/>
      <c r="AK46" s="13"/>
      <c r="AL46" s="13"/>
      <c r="AM46" s="13"/>
      <c r="AN46" s="13"/>
      <c r="AO46" s="13"/>
      <c r="AP46" s="13">
        <v>302562.05375999981</v>
      </c>
      <c r="AQ46" s="13">
        <v>41106983.113759995</v>
      </c>
      <c r="AR46" s="13">
        <v>1447873.7717400014</v>
      </c>
      <c r="AS46" s="13"/>
      <c r="AT46" s="13"/>
      <c r="AU46" s="13"/>
      <c r="AV46" s="13"/>
      <c r="AW46" s="13"/>
      <c r="AX46" s="13"/>
    </row>
    <row r="47" spans="1:50" x14ac:dyDescent="0.35">
      <c r="A47" s="238">
        <f t="shared" si="1"/>
        <v>43312</v>
      </c>
      <c r="B47" s="240"/>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13"/>
      <c r="AE47" s="13"/>
      <c r="AF47" s="13"/>
      <c r="AG47" s="13"/>
      <c r="AH47" s="13"/>
      <c r="AI47" s="13"/>
      <c r="AJ47" s="13"/>
      <c r="AK47" s="13"/>
      <c r="AL47" s="13"/>
      <c r="AM47" s="13"/>
      <c r="AN47" s="13"/>
      <c r="AO47" s="13">
        <v>7387.3231699999997</v>
      </c>
      <c r="AP47" s="13">
        <v>8085.0418499999996</v>
      </c>
      <c r="AQ47" s="13">
        <v>359082.65428000019</v>
      </c>
      <c r="AR47" s="13">
        <v>41081535.776630014</v>
      </c>
      <c r="AS47" s="13">
        <v>1824692.2200199992</v>
      </c>
      <c r="AT47" s="13"/>
      <c r="AU47" s="13"/>
      <c r="AV47" s="13"/>
      <c r="AW47" s="13"/>
      <c r="AX47" s="13"/>
    </row>
    <row r="48" spans="1:50" x14ac:dyDescent="0.35">
      <c r="A48" s="238">
        <f t="shared" si="1"/>
        <v>43343</v>
      </c>
      <c r="B48" s="240"/>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13"/>
      <c r="AE48" s="13"/>
      <c r="AF48" s="13"/>
      <c r="AG48" s="13"/>
      <c r="AH48" s="13"/>
      <c r="AI48" s="13"/>
      <c r="AJ48" s="13"/>
      <c r="AK48" s="13"/>
      <c r="AL48" s="13"/>
      <c r="AM48" s="13"/>
      <c r="AN48" s="13"/>
      <c r="AO48" s="13"/>
      <c r="AP48" s="13"/>
      <c r="AQ48" s="13">
        <v>-641.79636999999639</v>
      </c>
      <c r="AR48" s="13">
        <v>421170.15288000018</v>
      </c>
      <c r="AS48" s="13">
        <v>43984921.482069962</v>
      </c>
      <c r="AT48" s="13">
        <v>1151660.4285499998</v>
      </c>
      <c r="AU48" s="13"/>
      <c r="AV48" s="13"/>
      <c r="AW48" s="13"/>
      <c r="AX48" s="13"/>
    </row>
    <row r="49" spans="1:50" x14ac:dyDescent="0.35">
      <c r="A49" s="238">
        <f t="shared" si="1"/>
        <v>43373</v>
      </c>
      <c r="B49" s="240"/>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13"/>
      <c r="AE49" s="13"/>
      <c r="AF49" s="13"/>
      <c r="AG49" s="13"/>
      <c r="AH49" s="13"/>
      <c r="AI49" s="13"/>
      <c r="AJ49" s="13"/>
      <c r="AK49" s="13"/>
      <c r="AL49" s="13"/>
      <c r="AM49" s="13"/>
      <c r="AN49" s="13"/>
      <c r="AO49" s="13"/>
      <c r="AP49" s="13"/>
      <c r="AQ49" s="13"/>
      <c r="AR49" s="13"/>
      <c r="AS49" s="13">
        <v>414630.80635999923</v>
      </c>
      <c r="AT49" s="13">
        <v>45027004.672039956</v>
      </c>
      <c r="AU49" s="13">
        <v>2299991.9318500045</v>
      </c>
      <c r="AV49" s="13"/>
      <c r="AW49" s="13"/>
      <c r="AX49" s="13"/>
    </row>
    <row r="50" spans="1:50" x14ac:dyDescent="0.35">
      <c r="A50" s="238">
        <f t="shared" si="1"/>
        <v>43404</v>
      </c>
      <c r="B50" s="240"/>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13"/>
      <c r="AE50" s="13"/>
      <c r="AF50" s="13"/>
      <c r="AG50" s="13"/>
      <c r="AH50" s="13"/>
      <c r="AI50" s="13"/>
      <c r="AJ50" s="13"/>
      <c r="AK50" s="13"/>
      <c r="AL50" s="13"/>
      <c r="AM50" s="13"/>
      <c r="AN50" s="13"/>
      <c r="AO50" s="13"/>
      <c r="AP50" s="13"/>
      <c r="AQ50" s="13"/>
      <c r="AR50" s="13"/>
      <c r="AS50" s="13"/>
      <c r="AT50" s="13">
        <v>552385.08480999945</v>
      </c>
      <c r="AU50" s="13">
        <v>39794197.293620013</v>
      </c>
      <c r="AV50" s="13">
        <v>894858.58586999949</v>
      </c>
      <c r="AW50" s="13"/>
      <c r="AX50" s="13"/>
    </row>
    <row r="51" spans="1:50" x14ac:dyDescent="0.35">
      <c r="A51" s="238">
        <f t="shared" si="1"/>
        <v>43434</v>
      </c>
      <c r="B51" s="240"/>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13"/>
      <c r="AE51" s="13"/>
      <c r="AF51" s="13"/>
      <c r="AG51" s="13"/>
      <c r="AH51" s="13"/>
      <c r="AI51" s="13"/>
      <c r="AJ51" s="13"/>
      <c r="AK51" s="13"/>
      <c r="AL51" s="13"/>
      <c r="AM51" s="13"/>
      <c r="AN51" s="13"/>
      <c r="AO51" s="13"/>
      <c r="AP51" s="13"/>
      <c r="AQ51" s="13"/>
      <c r="AR51" s="13"/>
      <c r="AS51" s="13"/>
      <c r="AT51" s="13"/>
      <c r="AU51" s="13">
        <v>489352.28308999987</v>
      </c>
      <c r="AV51" s="13">
        <v>40381417.247379974</v>
      </c>
      <c r="AW51" s="13">
        <v>1153628.9492799998</v>
      </c>
      <c r="AX51" s="13"/>
    </row>
    <row r="52" spans="1:50" x14ac:dyDescent="0.35">
      <c r="A52" s="238">
        <f t="shared" si="1"/>
        <v>43465</v>
      </c>
      <c r="B52" s="240"/>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13"/>
      <c r="AE52" s="13"/>
      <c r="AF52" s="13"/>
      <c r="AG52" s="13"/>
      <c r="AH52" s="13"/>
      <c r="AI52" s="13"/>
      <c r="AJ52" s="13"/>
      <c r="AK52" s="13"/>
      <c r="AL52" s="13"/>
      <c r="AM52" s="13"/>
      <c r="AN52" s="13"/>
      <c r="AO52" s="13"/>
      <c r="AP52" s="13"/>
      <c r="AQ52" s="13"/>
      <c r="AR52" s="13"/>
      <c r="AS52" s="13"/>
      <c r="AT52" s="13"/>
      <c r="AU52" s="13"/>
      <c r="AV52" s="13">
        <v>532699.13899000001</v>
      </c>
      <c r="AW52" s="13">
        <v>39283313.75690008</v>
      </c>
      <c r="AX52" s="13">
        <v>1299055.7861000013</v>
      </c>
    </row>
    <row r="53" spans="1:50" x14ac:dyDescent="0.35">
      <c r="A53" s="239">
        <f t="shared" si="1"/>
        <v>43496</v>
      </c>
      <c r="B53" s="240"/>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13"/>
      <c r="AE53" s="13"/>
      <c r="AF53" s="13"/>
      <c r="AG53" s="13"/>
      <c r="AH53" s="13"/>
      <c r="AI53" s="13"/>
      <c r="AJ53" s="13"/>
      <c r="AK53" s="13"/>
      <c r="AL53" s="13"/>
      <c r="AM53" s="13"/>
      <c r="AN53" s="13"/>
      <c r="AO53" s="13"/>
      <c r="AP53" s="13"/>
      <c r="AQ53" s="13"/>
      <c r="AR53" s="13"/>
      <c r="AS53" s="13"/>
      <c r="AT53" s="13"/>
      <c r="AU53" s="13"/>
      <c r="AV53" s="13"/>
      <c r="AW53" s="13">
        <v>595751.6212099999</v>
      </c>
      <c r="AX53" s="13">
        <v>38937899.650010005</v>
      </c>
    </row>
    <row r="54" spans="1:50" x14ac:dyDescent="0.35">
      <c r="A54" s="239">
        <f t="shared" si="1"/>
        <v>43524</v>
      </c>
      <c r="B54" s="240"/>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13"/>
      <c r="AE54" s="13"/>
      <c r="AF54" s="13"/>
      <c r="AG54" s="13"/>
      <c r="AH54" s="13"/>
      <c r="AI54" s="13"/>
      <c r="AJ54" s="13"/>
      <c r="AK54" s="13"/>
      <c r="AL54" s="13"/>
      <c r="AM54" s="13"/>
      <c r="AN54" s="13"/>
      <c r="AO54" s="13"/>
      <c r="AP54" s="13"/>
      <c r="AQ54" s="13"/>
      <c r="AR54" s="13"/>
      <c r="AS54" s="13"/>
      <c r="AT54" s="13"/>
      <c r="AU54" s="13"/>
      <c r="AV54" s="13"/>
      <c r="AW54" s="13">
        <v>37775.053249999997</v>
      </c>
      <c r="AX54" s="13">
        <v>368660.98771999992</v>
      </c>
    </row>
    <row r="55" spans="1:50" x14ac:dyDescent="0.35">
      <c r="A55" s="239">
        <f t="shared" si="1"/>
        <v>43555</v>
      </c>
      <c r="B55" s="240"/>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13"/>
      <c r="AE55" s="13"/>
      <c r="AF55" s="13"/>
      <c r="AG55" s="13"/>
      <c r="AH55" s="13"/>
      <c r="AI55" s="13"/>
      <c r="AJ55" s="13"/>
      <c r="AK55" s="13"/>
      <c r="AL55" s="13"/>
      <c r="AM55" s="13"/>
      <c r="AN55" s="13"/>
      <c r="AO55" s="13"/>
      <c r="AP55" s="13"/>
      <c r="AQ55" s="13"/>
      <c r="AR55" s="13"/>
      <c r="AS55" s="13"/>
      <c r="AT55" s="13"/>
      <c r="AU55" s="13"/>
      <c r="AV55" s="13"/>
      <c r="AW55" s="13"/>
      <c r="AX55" s="13">
        <v>133354.28975</v>
      </c>
    </row>
    <row r="56" spans="1:50" x14ac:dyDescent="0.35">
      <c r="A56" s="238"/>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spans="1:50" x14ac:dyDescent="0.35">
      <c r="A57" s="238"/>
      <c r="C57" s="253">
        <f t="shared" ref="C57:AW57" si="2">SUM(C4:C56)</f>
        <v>65522771.193451315</v>
      </c>
      <c r="D57" s="253">
        <f t="shared" si="2"/>
        <v>60674187.181810051</v>
      </c>
      <c r="E57" s="253">
        <f t="shared" si="2"/>
        <v>64682682.135765485</v>
      </c>
      <c r="F57" s="253">
        <f t="shared" si="2"/>
        <v>59077698.120341726</v>
      </c>
      <c r="G57" s="253">
        <f t="shared" si="2"/>
        <v>61516694.447893083</v>
      </c>
      <c r="H57" s="253">
        <f t="shared" si="2"/>
        <v>62183858.705205068</v>
      </c>
      <c r="I57" s="253">
        <f t="shared" si="2"/>
        <v>65304741.291250877</v>
      </c>
      <c r="J57" s="253">
        <f t="shared" si="2"/>
        <v>63461323.310851187</v>
      </c>
      <c r="K57" s="253">
        <f t="shared" si="2"/>
        <v>63637741.580866888</v>
      </c>
      <c r="L57" s="253">
        <f t="shared" si="2"/>
        <v>60741056.241569251</v>
      </c>
      <c r="M57" s="253">
        <f t="shared" si="2"/>
        <v>60273730</v>
      </c>
      <c r="N57" s="253">
        <f t="shared" si="2"/>
        <v>59657688</v>
      </c>
      <c r="O57" s="253">
        <f t="shared" si="2"/>
        <v>62530733</v>
      </c>
      <c r="P57" s="253">
        <f t="shared" si="2"/>
        <v>59168013</v>
      </c>
      <c r="Q57" s="253">
        <f t="shared" si="2"/>
        <v>61557042</v>
      </c>
      <c r="R57" s="253">
        <f t="shared" si="2"/>
        <v>58128027</v>
      </c>
      <c r="S57" s="253">
        <f t="shared" si="2"/>
        <v>60043334</v>
      </c>
      <c r="T57" s="253">
        <f t="shared" si="2"/>
        <v>61047359.361574821</v>
      </c>
      <c r="U57" s="253">
        <f t="shared" si="2"/>
        <v>64545876.62621145</v>
      </c>
      <c r="V57" s="253">
        <f t="shared" si="2"/>
        <v>66870686.721332088</v>
      </c>
      <c r="W57" s="253">
        <f t="shared" si="2"/>
        <v>63088383.150881618</v>
      </c>
      <c r="X57" s="253">
        <f t="shared" si="2"/>
        <v>61060424.030000001</v>
      </c>
      <c r="Y57" s="253">
        <f t="shared" si="2"/>
        <v>60035973</v>
      </c>
      <c r="Z57" s="253">
        <f t="shared" si="2"/>
        <v>60083682.780000001</v>
      </c>
      <c r="AA57" s="253">
        <f t="shared" si="2"/>
        <v>62707860.443230011</v>
      </c>
      <c r="AB57" s="253">
        <f t="shared" si="2"/>
        <v>55899613.69286</v>
      </c>
      <c r="AC57" s="253">
        <f t="shared" si="2"/>
        <v>62089981.882979997</v>
      </c>
      <c r="AD57" s="13">
        <f t="shared" si="2"/>
        <v>55001818.147700019</v>
      </c>
      <c r="AE57" s="13">
        <f t="shared" si="2"/>
        <v>58396065.210089929</v>
      </c>
      <c r="AF57" s="13">
        <f t="shared" si="2"/>
        <v>60299656.416379921</v>
      </c>
      <c r="AG57" s="13">
        <f t="shared" si="2"/>
        <v>45480923.614120021</v>
      </c>
      <c r="AH57" s="13">
        <f t="shared" si="2"/>
        <v>45248818.27886007</v>
      </c>
      <c r="AI57" s="13">
        <f t="shared" si="2"/>
        <v>44173835.13625998</v>
      </c>
      <c r="AJ57" s="13">
        <f t="shared" si="2"/>
        <v>42511045.400920041</v>
      </c>
      <c r="AK57" s="13">
        <f t="shared" si="2"/>
        <v>42229868.556640007</v>
      </c>
      <c r="AL57" s="13">
        <f t="shared" si="2"/>
        <v>43108101.348600075</v>
      </c>
      <c r="AM57" s="13">
        <f t="shared" si="2"/>
        <v>45185087.913500004</v>
      </c>
      <c r="AN57" s="13">
        <f t="shared" si="2"/>
        <v>39419097.172240011</v>
      </c>
      <c r="AO57" s="13">
        <f t="shared" si="2"/>
        <v>42684619.467670023</v>
      </c>
      <c r="AP57" s="13">
        <f t="shared" si="2"/>
        <v>40080540.190820031</v>
      </c>
      <c r="AQ57" s="13">
        <f t="shared" si="2"/>
        <v>42472301.451959997</v>
      </c>
      <c r="AR57" s="13">
        <f t="shared" si="2"/>
        <v>42950579.701250017</v>
      </c>
      <c r="AS57" s="13">
        <f t="shared" si="2"/>
        <v>46224244.508449957</v>
      </c>
      <c r="AT57" s="13">
        <f t="shared" si="2"/>
        <v>46731050.18539995</v>
      </c>
      <c r="AU57" s="13">
        <f t="shared" si="2"/>
        <v>42583541.508560017</v>
      </c>
      <c r="AV57" s="13">
        <f t="shared" si="2"/>
        <v>41808974.972239971</v>
      </c>
      <c r="AW57" s="13">
        <f t="shared" si="2"/>
        <v>41070469.380640082</v>
      </c>
      <c r="AX57" s="13">
        <f>SUM(AX4:AX56)</f>
        <v>40738970.713580005</v>
      </c>
    </row>
    <row r="58" spans="1:50" x14ac:dyDescent="0.35">
      <c r="A58" s="238"/>
    </row>
    <row r="59" spans="1:50" x14ac:dyDescent="0.35">
      <c r="A59" s="238"/>
      <c r="C59" s="237" t="s">
        <v>503</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G93"/>
  <sheetViews>
    <sheetView zoomScaleNormal="100" workbookViewId="0">
      <pane xSplit="1" ySplit="2" topLeftCell="AN78" activePane="bottomRight" state="frozen"/>
      <selection pane="topRight" activeCell="B1" sqref="B1"/>
      <selection pane="bottomLeft" activeCell="A3" sqref="A3"/>
      <selection pane="bottomRight" activeCell="AW94" sqref="AW94"/>
    </sheetView>
  </sheetViews>
  <sheetFormatPr defaultRowHeight="14.5" x14ac:dyDescent="0.35"/>
  <cols>
    <col min="1" max="1" width="19.453125" style="1" customWidth="1"/>
    <col min="2" max="49" width="13" customWidth="1"/>
    <col min="50" max="50" width="2.26953125" customWidth="1"/>
    <col min="51" max="54" width="14.54296875" customWidth="1"/>
    <col min="55" max="59" width="11.81640625" customWidth="1"/>
  </cols>
  <sheetData>
    <row r="1" spans="1:59" x14ac:dyDescent="0.35">
      <c r="A1" s="1" t="s">
        <v>433</v>
      </c>
    </row>
    <row r="2" spans="1:59" s="1" customFormat="1" x14ac:dyDescent="0.35">
      <c r="A2" s="1" t="s">
        <v>427</v>
      </c>
      <c r="B2" s="243">
        <v>42005</v>
      </c>
      <c r="C2" s="243">
        <f>EOMONTH(B2, 1)</f>
        <v>42063</v>
      </c>
      <c r="D2" s="243">
        <f t="shared" ref="D2:AW2" si="0">EOMONTH(C2, 1)</f>
        <v>42094</v>
      </c>
      <c r="E2" s="243">
        <f t="shared" si="0"/>
        <v>42124</v>
      </c>
      <c r="F2" s="243">
        <f t="shared" si="0"/>
        <v>42155</v>
      </c>
      <c r="G2" s="243">
        <f t="shared" si="0"/>
        <v>42185</v>
      </c>
      <c r="H2" s="243">
        <f t="shared" si="0"/>
        <v>42216</v>
      </c>
      <c r="I2" s="243">
        <f t="shared" si="0"/>
        <v>42247</v>
      </c>
      <c r="J2" s="243">
        <f t="shared" si="0"/>
        <v>42277</v>
      </c>
      <c r="K2" s="243">
        <f t="shared" si="0"/>
        <v>42308</v>
      </c>
      <c r="L2" s="243">
        <f t="shared" si="0"/>
        <v>42338</v>
      </c>
      <c r="M2" s="243">
        <f t="shared" si="0"/>
        <v>42369</v>
      </c>
      <c r="N2" s="243">
        <f t="shared" si="0"/>
        <v>42400</v>
      </c>
      <c r="O2" s="243">
        <f t="shared" si="0"/>
        <v>42429</v>
      </c>
      <c r="P2" s="243">
        <f t="shared" si="0"/>
        <v>42460</v>
      </c>
      <c r="Q2" s="243">
        <f t="shared" si="0"/>
        <v>42490</v>
      </c>
      <c r="R2" s="243">
        <f t="shared" si="0"/>
        <v>42521</v>
      </c>
      <c r="S2" s="243">
        <f t="shared" si="0"/>
        <v>42551</v>
      </c>
      <c r="T2" s="243">
        <f t="shared" si="0"/>
        <v>42582</v>
      </c>
      <c r="U2" s="243">
        <f t="shared" si="0"/>
        <v>42613</v>
      </c>
      <c r="V2" s="243">
        <f t="shared" si="0"/>
        <v>42643</v>
      </c>
      <c r="W2" s="243">
        <f t="shared" si="0"/>
        <v>42674</v>
      </c>
      <c r="X2" s="243">
        <f t="shared" si="0"/>
        <v>42704</v>
      </c>
      <c r="Y2" s="243">
        <f t="shared" si="0"/>
        <v>42735</v>
      </c>
      <c r="Z2" s="243">
        <f t="shared" si="0"/>
        <v>42766</v>
      </c>
      <c r="AA2" s="243">
        <f t="shared" si="0"/>
        <v>42794</v>
      </c>
      <c r="AB2" s="243">
        <f t="shared" si="0"/>
        <v>42825</v>
      </c>
      <c r="AC2" s="243">
        <f t="shared" si="0"/>
        <v>42855</v>
      </c>
      <c r="AD2" s="243">
        <f t="shared" si="0"/>
        <v>42886</v>
      </c>
      <c r="AE2" s="243">
        <f t="shared" si="0"/>
        <v>42916</v>
      </c>
      <c r="AF2" s="243">
        <f t="shared" si="0"/>
        <v>42947</v>
      </c>
      <c r="AG2" s="243">
        <f t="shared" si="0"/>
        <v>42978</v>
      </c>
      <c r="AH2" s="243">
        <f t="shared" si="0"/>
        <v>43008</v>
      </c>
      <c r="AI2" s="243">
        <f t="shared" si="0"/>
        <v>43039</v>
      </c>
      <c r="AJ2" s="243">
        <f t="shared" si="0"/>
        <v>43069</v>
      </c>
      <c r="AK2" s="243">
        <f t="shared" si="0"/>
        <v>43100</v>
      </c>
      <c r="AL2" s="243">
        <f t="shared" si="0"/>
        <v>43131</v>
      </c>
      <c r="AM2" s="243">
        <f t="shared" si="0"/>
        <v>43159</v>
      </c>
      <c r="AN2" s="243">
        <f t="shared" si="0"/>
        <v>43190</v>
      </c>
      <c r="AO2" s="243">
        <f t="shared" si="0"/>
        <v>43220</v>
      </c>
      <c r="AP2" s="243">
        <f t="shared" si="0"/>
        <v>43251</v>
      </c>
      <c r="AQ2" s="243">
        <f t="shared" si="0"/>
        <v>43281</v>
      </c>
      <c r="AR2" s="243">
        <f t="shared" si="0"/>
        <v>43312</v>
      </c>
      <c r="AS2" s="243">
        <f t="shared" si="0"/>
        <v>43343</v>
      </c>
      <c r="AT2" s="243">
        <f t="shared" si="0"/>
        <v>43373</v>
      </c>
      <c r="AU2" s="243">
        <f t="shared" si="0"/>
        <v>43404</v>
      </c>
      <c r="AV2" s="243">
        <f t="shared" si="0"/>
        <v>43434</v>
      </c>
      <c r="AW2" s="243">
        <f t="shared" si="0"/>
        <v>43465</v>
      </c>
      <c r="AY2" s="293" t="s">
        <v>4</v>
      </c>
      <c r="AZ2" s="293" t="s">
        <v>0</v>
      </c>
      <c r="BA2" s="293" t="s">
        <v>1</v>
      </c>
      <c r="BB2" s="293" t="s">
        <v>2</v>
      </c>
      <c r="BC2" s="293" t="s">
        <v>4</v>
      </c>
      <c r="BD2" s="293" t="s">
        <v>0</v>
      </c>
      <c r="BE2" s="293" t="s">
        <v>1</v>
      </c>
      <c r="BF2" s="293" t="s">
        <v>2</v>
      </c>
      <c r="BG2" s="259" t="s">
        <v>510</v>
      </c>
    </row>
    <row r="3" spans="1:59" x14ac:dyDescent="0.35">
      <c r="A3" s="1" t="s">
        <v>428</v>
      </c>
      <c r="B3" s="286">
        <f>B$43*B82</f>
        <v>10066825.203553161</v>
      </c>
      <c r="C3" s="286">
        <f t="shared" ref="C3:AB3" si="1">C$43*C82</f>
        <v>9283309.8707565125</v>
      </c>
      <c r="D3" s="286">
        <f t="shared" si="1"/>
        <v>8755263.5087921768</v>
      </c>
      <c r="E3" s="286">
        <f t="shared" si="1"/>
        <v>7344404.2222690582</v>
      </c>
      <c r="F3" s="286">
        <f t="shared" si="1"/>
        <v>7681849.8444575435</v>
      </c>
      <c r="G3" s="286">
        <f t="shared" si="1"/>
        <v>8020867.8289137902</v>
      </c>
      <c r="H3" s="286">
        <f t="shared" si="1"/>
        <v>9826224.8134998623</v>
      </c>
      <c r="I3" s="286">
        <f t="shared" si="1"/>
        <v>8583680.3643791471</v>
      </c>
      <c r="J3" s="286">
        <f t="shared" si="1"/>
        <v>8679591.2425447702</v>
      </c>
      <c r="K3" s="286">
        <f t="shared" si="1"/>
        <v>7745861.6789215645</v>
      </c>
      <c r="L3" s="286">
        <f t="shared" si="1"/>
        <v>8321953.0646042321</v>
      </c>
      <c r="M3" s="286">
        <f t="shared" si="1"/>
        <v>9366643.1003372148</v>
      </c>
      <c r="N3" s="286">
        <f t="shared" si="1"/>
        <v>9167059.7144445088</v>
      </c>
      <c r="O3" s="286">
        <f t="shared" si="1"/>
        <v>8384714.8930160189</v>
      </c>
      <c r="P3" s="286">
        <f t="shared" si="1"/>
        <v>7978453.8885864448</v>
      </c>
      <c r="Q3" s="286">
        <f t="shared" si="1"/>
        <v>7632919.9214635901</v>
      </c>
      <c r="R3" s="286">
        <f t="shared" si="1"/>
        <v>7702740.9597313022</v>
      </c>
      <c r="S3" s="286">
        <f t="shared" si="1"/>
        <v>8442160.1711996011</v>
      </c>
      <c r="T3" s="286">
        <f t="shared" si="1"/>
        <v>9927534.3048083801</v>
      </c>
      <c r="U3" s="286">
        <f t="shared" si="1"/>
        <v>10391174.181621661</v>
      </c>
      <c r="V3" s="286">
        <f t="shared" si="1"/>
        <v>8623531.2856042329</v>
      </c>
      <c r="W3" s="286">
        <f t="shared" si="1"/>
        <v>7687496.4908068376</v>
      </c>
      <c r="X3" s="286">
        <f t="shared" si="1"/>
        <v>8262002.2459288044</v>
      </c>
      <c r="Y3" s="286">
        <f t="shared" si="1"/>
        <v>9898694.9409284126</v>
      </c>
      <c r="Z3" s="286">
        <f t="shared" si="1"/>
        <v>8978560.3559585102</v>
      </c>
      <c r="AA3" s="286">
        <f t="shared" si="1"/>
        <v>7756817.5847996389</v>
      </c>
      <c r="AB3" s="286">
        <f t="shared" si="1"/>
        <v>8594201.0487391632</v>
      </c>
      <c r="AC3" s="251">
        <v>6604791.2185159996</v>
      </c>
      <c r="AD3" s="251">
        <v>7777400.4810739998</v>
      </c>
      <c r="AE3" s="251">
        <v>8504483.0677170008</v>
      </c>
      <c r="AF3" s="251">
        <v>8591295.0661350004</v>
      </c>
      <c r="AG3" s="251">
        <v>8867231.3348149993</v>
      </c>
      <c r="AH3" s="251">
        <v>8006793.4345389996</v>
      </c>
      <c r="AI3" s="251">
        <v>7729488.9499120004</v>
      </c>
      <c r="AJ3" s="251">
        <v>8553578.3211490009</v>
      </c>
      <c r="AK3" s="251">
        <v>8437794.1319019999</v>
      </c>
      <c r="AL3" s="251">
        <v>10179250.563611999</v>
      </c>
      <c r="AM3" s="251">
        <v>8062077.1102529997</v>
      </c>
      <c r="AN3" s="251">
        <v>8589863.3632779997</v>
      </c>
      <c r="AO3" s="251">
        <v>8135189.213304</v>
      </c>
      <c r="AP3" s="251">
        <v>8471788.6254840009</v>
      </c>
      <c r="AQ3" s="251">
        <v>8817439.8959960006</v>
      </c>
      <c r="AR3" s="251">
        <v>10341746.523837</v>
      </c>
      <c r="AS3" s="251">
        <v>10205827.051109999</v>
      </c>
      <c r="AT3" s="251">
        <v>8112182.0884570004</v>
      </c>
      <c r="AU3" s="251">
        <v>8580785.5999999996</v>
      </c>
      <c r="AV3" s="251">
        <v>9111113</v>
      </c>
      <c r="AW3" s="251">
        <v>8297604</v>
      </c>
      <c r="AX3" s="256"/>
      <c r="AY3" s="244">
        <f>SUM(B3:M3)</f>
        <v>103676474.74302906</v>
      </c>
      <c r="AZ3" s="244">
        <f>SUM(N3:Y3)</f>
        <v>104098482.9981398</v>
      </c>
      <c r="BA3" s="244">
        <f>SUM(Z3:AK3)</f>
        <v>98402434.995256305</v>
      </c>
      <c r="BB3" s="244">
        <f>SUM(AL3:AW3)</f>
        <v>106904867.035331</v>
      </c>
      <c r="BC3" s="284">
        <f t="shared" ref="BC3:BE7" si="2">AY3/AY$8</f>
        <v>0.15849997213515046</v>
      </c>
      <c r="BD3" s="284">
        <f t="shared" si="2"/>
        <v>0.15796491586632375</v>
      </c>
      <c r="BE3" s="284">
        <f t="shared" si="2"/>
        <v>0.15371395902424656</v>
      </c>
      <c r="BF3" s="284">
        <f>BB3/BB$8</f>
        <v>0.15331529100482175</v>
      </c>
      <c r="BG3" s="284">
        <f>BF3</f>
        <v>0.15331529100482175</v>
      </c>
    </row>
    <row r="4" spans="1:59" x14ac:dyDescent="0.35">
      <c r="A4" s="1" t="s">
        <v>429</v>
      </c>
      <c r="B4" s="286">
        <f>B$43*B81</f>
        <v>37328157.488505103</v>
      </c>
      <c r="C4" s="286">
        <f t="shared" ref="C4:AB4" si="3">C$43*C81</f>
        <v>34232556.31893523</v>
      </c>
      <c r="D4" s="286">
        <f t="shared" si="3"/>
        <v>34474093.838657662</v>
      </c>
      <c r="E4" s="286">
        <f t="shared" si="3"/>
        <v>26735599.038155589</v>
      </c>
      <c r="F4" s="286">
        <f t="shared" si="3"/>
        <v>28124715.960034285</v>
      </c>
      <c r="G4" s="286">
        <f t="shared" si="3"/>
        <v>27876534.910632316</v>
      </c>
      <c r="H4" s="286">
        <f t="shared" si="3"/>
        <v>33492819.88213215</v>
      </c>
      <c r="I4" s="286">
        <f t="shared" si="3"/>
        <v>28977741.783225097</v>
      </c>
      <c r="J4" s="286">
        <f t="shared" si="3"/>
        <v>30678010.504364658</v>
      </c>
      <c r="K4" s="286">
        <f t="shared" si="3"/>
        <v>26545916.843376283</v>
      </c>
      <c r="L4" s="286">
        <f t="shared" si="3"/>
        <v>28465048.48855117</v>
      </c>
      <c r="M4" s="286">
        <f t="shared" si="3"/>
        <v>31248558.091045469</v>
      </c>
      <c r="N4" s="286">
        <f t="shared" si="3"/>
        <v>34787782.433678716</v>
      </c>
      <c r="O4" s="286">
        <f t="shared" si="3"/>
        <v>31072460.590543911</v>
      </c>
      <c r="P4" s="286">
        <f t="shared" si="3"/>
        <v>30968802.323407311</v>
      </c>
      <c r="Q4" s="286">
        <f t="shared" si="3"/>
        <v>27448506.493240997</v>
      </c>
      <c r="R4" s="286">
        <f t="shared" si="3"/>
        <v>27283620.438396346</v>
      </c>
      <c r="S4" s="286">
        <f t="shared" si="3"/>
        <v>28891478.721193727</v>
      </c>
      <c r="T4" s="286">
        <f t="shared" si="3"/>
        <v>34807409.63112893</v>
      </c>
      <c r="U4" s="286">
        <f t="shared" si="3"/>
        <v>34684462.952615701</v>
      </c>
      <c r="V4" s="286">
        <f t="shared" si="3"/>
        <v>28778640.162929118</v>
      </c>
      <c r="W4" s="286">
        <f t="shared" si="3"/>
        <v>25572641.719132718</v>
      </c>
      <c r="X4" s="286">
        <f t="shared" si="3"/>
        <v>27915741.230779752</v>
      </c>
      <c r="Y4" s="286">
        <f t="shared" si="3"/>
        <v>32599689.661984697</v>
      </c>
      <c r="Z4" s="286">
        <f t="shared" si="3"/>
        <v>34494766.03229405</v>
      </c>
      <c r="AA4" s="286">
        <f t="shared" si="3"/>
        <v>28274427.386692006</v>
      </c>
      <c r="AB4" s="286">
        <f t="shared" si="3"/>
        <v>32856722.940911096</v>
      </c>
      <c r="AC4" s="251">
        <v>26549427.511471</v>
      </c>
      <c r="AD4" s="251">
        <v>24923681.681132</v>
      </c>
      <c r="AE4" s="251">
        <v>27178158.359774001</v>
      </c>
      <c r="AF4" s="251">
        <v>31652352.480818</v>
      </c>
      <c r="AG4" s="251">
        <v>27442290.546401002</v>
      </c>
      <c r="AH4" s="251">
        <v>28485468.483762</v>
      </c>
      <c r="AI4" s="251">
        <v>26691640.702020999</v>
      </c>
      <c r="AJ4" s="251">
        <v>28407758.919178002</v>
      </c>
      <c r="AK4" s="251">
        <v>36909230.826485001</v>
      </c>
      <c r="AL4" s="251">
        <v>35737230.787129998</v>
      </c>
      <c r="AM4" s="251">
        <v>30827656.834143002</v>
      </c>
      <c r="AN4" s="251">
        <v>32094644.593625002</v>
      </c>
      <c r="AO4" s="251">
        <v>29012878.987101</v>
      </c>
      <c r="AP4" s="251">
        <v>27057300.736637998</v>
      </c>
      <c r="AQ4" s="251">
        <v>29600230.393568002</v>
      </c>
      <c r="AR4" s="251">
        <v>35689459.367637001</v>
      </c>
      <c r="AS4" s="251">
        <v>33910520.126491003</v>
      </c>
      <c r="AT4" s="251">
        <v>31927023.187539</v>
      </c>
      <c r="AU4" s="251">
        <v>27409666.899999999</v>
      </c>
      <c r="AV4" s="251">
        <v>29305072</v>
      </c>
      <c r="AW4" s="251">
        <v>35027789</v>
      </c>
      <c r="AX4" s="256"/>
      <c r="AY4" s="244">
        <f t="shared" ref="AY4:AY8" si="4">SUM(B4:M4)</f>
        <v>368179753.14761508</v>
      </c>
      <c r="AZ4" s="244">
        <f t="shared" ref="AZ4:AZ8" si="5">SUM(N4:Y4)</f>
        <v>364811236.35903198</v>
      </c>
      <c r="BA4" s="244">
        <f t="shared" ref="BA4:BA8" si="6">SUM(Z4:AK4)</f>
        <v>353865925.87093914</v>
      </c>
      <c r="BB4" s="244">
        <f t="shared" ref="BB4:BB8" si="7">SUM(AL4:AW4)</f>
        <v>377599472.913872</v>
      </c>
      <c r="BC4" s="284">
        <f t="shared" si="2"/>
        <v>0.56287099613740788</v>
      </c>
      <c r="BD4" s="284">
        <f t="shared" si="2"/>
        <v>0.55358516857132123</v>
      </c>
      <c r="BE4" s="284">
        <f t="shared" si="2"/>
        <v>0.55277221983403957</v>
      </c>
      <c r="BF4" s="284">
        <f>BB4/BB$8</f>
        <v>0.5415260752714367</v>
      </c>
      <c r="BG4" s="284">
        <f t="shared" ref="BG4:BG7" si="8">BF4</f>
        <v>0.5415260752714367</v>
      </c>
    </row>
    <row r="5" spans="1:59" x14ac:dyDescent="0.35">
      <c r="A5" s="1" t="s">
        <v>430</v>
      </c>
      <c r="B5" s="286">
        <f t="shared" ref="B5:B7" si="9">B$43*B83</f>
        <v>11116250.001557162</v>
      </c>
      <c r="C5" s="286">
        <f t="shared" ref="C5:AB5" si="10">C$43*C83</f>
        <v>9911388.9351850711</v>
      </c>
      <c r="D5" s="286">
        <f t="shared" si="10"/>
        <v>9819072.6940291189</v>
      </c>
      <c r="E5" s="286">
        <f t="shared" si="10"/>
        <v>7758192.814706916</v>
      </c>
      <c r="F5" s="286">
        <f t="shared" si="10"/>
        <v>8245914.6242234856</v>
      </c>
      <c r="G5" s="286">
        <f t="shared" si="10"/>
        <v>8359848.5090987934</v>
      </c>
      <c r="H5" s="286">
        <f t="shared" si="10"/>
        <v>9835849.3791595418</v>
      </c>
      <c r="I5" s="286">
        <f t="shared" si="10"/>
        <v>9294367.6122041326</v>
      </c>
      <c r="J5" s="286">
        <f t="shared" si="10"/>
        <v>9215605.4614503775</v>
      </c>
      <c r="K5" s="286">
        <f t="shared" si="10"/>
        <v>8415032.8484112676</v>
      </c>
      <c r="L5" s="286">
        <f t="shared" si="10"/>
        <v>8195212.3451749878</v>
      </c>
      <c r="M5" s="286">
        <f t="shared" si="10"/>
        <v>9395854.9837756697</v>
      </c>
      <c r="N5" s="286">
        <f t="shared" si="10"/>
        <v>10245314.431471772</v>
      </c>
      <c r="O5" s="286">
        <f t="shared" si="10"/>
        <v>8939482.0339770615</v>
      </c>
      <c r="P5" s="286">
        <f t="shared" si="10"/>
        <v>8917442.9935848825</v>
      </c>
      <c r="Q5" s="286">
        <f t="shared" si="10"/>
        <v>8013268.8749242015</v>
      </c>
      <c r="R5" s="286">
        <f t="shared" si="10"/>
        <v>8172074.6765217986</v>
      </c>
      <c r="S5" s="286">
        <f t="shared" si="10"/>
        <v>8718275.76927175</v>
      </c>
      <c r="T5" s="286">
        <f t="shared" si="10"/>
        <v>9954764.5262164921</v>
      </c>
      <c r="U5" s="286">
        <f t="shared" si="10"/>
        <v>11446568.440662652</v>
      </c>
      <c r="V5" s="286">
        <f t="shared" si="10"/>
        <v>9581722.5109809935</v>
      </c>
      <c r="W5" s="286">
        <f t="shared" si="10"/>
        <v>8532306.7935319357</v>
      </c>
      <c r="X5" s="286">
        <f t="shared" si="10"/>
        <v>8286065.1474151388</v>
      </c>
      <c r="Y5" s="286">
        <f t="shared" si="10"/>
        <v>10007810.994938727</v>
      </c>
      <c r="Z5" s="286">
        <f t="shared" si="10"/>
        <v>10012354.525110815</v>
      </c>
      <c r="AA5" s="286">
        <f t="shared" si="10"/>
        <v>8151351.2022206122</v>
      </c>
      <c r="AB5" s="286">
        <f t="shared" si="10"/>
        <v>9504298.6576162037</v>
      </c>
      <c r="AC5" s="251">
        <v>6853514.9680350004</v>
      </c>
      <c r="AD5" s="251">
        <v>7575794.3928049998</v>
      </c>
      <c r="AE5" s="251">
        <v>8670863.1996570006</v>
      </c>
      <c r="AF5" s="251">
        <v>9227688.5673549995</v>
      </c>
      <c r="AG5" s="251">
        <v>9634871.8415019996</v>
      </c>
      <c r="AH5" s="251">
        <v>8444217.3710469995</v>
      </c>
      <c r="AI5" s="251">
        <v>7335312.4225099999</v>
      </c>
      <c r="AJ5" s="251">
        <v>9370350.1994480006</v>
      </c>
      <c r="AK5" s="251">
        <v>9137897.7928129993</v>
      </c>
      <c r="AL5" s="251">
        <v>10997957.630454</v>
      </c>
      <c r="AM5" s="251">
        <v>8769330.0619050004</v>
      </c>
      <c r="AN5" s="251">
        <v>9075163.4532999992</v>
      </c>
      <c r="AO5" s="251">
        <v>8502326.2487550005</v>
      </c>
      <c r="AP5" s="251">
        <v>8616394.4865109995</v>
      </c>
      <c r="AQ5" s="251">
        <v>9163743.7149480004</v>
      </c>
      <c r="AR5" s="251">
        <v>11546963.608077001</v>
      </c>
      <c r="AS5" s="251">
        <v>11362571.585790001</v>
      </c>
      <c r="AT5" s="251">
        <v>8484377.909821</v>
      </c>
      <c r="AU5" s="251">
        <v>8151190.7000000002</v>
      </c>
      <c r="AV5" s="251">
        <v>9762994</v>
      </c>
      <c r="AW5" s="251">
        <v>8759013</v>
      </c>
      <c r="AX5" s="256"/>
      <c r="AY5" s="244">
        <f t="shared" si="4"/>
        <v>109562590.20897652</v>
      </c>
      <c r="AZ5" s="244">
        <f t="shared" si="5"/>
        <v>110815097.19349742</v>
      </c>
      <c r="BA5" s="244">
        <f t="shared" si="6"/>
        <v>103918515.14011964</v>
      </c>
      <c r="BB5" s="244">
        <f t="shared" si="7"/>
        <v>113192026.399561</v>
      </c>
      <c r="BC5" s="284">
        <f t="shared" si="2"/>
        <v>0.16749863012047786</v>
      </c>
      <c r="BD5" s="284">
        <f t="shared" si="2"/>
        <v>0.16815708548992125</v>
      </c>
      <c r="BE5" s="284">
        <f t="shared" si="2"/>
        <v>0.16233060064904839</v>
      </c>
      <c r="BF5" s="284">
        <f>BB5/BB$8</f>
        <v>0.16233188392759343</v>
      </c>
      <c r="BG5" s="284">
        <f t="shared" si="8"/>
        <v>0.16233188392759343</v>
      </c>
    </row>
    <row r="6" spans="1:59" x14ac:dyDescent="0.35">
      <c r="A6" s="1" t="s">
        <v>431</v>
      </c>
      <c r="B6" s="286">
        <f t="shared" si="9"/>
        <v>3525315.7425752152</v>
      </c>
      <c r="C6" s="286">
        <f t="shared" ref="C6:AB6" si="11">C$43*C84</f>
        <v>3312641.034542108</v>
      </c>
      <c r="D6" s="286">
        <f t="shared" si="11"/>
        <v>2505506.4117012811</v>
      </c>
      <c r="E6" s="286">
        <f t="shared" si="11"/>
        <v>2452027.6118528978</v>
      </c>
      <c r="F6" s="286">
        <f t="shared" si="11"/>
        <v>2596070.2255140138</v>
      </c>
      <c r="G6" s="286">
        <f t="shared" si="11"/>
        <v>2528722.9339254699</v>
      </c>
      <c r="H6" s="286">
        <f t="shared" si="11"/>
        <v>2738324.2218948901</v>
      </c>
      <c r="I6" s="286">
        <f t="shared" si="11"/>
        <v>2992574.5934581016</v>
      </c>
      <c r="J6" s="286">
        <f t="shared" si="11"/>
        <v>2428820.4688658696</v>
      </c>
      <c r="K6" s="286">
        <f t="shared" si="11"/>
        <v>2575362.8887452334</v>
      </c>
      <c r="L6" s="286">
        <f t="shared" si="11"/>
        <v>2487197.4974647458</v>
      </c>
      <c r="M6" s="286">
        <f t="shared" si="11"/>
        <v>3305298.5622440698</v>
      </c>
      <c r="N6" s="286">
        <f t="shared" si="11"/>
        <v>3914970.8127951678</v>
      </c>
      <c r="O6" s="286">
        <f t="shared" si="11"/>
        <v>3638597.8515166515</v>
      </c>
      <c r="P6" s="286">
        <f t="shared" si="11"/>
        <v>3017254.9527776479</v>
      </c>
      <c r="Q6" s="286">
        <f t="shared" si="11"/>
        <v>3331550.2428341582</v>
      </c>
      <c r="R6" s="286">
        <f t="shared" si="11"/>
        <v>3072367.5860817884</v>
      </c>
      <c r="S6" s="286">
        <f t="shared" si="11"/>
        <v>3269038.4270008914</v>
      </c>
      <c r="T6" s="286">
        <f t="shared" si="11"/>
        <v>3807574.984858708</v>
      </c>
      <c r="U6" s="286">
        <f t="shared" si="11"/>
        <v>3712840.5147862462</v>
      </c>
      <c r="V6" s="286">
        <f t="shared" si="11"/>
        <v>2424991.7101849234</v>
      </c>
      <c r="W6" s="286">
        <f t="shared" si="11"/>
        <v>3067975.3063751771</v>
      </c>
      <c r="X6" s="286">
        <f t="shared" si="11"/>
        <v>2784464.6552708447</v>
      </c>
      <c r="Y6" s="286">
        <f t="shared" si="11"/>
        <v>4538258.6862463057</v>
      </c>
      <c r="Z6" s="286">
        <f t="shared" si="11"/>
        <v>3903916.6146981861</v>
      </c>
      <c r="AA6" s="286">
        <f t="shared" si="11"/>
        <v>4107847.2274287906</v>
      </c>
      <c r="AB6" s="286">
        <f t="shared" si="11"/>
        <v>3369700.500238339</v>
      </c>
      <c r="AC6" s="251">
        <v>3717931.9440370002</v>
      </c>
      <c r="AD6" s="251">
        <v>3312761.344025</v>
      </c>
      <c r="AE6" s="251">
        <v>3470392.6898369999</v>
      </c>
      <c r="AF6" s="251">
        <v>3715043.393749</v>
      </c>
      <c r="AG6" s="251">
        <v>3477709.2774689998</v>
      </c>
      <c r="AH6" s="251">
        <v>3716393.8915949999</v>
      </c>
      <c r="AI6" s="251">
        <v>3770284.3283890001</v>
      </c>
      <c r="AJ6" s="251">
        <v>4300872.3478140002</v>
      </c>
      <c r="AK6" s="251">
        <v>4509028.8732479997</v>
      </c>
      <c r="AL6" s="251">
        <v>5240255.9397320002</v>
      </c>
      <c r="AM6" s="251">
        <v>4885523.4649170004</v>
      </c>
      <c r="AN6" s="251">
        <v>4702956.4246490002</v>
      </c>
      <c r="AO6" s="251">
        <v>4869308.3846129999</v>
      </c>
      <c r="AP6" s="251">
        <v>3897187.0724479998</v>
      </c>
      <c r="AQ6" s="251">
        <v>4383361.5452089999</v>
      </c>
      <c r="AR6" s="251">
        <v>4325596.4692559997</v>
      </c>
      <c r="AS6" s="251">
        <v>4151867.7554199998</v>
      </c>
      <c r="AT6" s="251">
        <v>4354074.0909810001</v>
      </c>
      <c r="AU6" s="251">
        <v>4041122.4</v>
      </c>
      <c r="AV6" s="251">
        <v>5359869</v>
      </c>
      <c r="AW6" s="251">
        <v>5439522</v>
      </c>
      <c r="AX6" s="256"/>
      <c r="AY6" s="244">
        <f t="shared" si="4"/>
        <v>33447862.192783896</v>
      </c>
      <c r="AZ6" s="244">
        <f t="shared" si="5"/>
        <v>40579885.730728507</v>
      </c>
      <c r="BA6" s="244">
        <f t="shared" si="6"/>
        <v>45371882.432528317</v>
      </c>
      <c r="BB6" s="244">
        <f t="shared" si="7"/>
        <v>55650644.547224998</v>
      </c>
      <c r="BC6" s="284">
        <f t="shared" si="2"/>
        <v>5.1134890906319702E-2</v>
      </c>
      <c r="BD6" s="284">
        <f t="shared" si="2"/>
        <v>6.1578209890283495E-2</v>
      </c>
      <c r="BE6" s="284">
        <f t="shared" si="2"/>
        <v>7.087519406834597E-2</v>
      </c>
      <c r="BF6" s="284">
        <f>BB6/BB$8</f>
        <v>7.9810162062536633E-2</v>
      </c>
      <c r="BG6" s="284">
        <f t="shared" si="8"/>
        <v>7.9810162062536633E-2</v>
      </c>
    </row>
    <row r="7" spans="1:59" x14ac:dyDescent="0.35">
      <c r="A7" s="1" t="s">
        <v>432</v>
      </c>
      <c r="B7" s="286">
        <f t="shared" si="9"/>
        <v>4362915.2729365965</v>
      </c>
      <c r="C7" s="286">
        <f t="shared" ref="C7:AB7" si="12">C$43*C85</f>
        <v>4238031.0098974509</v>
      </c>
      <c r="D7" s="286">
        <f t="shared" si="12"/>
        <v>3271996.1020906824</v>
      </c>
      <c r="E7" s="286">
        <f t="shared" si="12"/>
        <v>3246166.6498732371</v>
      </c>
      <c r="F7" s="286">
        <f t="shared" si="12"/>
        <v>2457638.7463271031</v>
      </c>
      <c r="G7" s="286">
        <f t="shared" si="12"/>
        <v>2754496.8054817524</v>
      </c>
      <c r="H7" s="286">
        <f t="shared" si="12"/>
        <v>3380696.0426417752</v>
      </c>
      <c r="I7" s="286">
        <f t="shared" si="12"/>
        <v>3803435.6688537654</v>
      </c>
      <c r="J7" s="286">
        <f t="shared" si="12"/>
        <v>2727656.6544913696</v>
      </c>
      <c r="K7" s="286">
        <f t="shared" si="12"/>
        <v>2994313.3420109763</v>
      </c>
      <c r="L7" s="286">
        <f t="shared" si="12"/>
        <v>2913824.7473952891</v>
      </c>
      <c r="M7" s="286">
        <f t="shared" si="12"/>
        <v>3092514.4051285358</v>
      </c>
      <c r="N7" s="286">
        <f t="shared" si="12"/>
        <v>3545662.2672286769</v>
      </c>
      <c r="O7" s="286">
        <f t="shared" si="12"/>
        <v>3623792.1720381412</v>
      </c>
      <c r="P7" s="286">
        <f t="shared" si="12"/>
        <v>2861808.215478512</v>
      </c>
      <c r="Q7" s="286">
        <f t="shared" si="12"/>
        <v>2949336.7337296461</v>
      </c>
      <c r="R7" s="286">
        <f t="shared" si="12"/>
        <v>2440504.2609557696</v>
      </c>
      <c r="S7" s="286">
        <f t="shared" si="12"/>
        <v>3191414.3816568842</v>
      </c>
      <c r="T7" s="286">
        <f t="shared" si="12"/>
        <v>4009141.8534069788</v>
      </c>
      <c r="U7" s="286">
        <f t="shared" si="12"/>
        <v>3991709.7844675528</v>
      </c>
      <c r="V7" s="286">
        <f t="shared" si="12"/>
        <v>2710491.3514739494</v>
      </c>
      <c r="W7" s="286">
        <f t="shared" si="12"/>
        <v>3261778.3639307744</v>
      </c>
      <c r="X7" s="286">
        <f t="shared" si="12"/>
        <v>2681371.6228660168</v>
      </c>
      <c r="Y7" s="286">
        <f t="shared" si="12"/>
        <v>3425776.2946394873</v>
      </c>
      <c r="Z7" s="286">
        <f t="shared" si="12"/>
        <v>3449489.7805854953</v>
      </c>
      <c r="AA7" s="286">
        <f t="shared" si="12"/>
        <v>3727780.2101931968</v>
      </c>
      <c r="AB7" s="286">
        <f t="shared" si="12"/>
        <v>2650924.6794517222</v>
      </c>
      <c r="AC7" s="251">
        <v>2519587.013365</v>
      </c>
      <c r="AD7" s="251">
        <v>2944830.6810960001</v>
      </c>
      <c r="AE7" s="251">
        <v>3206823.8241599998</v>
      </c>
      <c r="AF7" s="251">
        <v>3507835.437351</v>
      </c>
      <c r="AG7" s="251">
        <v>3275990.4754189998</v>
      </c>
      <c r="AH7" s="251">
        <v>3266067.1093310001</v>
      </c>
      <c r="AI7" s="251">
        <v>3252865.7131139999</v>
      </c>
      <c r="AJ7" s="251">
        <v>3084637.205668</v>
      </c>
      <c r="AK7" s="251">
        <v>3720309.912422</v>
      </c>
      <c r="AL7" s="251">
        <v>4261772.8070870005</v>
      </c>
      <c r="AM7" s="251">
        <v>3310989.4546039999</v>
      </c>
      <c r="AN7" s="251">
        <v>3494410.9895529998</v>
      </c>
      <c r="AO7" s="251">
        <v>3080705.8979699998</v>
      </c>
      <c r="AP7" s="251">
        <v>3485191.7990359999</v>
      </c>
      <c r="AQ7" s="251">
        <v>3708462.8582910001</v>
      </c>
      <c r="AR7" s="251">
        <v>4242652.8953649998</v>
      </c>
      <c r="AS7" s="251">
        <v>4198332.2272319999</v>
      </c>
      <c r="AT7" s="251">
        <v>3506642.256143</v>
      </c>
      <c r="AU7" s="251">
        <v>3605105.5</v>
      </c>
      <c r="AV7" s="251">
        <v>3452546</v>
      </c>
      <c r="AW7" s="251">
        <v>3593879</v>
      </c>
      <c r="AX7" s="256"/>
      <c r="AY7" s="244">
        <f t="shared" si="4"/>
        <v>39243685.447128534</v>
      </c>
      <c r="AZ7" s="244">
        <f t="shared" si="5"/>
        <v>38692787.301872395</v>
      </c>
      <c r="BA7" s="244">
        <f t="shared" si="6"/>
        <v>38607142.042156421</v>
      </c>
      <c r="BB7" s="244">
        <f t="shared" si="7"/>
        <v>43940691.685281008</v>
      </c>
      <c r="BC7" s="284">
        <f t="shared" si="2"/>
        <v>5.9995510700644343E-2</v>
      </c>
      <c r="BD7" s="284">
        <f t="shared" si="2"/>
        <v>5.8714620182150526E-2</v>
      </c>
      <c r="BE7" s="284">
        <f t="shared" si="2"/>
        <v>6.030802642431949E-2</v>
      </c>
      <c r="BF7" s="284">
        <f>BB7/BB$8</f>
        <v>6.3016587733611504E-2</v>
      </c>
      <c r="BG7" s="284">
        <f t="shared" si="8"/>
        <v>6.3016587733611504E-2</v>
      </c>
    </row>
    <row r="8" spans="1:59" s="1" customFormat="1" x14ac:dyDescent="0.35">
      <c r="A8" s="1" t="s">
        <v>5</v>
      </c>
      <c r="B8" s="298">
        <f>SUM(B3:B7)</f>
        <v>66399463.70912724</v>
      </c>
      <c r="C8" s="298">
        <f t="shared" ref="C8:AB8" si="13">SUM(C3:C7)</f>
        <v>60977927.169316366</v>
      </c>
      <c r="D8" s="298">
        <f t="shared" si="13"/>
        <v>58825932.555270925</v>
      </c>
      <c r="E8" s="298">
        <f t="shared" si="13"/>
        <v>47536390.336857691</v>
      </c>
      <c r="F8" s="298">
        <f t="shared" si="13"/>
        <v>49106189.40055643</v>
      </c>
      <c r="G8" s="298">
        <f t="shared" si="13"/>
        <v>49540470.988052122</v>
      </c>
      <c r="H8" s="298">
        <f t="shared" si="13"/>
        <v>59273914.339328215</v>
      </c>
      <c r="I8" s="298">
        <f t="shared" si="13"/>
        <v>53651800.022120245</v>
      </c>
      <c r="J8" s="298">
        <f t="shared" si="13"/>
        <v>53729684.331717044</v>
      </c>
      <c r="K8" s="298">
        <f t="shared" si="13"/>
        <v>48276487.601465322</v>
      </c>
      <c r="L8" s="298">
        <f t="shared" si="13"/>
        <v>50383236.143190429</v>
      </c>
      <c r="M8" s="298">
        <f t="shared" si="13"/>
        <v>56408869.142530963</v>
      </c>
      <c r="N8" s="298">
        <f t="shared" si="13"/>
        <v>61660789.659618847</v>
      </c>
      <c r="O8" s="298">
        <f t="shared" si="13"/>
        <v>55659047.541091777</v>
      </c>
      <c r="P8" s="298">
        <f t="shared" si="13"/>
        <v>53743762.373834796</v>
      </c>
      <c r="Q8" s="298">
        <f t="shared" si="13"/>
        <v>49375582.266192593</v>
      </c>
      <c r="R8" s="298">
        <f t="shared" si="13"/>
        <v>48671307.921687007</v>
      </c>
      <c r="S8" s="298">
        <f t="shared" si="13"/>
        <v>52512367.470322862</v>
      </c>
      <c r="T8" s="298">
        <f t="shared" si="13"/>
        <v>62506425.300419487</v>
      </c>
      <c r="U8" s="298">
        <f t="shared" si="13"/>
        <v>64226755.874153815</v>
      </c>
      <c r="V8" s="298">
        <f t="shared" si="13"/>
        <v>52119377.021173216</v>
      </c>
      <c r="W8" s="298">
        <f t="shared" si="13"/>
        <v>48122198.673777446</v>
      </c>
      <c r="X8" s="298">
        <f t="shared" si="13"/>
        <v>49929644.902260557</v>
      </c>
      <c r="Y8" s="298">
        <f t="shared" si="13"/>
        <v>60470230.578737639</v>
      </c>
      <c r="Z8" s="298">
        <f t="shared" si="13"/>
        <v>60839087.308647051</v>
      </c>
      <c r="AA8" s="298">
        <f t="shared" si="13"/>
        <v>52018223.611334242</v>
      </c>
      <c r="AB8" s="298">
        <f t="shared" si="13"/>
        <v>56975847.826956518</v>
      </c>
      <c r="AC8" s="246">
        <f t="shared" ref="AC8:AT8" si="14">SUM(AC3:AC7)</f>
        <v>46245252.655423999</v>
      </c>
      <c r="AD8" s="246">
        <f t="shared" si="14"/>
        <v>46534468.580132008</v>
      </c>
      <c r="AE8" s="246">
        <f t="shared" si="14"/>
        <v>51030721.141145006</v>
      </c>
      <c r="AF8" s="246">
        <f t="shared" si="14"/>
        <v>56694214.945408002</v>
      </c>
      <c r="AG8" s="246">
        <f t="shared" si="14"/>
        <v>52698093.475606002</v>
      </c>
      <c r="AH8" s="246">
        <f t="shared" si="14"/>
        <v>51918940.290273994</v>
      </c>
      <c r="AI8" s="246">
        <f t="shared" si="14"/>
        <v>48779592.115946002</v>
      </c>
      <c r="AJ8" s="246">
        <f t="shared" si="14"/>
        <v>53717196.993257008</v>
      </c>
      <c r="AK8" s="246">
        <f t="shared" si="14"/>
        <v>62714261.536870003</v>
      </c>
      <c r="AL8" s="246">
        <f t="shared" si="14"/>
        <v>66416467.728015006</v>
      </c>
      <c r="AM8" s="246">
        <f t="shared" si="14"/>
        <v>55855576.925822005</v>
      </c>
      <c r="AN8" s="246">
        <f t="shared" si="14"/>
        <v>57957038.824405</v>
      </c>
      <c r="AO8" s="246">
        <f t="shared" si="14"/>
        <v>53600408.731743</v>
      </c>
      <c r="AP8" s="246">
        <f t="shared" si="14"/>
        <v>51527862.720117003</v>
      </c>
      <c r="AQ8" s="246">
        <f t="shared" si="14"/>
        <v>55673238.408011995</v>
      </c>
      <c r="AR8" s="246">
        <f t="shared" si="14"/>
        <v>66146418.864171997</v>
      </c>
      <c r="AS8" s="246">
        <f t="shared" si="14"/>
        <v>63829118.746043004</v>
      </c>
      <c r="AT8" s="246">
        <f t="shared" si="14"/>
        <v>56384299.532940999</v>
      </c>
      <c r="AU8" s="246">
        <f t="shared" ref="AU8" si="15">SUM(AU3:AU7)</f>
        <v>51787871.100000001</v>
      </c>
      <c r="AV8" s="246">
        <f>SUM(AV3:AV7)</f>
        <v>56991594</v>
      </c>
      <c r="AW8" s="246">
        <f>SUM(AW3:AW7)</f>
        <v>61117807</v>
      </c>
      <c r="AY8" s="244">
        <f t="shared" si="4"/>
        <v>654110365.73953295</v>
      </c>
      <c r="AZ8" s="244">
        <f t="shared" si="5"/>
        <v>658997489.58326995</v>
      </c>
      <c r="BA8" s="244">
        <f t="shared" si="6"/>
        <v>640165900.48099983</v>
      </c>
      <c r="BB8" s="244">
        <f t="shared" si="7"/>
        <v>697287702.58126998</v>
      </c>
      <c r="BC8" s="285">
        <f t="shared" ref="BC8:BF8" si="16">SUM(BC3:BC7)</f>
        <v>1.0000000000000002</v>
      </c>
      <c r="BD8" s="285">
        <f t="shared" si="16"/>
        <v>1.0000000000000002</v>
      </c>
      <c r="BE8" s="285">
        <f t="shared" si="16"/>
        <v>1</v>
      </c>
      <c r="BF8" s="285">
        <f t="shared" si="16"/>
        <v>1</v>
      </c>
      <c r="BG8" s="285">
        <f>SUM(BG3:BG7)</f>
        <v>1</v>
      </c>
    </row>
    <row r="10" spans="1:59" x14ac:dyDescent="0.35">
      <c r="A10" s="1" t="s">
        <v>436</v>
      </c>
    </row>
    <row r="11" spans="1:59" s="1" customFormat="1" x14ac:dyDescent="0.35">
      <c r="A11" s="1" t="s">
        <v>427</v>
      </c>
      <c r="B11" s="243">
        <v>42005</v>
      </c>
      <c r="C11" s="243">
        <f>EOMONTH(B11, 1)</f>
        <v>42063</v>
      </c>
      <c r="D11" s="243">
        <f t="shared" ref="D11:AW11" si="17">EOMONTH(C11, 1)</f>
        <v>42094</v>
      </c>
      <c r="E11" s="243">
        <f t="shared" si="17"/>
        <v>42124</v>
      </c>
      <c r="F11" s="243">
        <f t="shared" si="17"/>
        <v>42155</v>
      </c>
      <c r="G11" s="243">
        <f t="shared" si="17"/>
        <v>42185</v>
      </c>
      <c r="H11" s="243">
        <f t="shared" si="17"/>
        <v>42216</v>
      </c>
      <c r="I11" s="243">
        <f t="shared" si="17"/>
        <v>42247</v>
      </c>
      <c r="J11" s="243">
        <f t="shared" si="17"/>
        <v>42277</v>
      </c>
      <c r="K11" s="243">
        <f t="shared" si="17"/>
        <v>42308</v>
      </c>
      <c r="L11" s="243">
        <f t="shared" si="17"/>
        <v>42338</v>
      </c>
      <c r="M11" s="243">
        <f t="shared" si="17"/>
        <v>42369</v>
      </c>
      <c r="N11" s="243">
        <f t="shared" si="17"/>
        <v>42400</v>
      </c>
      <c r="O11" s="243">
        <f t="shared" si="17"/>
        <v>42429</v>
      </c>
      <c r="P11" s="243">
        <f t="shared" si="17"/>
        <v>42460</v>
      </c>
      <c r="Q11" s="243">
        <f t="shared" si="17"/>
        <v>42490</v>
      </c>
      <c r="R11" s="243">
        <f t="shared" si="17"/>
        <v>42521</v>
      </c>
      <c r="S11" s="243">
        <f t="shared" si="17"/>
        <v>42551</v>
      </c>
      <c r="T11" s="243">
        <f t="shared" si="17"/>
        <v>42582</v>
      </c>
      <c r="U11" s="243">
        <f t="shared" si="17"/>
        <v>42613</v>
      </c>
      <c r="V11" s="243">
        <f t="shared" si="17"/>
        <v>42643</v>
      </c>
      <c r="W11" s="243">
        <f t="shared" si="17"/>
        <v>42674</v>
      </c>
      <c r="X11" s="243">
        <f t="shared" si="17"/>
        <v>42704</v>
      </c>
      <c r="Y11" s="243">
        <f t="shared" si="17"/>
        <v>42735</v>
      </c>
      <c r="Z11" s="243">
        <f t="shared" si="17"/>
        <v>42766</v>
      </c>
      <c r="AA11" s="243">
        <f t="shared" si="17"/>
        <v>42794</v>
      </c>
      <c r="AB11" s="243">
        <f t="shared" si="17"/>
        <v>42825</v>
      </c>
      <c r="AC11" s="243">
        <f t="shared" si="17"/>
        <v>42855</v>
      </c>
      <c r="AD11" s="243">
        <f t="shared" si="17"/>
        <v>42886</v>
      </c>
      <c r="AE11" s="243">
        <f t="shared" si="17"/>
        <v>42916</v>
      </c>
      <c r="AF11" s="243">
        <f t="shared" si="17"/>
        <v>42947</v>
      </c>
      <c r="AG11" s="243">
        <f t="shared" si="17"/>
        <v>42978</v>
      </c>
      <c r="AH11" s="243">
        <f t="shared" si="17"/>
        <v>43008</v>
      </c>
      <c r="AI11" s="243">
        <f t="shared" si="17"/>
        <v>43039</v>
      </c>
      <c r="AJ11" s="243">
        <f t="shared" si="17"/>
        <v>43069</v>
      </c>
      <c r="AK11" s="243">
        <f t="shared" si="17"/>
        <v>43100</v>
      </c>
      <c r="AL11" s="243">
        <f t="shared" si="17"/>
        <v>43131</v>
      </c>
      <c r="AM11" s="243">
        <f t="shared" si="17"/>
        <v>43159</v>
      </c>
      <c r="AN11" s="243">
        <f t="shared" si="17"/>
        <v>43190</v>
      </c>
      <c r="AO11" s="243">
        <f t="shared" si="17"/>
        <v>43220</v>
      </c>
      <c r="AP11" s="243">
        <f t="shared" si="17"/>
        <v>43251</v>
      </c>
      <c r="AQ11" s="243">
        <f t="shared" si="17"/>
        <v>43281</v>
      </c>
      <c r="AR11" s="243">
        <f t="shared" si="17"/>
        <v>43312</v>
      </c>
      <c r="AS11" s="243">
        <f t="shared" si="17"/>
        <v>43343</v>
      </c>
      <c r="AT11" s="243">
        <f t="shared" si="17"/>
        <v>43373</v>
      </c>
      <c r="AU11" s="243">
        <f t="shared" si="17"/>
        <v>43404</v>
      </c>
      <c r="AV11" s="243">
        <f t="shared" si="17"/>
        <v>43434</v>
      </c>
      <c r="AW11" s="243">
        <f t="shared" si="17"/>
        <v>43465</v>
      </c>
    </row>
    <row r="12" spans="1:59" x14ac:dyDescent="0.35">
      <c r="A12" s="1" t="s">
        <v>428</v>
      </c>
      <c r="B12" s="248">
        <v>0.114</v>
      </c>
      <c r="C12" s="248">
        <v>0.114</v>
      </c>
      <c r="D12" s="248">
        <v>0.114</v>
      </c>
      <c r="E12" s="248">
        <v>0.114</v>
      </c>
      <c r="F12" s="248">
        <v>0.122</v>
      </c>
      <c r="G12" s="248">
        <v>0.122</v>
      </c>
      <c r="H12" s="248">
        <v>0.122</v>
      </c>
      <c r="I12" s="248">
        <v>0.122</v>
      </c>
      <c r="J12" s="248">
        <v>0.122</v>
      </c>
      <c r="K12" s="248">
        <v>0.122</v>
      </c>
      <c r="L12" s="248">
        <v>0.128</v>
      </c>
      <c r="M12" s="248">
        <v>0.128</v>
      </c>
      <c r="N12" s="248">
        <v>0.128</v>
      </c>
      <c r="O12" s="248">
        <v>0.128</v>
      </c>
      <c r="P12" s="248">
        <v>0.128</v>
      </c>
      <c r="Q12" s="248">
        <v>0.128</v>
      </c>
      <c r="R12" s="248">
        <v>0.13200000000000001</v>
      </c>
      <c r="S12" s="248">
        <v>0.13200000000000001</v>
      </c>
      <c r="T12" s="248">
        <v>0.13200000000000001</v>
      </c>
      <c r="U12" s="248">
        <v>0.13200000000000001</v>
      </c>
      <c r="V12" s="248">
        <v>0.13200000000000001</v>
      </c>
      <c r="W12" s="248">
        <v>0.13200000000000001</v>
      </c>
      <c r="X12" s="248">
        <v>0.13200000000000001</v>
      </c>
      <c r="Y12" s="248">
        <v>0.13200000000000001</v>
      </c>
      <c r="Z12" s="248">
        <v>0.13200000000000001</v>
      </c>
      <c r="AA12" s="248">
        <v>0.13200000000000001</v>
      </c>
      <c r="AB12" s="248">
        <v>0.13200000000000001</v>
      </c>
      <c r="AC12" s="248">
        <v>0.13200000000000001</v>
      </c>
      <c r="AD12" s="248">
        <v>0.113</v>
      </c>
      <c r="AE12" s="248">
        <v>0.113</v>
      </c>
      <c r="AF12" s="248">
        <v>9.5000000000000001E-2</v>
      </c>
      <c r="AG12" s="248">
        <v>9.5000000000000001E-2</v>
      </c>
      <c r="AH12" s="248">
        <v>9.5000000000000001E-2</v>
      </c>
      <c r="AI12" s="248">
        <v>9.5000000000000001E-2</v>
      </c>
      <c r="AJ12" s="248">
        <v>9.5000000000000001E-2</v>
      </c>
      <c r="AK12" s="248">
        <v>9.5000000000000001E-2</v>
      </c>
      <c r="AL12" s="248">
        <v>9.5000000000000001E-2</v>
      </c>
      <c r="AM12" s="248">
        <v>9.5000000000000001E-2</v>
      </c>
      <c r="AN12" s="248">
        <v>9.5000000000000001E-2</v>
      </c>
      <c r="AO12" s="248">
        <v>9.5000000000000001E-2</v>
      </c>
      <c r="AP12" s="248">
        <v>9.4E-2</v>
      </c>
      <c r="AQ12" s="248">
        <v>9.4E-2</v>
      </c>
      <c r="AR12" s="248">
        <v>9.4E-2</v>
      </c>
      <c r="AS12" s="248">
        <v>9.4E-2</v>
      </c>
      <c r="AT12" s="248">
        <v>9.4E-2</v>
      </c>
      <c r="AU12" s="248">
        <v>9.4E-2</v>
      </c>
      <c r="AV12" s="248">
        <v>9.4E-2</v>
      </c>
      <c r="AW12" s="248">
        <v>9.4E-2</v>
      </c>
    </row>
    <row r="13" spans="1:59" x14ac:dyDescent="0.35">
      <c r="A13" s="1" t="s">
        <v>429</v>
      </c>
      <c r="B13" s="248">
        <v>7.6999999999999999E-2</v>
      </c>
      <c r="C13" s="248">
        <v>7.6999999999999999E-2</v>
      </c>
      <c r="D13" s="248">
        <v>7.6999999999999999E-2</v>
      </c>
      <c r="E13" s="248">
        <v>7.6999999999999999E-2</v>
      </c>
      <c r="F13" s="248">
        <v>0.08</v>
      </c>
      <c r="G13" s="248">
        <v>0.08</v>
      </c>
      <c r="H13" s="248">
        <v>0.08</v>
      </c>
      <c r="I13" s="248">
        <v>0.08</v>
      </c>
      <c r="J13" s="248">
        <v>0.08</v>
      </c>
      <c r="K13" s="248">
        <v>0.08</v>
      </c>
      <c r="L13" s="248">
        <v>8.3000000000000004E-2</v>
      </c>
      <c r="M13" s="248">
        <v>8.3000000000000004E-2</v>
      </c>
      <c r="N13" s="248">
        <v>8.3000000000000004E-2</v>
      </c>
      <c r="O13" s="248">
        <v>8.3000000000000004E-2</v>
      </c>
      <c r="P13" s="248">
        <v>8.3000000000000004E-2</v>
      </c>
      <c r="Q13" s="248">
        <v>8.3000000000000004E-2</v>
      </c>
      <c r="R13" s="248">
        <v>8.6999999999999994E-2</v>
      </c>
      <c r="S13" s="248">
        <v>8.6999999999999994E-2</v>
      </c>
      <c r="T13" s="248">
        <v>8.6999999999999994E-2</v>
      </c>
      <c r="U13" s="248">
        <v>8.6999999999999994E-2</v>
      </c>
      <c r="V13" s="248">
        <v>8.6999999999999994E-2</v>
      </c>
      <c r="W13" s="248">
        <v>8.6999999999999994E-2</v>
      </c>
      <c r="X13" s="248">
        <v>8.6999999999999994E-2</v>
      </c>
      <c r="Y13" s="248">
        <v>8.6999999999999994E-2</v>
      </c>
      <c r="Z13" s="248">
        <v>8.6999999999999994E-2</v>
      </c>
      <c r="AA13" s="248">
        <v>8.6999999999999994E-2</v>
      </c>
      <c r="AB13" s="248">
        <v>8.6999999999999994E-2</v>
      </c>
      <c r="AC13" s="248">
        <v>8.6999999999999994E-2</v>
      </c>
      <c r="AD13" s="248">
        <v>7.6999999999999999E-2</v>
      </c>
      <c r="AE13" s="248">
        <v>7.6999999999999999E-2</v>
      </c>
      <c r="AF13" s="248">
        <v>6.5000000000000002E-2</v>
      </c>
      <c r="AG13" s="248">
        <v>6.5000000000000002E-2</v>
      </c>
      <c r="AH13" s="248">
        <v>6.5000000000000002E-2</v>
      </c>
      <c r="AI13" s="248">
        <v>6.5000000000000002E-2</v>
      </c>
      <c r="AJ13" s="248">
        <v>6.5000000000000002E-2</v>
      </c>
      <c r="AK13" s="248">
        <v>6.5000000000000002E-2</v>
      </c>
      <c r="AL13" s="248">
        <v>6.5000000000000002E-2</v>
      </c>
      <c r="AM13" s="248">
        <v>6.5000000000000002E-2</v>
      </c>
      <c r="AN13" s="248">
        <v>6.5000000000000002E-2</v>
      </c>
      <c r="AO13" s="248">
        <v>6.5000000000000002E-2</v>
      </c>
      <c r="AP13" s="248">
        <v>6.5000000000000002E-2</v>
      </c>
      <c r="AQ13" s="248">
        <v>6.5000000000000002E-2</v>
      </c>
      <c r="AR13" s="248">
        <v>6.5000000000000002E-2</v>
      </c>
      <c r="AS13" s="248">
        <v>6.5000000000000002E-2</v>
      </c>
      <c r="AT13" s="248">
        <v>6.5000000000000002E-2</v>
      </c>
      <c r="AU13" s="248">
        <v>6.5000000000000002E-2</v>
      </c>
      <c r="AV13" s="248">
        <v>6.5000000000000002E-2</v>
      </c>
      <c r="AW13" s="248">
        <v>6.5000000000000002E-2</v>
      </c>
    </row>
    <row r="14" spans="1:59" x14ac:dyDescent="0.35">
      <c r="A14" s="1" t="s">
        <v>430</v>
      </c>
      <c r="B14" s="248">
        <v>0.14000000000000001</v>
      </c>
      <c r="C14" s="248">
        <v>0.14000000000000001</v>
      </c>
      <c r="D14" s="248">
        <v>0.14000000000000001</v>
      </c>
      <c r="E14" s="248">
        <v>0.14000000000000001</v>
      </c>
      <c r="F14" s="248">
        <v>0.161</v>
      </c>
      <c r="G14" s="248">
        <v>0.161</v>
      </c>
      <c r="H14" s="248">
        <v>0.161</v>
      </c>
      <c r="I14" s="248">
        <v>0.161</v>
      </c>
      <c r="J14" s="248">
        <v>0.161</v>
      </c>
      <c r="K14" s="248">
        <v>0.161</v>
      </c>
      <c r="L14" s="248">
        <v>0.17499999999999999</v>
      </c>
      <c r="M14" s="248">
        <v>0.17499999999999999</v>
      </c>
      <c r="N14" s="248">
        <v>0.17499999999999999</v>
      </c>
      <c r="O14" s="248">
        <v>0.17499999999999999</v>
      </c>
      <c r="P14" s="248">
        <v>0.17499999999999999</v>
      </c>
      <c r="Q14" s="248">
        <v>0.17499999999999999</v>
      </c>
      <c r="R14" s="248">
        <v>0.18</v>
      </c>
      <c r="S14" s="248">
        <v>0.18</v>
      </c>
      <c r="T14" s="248">
        <v>0.18</v>
      </c>
      <c r="U14" s="248">
        <v>0.18</v>
      </c>
      <c r="V14" s="248">
        <v>0.18</v>
      </c>
      <c r="W14" s="248">
        <v>0.18</v>
      </c>
      <c r="X14" s="248">
        <v>0.18</v>
      </c>
      <c r="Y14" s="248">
        <v>0.18</v>
      </c>
      <c r="Z14" s="248">
        <v>0.18</v>
      </c>
      <c r="AA14" s="248">
        <v>0.18</v>
      </c>
      <c r="AB14" s="248">
        <v>0.18</v>
      </c>
      <c r="AC14" s="248">
        <v>0.18</v>
      </c>
      <c r="AD14" s="248">
        <v>0.157</v>
      </c>
      <c r="AE14" s="248">
        <v>0.157</v>
      </c>
      <c r="AF14" s="248">
        <v>0.13200000000000001</v>
      </c>
      <c r="AG14" s="248">
        <v>0.13200000000000001</v>
      </c>
      <c r="AH14" s="248">
        <v>0.13200000000000001</v>
      </c>
      <c r="AI14" s="248">
        <v>0.13200000000000001</v>
      </c>
      <c r="AJ14" s="248">
        <v>0.13200000000000001</v>
      </c>
      <c r="AK14" s="248">
        <v>0.13200000000000001</v>
      </c>
      <c r="AL14" s="248">
        <v>0.13200000000000001</v>
      </c>
      <c r="AM14" s="248">
        <v>0.13200000000000001</v>
      </c>
      <c r="AN14" s="248">
        <v>0.13200000000000001</v>
      </c>
      <c r="AO14" s="248">
        <v>0.13200000000000001</v>
      </c>
      <c r="AP14" s="248">
        <v>0.13200000000000001</v>
      </c>
      <c r="AQ14" s="248">
        <v>0.13200000000000001</v>
      </c>
      <c r="AR14" s="248">
        <v>0.13200000000000001</v>
      </c>
      <c r="AS14" s="248">
        <v>0.13200000000000001</v>
      </c>
      <c r="AT14" s="248">
        <v>0.13200000000000001</v>
      </c>
      <c r="AU14" s="248">
        <v>0.13200000000000001</v>
      </c>
      <c r="AV14" s="248">
        <v>0.13200000000000001</v>
      </c>
      <c r="AW14" s="248">
        <v>0.13200000000000001</v>
      </c>
    </row>
    <row r="15" spans="1:59" x14ac:dyDescent="0.35">
      <c r="A15" s="1" t="s">
        <v>431</v>
      </c>
      <c r="B15" s="248">
        <v>8.7999999999999995E-2</v>
      </c>
      <c r="C15" s="248">
        <v>8.7999999999999995E-2</v>
      </c>
      <c r="D15" s="248">
        <v>8.7999999999999995E-2</v>
      </c>
      <c r="E15" s="248">
        <v>8.7999999999999995E-2</v>
      </c>
      <c r="F15" s="248">
        <v>9.4E-2</v>
      </c>
      <c r="G15" s="248">
        <v>9.4E-2</v>
      </c>
      <c r="H15" s="248">
        <v>9.4E-2</v>
      </c>
      <c r="I15" s="248">
        <v>9.4E-2</v>
      </c>
      <c r="J15" s="248">
        <v>9.4E-2</v>
      </c>
      <c r="K15" s="248">
        <v>9.4E-2</v>
      </c>
      <c r="L15" s="248">
        <v>0.99</v>
      </c>
      <c r="M15" s="248">
        <v>0.99</v>
      </c>
      <c r="N15" s="248">
        <v>0.99</v>
      </c>
      <c r="O15" s="248">
        <v>0.99</v>
      </c>
      <c r="P15" s="248">
        <v>0.99</v>
      </c>
      <c r="Q15" s="248">
        <v>0.99</v>
      </c>
      <c r="R15" s="248">
        <v>0.10299999999999999</v>
      </c>
      <c r="S15" s="248">
        <v>0.10299999999999999</v>
      </c>
      <c r="T15" s="248">
        <v>0.10299999999999999</v>
      </c>
      <c r="U15" s="248">
        <v>0.10299999999999999</v>
      </c>
      <c r="V15" s="248">
        <v>0.10299999999999999</v>
      </c>
      <c r="W15" s="248">
        <v>0.10299999999999999</v>
      </c>
      <c r="X15" s="248">
        <v>0.10299999999999999</v>
      </c>
      <c r="Y15" s="248">
        <v>0.10299999999999999</v>
      </c>
      <c r="Z15" s="248">
        <v>0.10299999999999999</v>
      </c>
      <c r="AA15" s="248">
        <v>0.10299999999999999</v>
      </c>
      <c r="AB15" s="248">
        <v>0.10299999999999999</v>
      </c>
      <c r="AC15" s="248">
        <v>0.10299999999999999</v>
      </c>
      <c r="AD15" s="248">
        <v>9.0999999999999998E-2</v>
      </c>
      <c r="AE15" s="248">
        <v>9.0999999999999998E-2</v>
      </c>
      <c r="AF15" s="248">
        <v>7.6999999999999999E-2</v>
      </c>
      <c r="AG15" s="248">
        <v>7.6999999999999999E-2</v>
      </c>
      <c r="AH15" s="248">
        <v>7.6999999999999999E-2</v>
      </c>
      <c r="AI15" s="248">
        <v>7.6999999999999999E-2</v>
      </c>
      <c r="AJ15" s="248">
        <v>7.6999999999999999E-2</v>
      </c>
      <c r="AK15" s="248">
        <v>7.6999999999999999E-2</v>
      </c>
      <c r="AL15" s="248">
        <v>7.6999999999999999E-2</v>
      </c>
      <c r="AM15" s="248">
        <v>7.6999999999999999E-2</v>
      </c>
      <c r="AN15" s="248">
        <v>7.6999999999999999E-2</v>
      </c>
      <c r="AO15" s="248">
        <v>7.6999999999999999E-2</v>
      </c>
      <c r="AP15" s="248">
        <v>7.6999999999999999E-2</v>
      </c>
      <c r="AQ15" s="248">
        <v>7.6999999999999999E-2</v>
      </c>
      <c r="AR15" s="248">
        <v>7.6999999999999999E-2</v>
      </c>
      <c r="AS15" s="248">
        <v>7.6999999999999999E-2</v>
      </c>
      <c r="AT15" s="248">
        <v>7.6999999999999999E-2</v>
      </c>
      <c r="AU15" s="248">
        <v>7.6999999999999999E-2</v>
      </c>
      <c r="AV15" s="248">
        <v>7.6999999999999999E-2</v>
      </c>
      <c r="AW15" s="248">
        <v>7.6999999999999999E-2</v>
      </c>
    </row>
    <row r="16" spans="1:59" x14ac:dyDescent="0.35">
      <c r="A16" s="1" t="s">
        <v>432</v>
      </c>
      <c r="B16" s="248">
        <v>0.10299999999999999</v>
      </c>
      <c r="C16" s="248">
        <v>0.10299999999999999</v>
      </c>
      <c r="D16" s="248">
        <v>0.10299999999999999</v>
      </c>
      <c r="E16" s="248">
        <v>0.10299999999999999</v>
      </c>
      <c r="F16" s="248">
        <v>0.11</v>
      </c>
      <c r="G16" s="248">
        <v>0.11</v>
      </c>
      <c r="H16" s="248">
        <v>0.11</v>
      </c>
      <c r="I16" s="248">
        <v>0.11</v>
      </c>
      <c r="J16" s="248">
        <v>0.11</v>
      </c>
      <c r="K16" s="248">
        <v>0.11</v>
      </c>
      <c r="L16" s="248">
        <v>0.11600000000000001</v>
      </c>
      <c r="M16" s="248">
        <v>0.11600000000000001</v>
      </c>
      <c r="N16" s="248">
        <v>0.11600000000000001</v>
      </c>
      <c r="O16" s="248">
        <v>0.11600000000000001</v>
      </c>
      <c r="P16" s="248">
        <v>0.11600000000000001</v>
      </c>
      <c r="Q16" s="248">
        <v>0.11600000000000001</v>
      </c>
      <c r="R16" s="248">
        <v>0.121</v>
      </c>
      <c r="S16" s="248">
        <v>0.121</v>
      </c>
      <c r="T16" s="248">
        <v>0.121</v>
      </c>
      <c r="U16" s="248">
        <v>0.121</v>
      </c>
      <c r="V16" s="248">
        <v>0.121</v>
      </c>
      <c r="W16" s="248">
        <v>0.121</v>
      </c>
      <c r="X16" s="248">
        <v>0.121</v>
      </c>
      <c r="Y16" s="248">
        <v>0.121</v>
      </c>
      <c r="Z16" s="248">
        <v>0.121</v>
      </c>
      <c r="AA16" s="248">
        <v>0.121</v>
      </c>
      <c r="AB16" s="248">
        <v>0.121</v>
      </c>
      <c r="AC16" s="248">
        <v>0.121</v>
      </c>
      <c r="AD16" s="248">
        <v>0.106</v>
      </c>
      <c r="AE16" s="248">
        <v>0.106</v>
      </c>
      <c r="AF16" s="248">
        <v>0.9</v>
      </c>
      <c r="AG16" s="248">
        <v>0.9</v>
      </c>
      <c r="AH16" s="248">
        <v>0.9</v>
      </c>
      <c r="AI16" s="248">
        <v>0.9</v>
      </c>
      <c r="AJ16" s="248">
        <v>0.9</v>
      </c>
      <c r="AK16" s="248">
        <v>0.9</v>
      </c>
      <c r="AL16" s="248">
        <v>0.9</v>
      </c>
      <c r="AM16" s="248">
        <v>0.9</v>
      </c>
      <c r="AN16" s="248">
        <v>0.9</v>
      </c>
      <c r="AO16" s="248">
        <v>0.9</v>
      </c>
      <c r="AP16" s="248">
        <v>8.8999999999999996E-2</v>
      </c>
      <c r="AQ16" s="248">
        <v>8.8999999999999996E-2</v>
      </c>
      <c r="AR16" s="248">
        <v>8.8999999999999996E-2</v>
      </c>
      <c r="AS16" s="248">
        <v>8.8999999999999996E-2</v>
      </c>
      <c r="AT16" s="248">
        <v>8.8999999999999996E-2</v>
      </c>
      <c r="AU16" s="248">
        <v>8.8999999999999996E-2</v>
      </c>
      <c r="AV16" s="248">
        <v>8.8999999999999996E-2</v>
      </c>
      <c r="AW16" s="248">
        <v>8.8999999999999996E-2</v>
      </c>
    </row>
    <row r="18" spans="1:58" x14ac:dyDescent="0.35">
      <c r="A18" s="1" t="s">
        <v>437</v>
      </c>
    </row>
    <row r="19" spans="1:58" s="1" customFormat="1" x14ac:dyDescent="0.35">
      <c r="A19" s="1" t="s">
        <v>427</v>
      </c>
      <c r="B19" s="243">
        <v>42005</v>
      </c>
      <c r="C19" s="243">
        <f>EOMONTH(B19, 1)</f>
        <v>42063</v>
      </c>
      <c r="D19" s="243">
        <f t="shared" ref="D19:AW19" si="18">EOMONTH(C19, 1)</f>
        <v>42094</v>
      </c>
      <c r="E19" s="243">
        <f t="shared" si="18"/>
        <v>42124</v>
      </c>
      <c r="F19" s="243">
        <f t="shared" si="18"/>
        <v>42155</v>
      </c>
      <c r="G19" s="243">
        <f t="shared" si="18"/>
        <v>42185</v>
      </c>
      <c r="H19" s="243">
        <f t="shared" si="18"/>
        <v>42216</v>
      </c>
      <c r="I19" s="243">
        <f t="shared" si="18"/>
        <v>42247</v>
      </c>
      <c r="J19" s="243">
        <f t="shared" si="18"/>
        <v>42277</v>
      </c>
      <c r="K19" s="243">
        <f t="shared" si="18"/>
        <v>42308</v>
      </c>
      <c r="L19" s="243">
        <f t="shared" si="18"/>
        <v>42338</v>
      </c>
      <c r="M19" s="243">
        <f t="shared" si="18"/>
        <v>42369</v>
      </c>
      <c r="N19" s="243">
        <f t="shared" si="18"/>
        <v>42400</v>
      </c>
      <c r="O19" s="243">
        <f t="shared" si="18"/>
        <v>42429</v>
      </c>
      <c r="P19" s="243">
        <f t="shared" si="18"/>
        <v>42460</v>
      </c>
      <c r="Q19" s="243">
        <f t="shared" si="18"/>
        <v>42490</v>
      </c>
      <c r="R19" s="243">
        <f t="shared" si="18"/>
        <v>42521</v>
      </c>
      <c r="S19" s="243">
        <f t="shared" si="18"/>
        <v>42551</v>
      </c>
      <c r="T19" s="243">
        <f t="shared" si="18"/>
        <v>42582</v>
      </c>
      <c r="U19" s="243">
        <f t="shared" si="18"/>
        <v>42613</v>
      </c>
      <c r="V19" s="243">
        <f t="shared" si="18"/>
        <v>42643</v>
      </c>
      <c r="W19" s="243">
        <f t="shared" si="18"/>
        <v>42674</v>
      </c>
      <c r="X19" s="243">
        <f t="shared" si="18"/>
        <v>42704</v>
      </c>
      <c r="Y19" s="243">
        <f t="shared" si="18"/>
        <v>42735</v>
      </c>
      <c r="Z19" s="243">
        <f t="shared" si="18"/>
        <v>42766</v>
      </c>
      <c r="AA19" s="243">
        <f t="shared" si="18"/>
        <v>42794</v>
      </c>
      <c r="AB19" s="243">
        <f t="shared" si="18"/>
        <v>42825</v>
      </c>
      <c r="AC19" s="243">
        <f t="shared" si="18"/>
        <v>42855</v>
      </c>
      <c r="AD19" s="243">
        <f t="shared" si="18"/>
        <v>42886</v>
      </c>
      <c r="AE19" s="243">
        <f t="shared" si="18"/>
        <v>42916</v>
      </c>
      <c r="AF19" s="243">
        <f t="shared" si="18"/>
        <v>42947</v>
      </c>
      <c r="AG19" s="243">
        <f t="shared" si="18"/>
        <v>42978</v>
      </c>
      <c r="AH19" s="243">
        <f t="shared" si="18"/>
        <v>43008</v>
      </c>
      <c r="AI19" s="243">
        <f t="shared" si="18"/>
        <v>43039</v>
      </c>
      <c r="AJ19" s="243">
        <f t="shared" si="18"/>
        <v>43069</v>
      </c>
      <c r="AK19" s="243">
        <f t="shared" si="18"/>
        <v>43100</v>
      </c>
      <c r="AL19" s="243">
        <f t="shared" si="18"/>
        <v>43131</v>
      </c>
      <c r="AM19" s="243">
        <f t="shared" si="18"/>
        <v>43159</v>
      </c>
      <c r="AN19" s="243">
        <f t="shared" si="18"/>
        <v>43190</v>
      </c>
      <c r="AO19" s="243">
        <f t="shared" si="18"/>
        <v>43220</v>
      </c>
      <c r="AP19" s="243">
        <f t="shared" si="18"/>
        <v>43251</v>
      </c>
      <c r="AQ19" s="243">
        <f t="shared" si="18"/>
        <v>43281</v>
      </c>
      <c r="AR19" s="243">
        <f t="shared" si="18"/>
        <v>43312</v>
      </c>
      <c r="AS19" s="243">
        <f t="shared" si="18"/>
        <v>43343</v>
      </c>
      <c r="AT19" s="243">
        <f t="shared" si="18"/>
        <v>43373</v>
      </c>
      <c r="AU19" s="243">
        <f t="shared" si="18"/>
        <v>43404</v>
      </c>
      <c r="AV19" s="243">
        <f t="shared" si="18"/>
        <v>43434</v>
      </c>
      <c r="AW19" s="243">
        <f t="shared" si="18"/>
        <v>43465</v>
      </c>
    </row>
    <row r="20" spans="1:58" x14ac:dyDescent="0.35">
      <c r="A20" s="1" t="s">
        <v>428</v>
      </c>
      <c r="B20" s="13">
        <f t="shared" ref="B20:AV24" si="19">B3*B12</f>
        <v>1147618.0732050603</v>
      </c>
      <c r="C20" s="13">
        <f t="shared" si="19"/>
        <v>1058297.3252662425</v>
      </c>
      <c r="D20" s="13">
        <f t="shared" si="19"/>
        <v>998100.0400023082</v>
      </c>
      <c r="E20" s="13">
        <f t="shared" si="19"/>
        <v>837262.08133867267</v>
      </c>
      <c r="F20" s="13">
        <f t="shared" si="19"/>
        <v>937185.6810238203</v>
      </c>
      <c r="G20" s="13">
        <f t="shared" si="19"/>
        <v>978545.87512748234</v>
      </c>
      <c r="H20" s="13">
        <f t="shared" si="19"/>
        <v>1198799.4272469832</v>
      </c>
      <c r="I20" s="13">
        <f t="shared" si="19"/>
        <v>1047209.0044542559</v>
      </c>
      <c r="J20" s="13">
        <f t="shared" si="19"/>
        <v>1058910.1315904621</v>
      </c>
      <c r="K20" s="13">
        <f t="shared" si="19"/>
        <v>944995.12482843082</v>
      </c>
      <c r="L20" s="13">
        <f t="shared" si="19"/>
        <v>1065209.9922693418</v>
      </c>
      <c r="M20" s="13">
        <f t="shared" si="19"/>
        <v>1198930.3168431635</v>
      </c>
      <c r="N20" s="13">
        <f t="shared" si="19"/>
        <v>1173383.6434488972</v>
      </c>
      <c r="O20" s="13">
        <f t="shared" si="19"/>
        <v>1073243.5063060503</v>
      </c>
      <c r="P20" s="13">
        <f t="shared" si="19"/>
        <v>1021242.0977390649</v>
      </c>
      <c r="Q20" s="13">
        <f t="shared" si="19"/>
        <v>977013.74994733953</v>
      </c>
      <c r="R20" s="13">
        <f t="shared" si="19"/>
        <v>1016761.806684532</v>
      </c>
      <c r="S20" s="13">
        <f t="shared" si="19"/>
        <v>1114365.1425983475</v>
      </c>
      <c r="T20" s="13">
        <f t="shared" si="19"/>
        <v>1310434.5282347063</v>
      </c>
      <c r="U20" s="13">
        <f t="shared" si="19"/>
        <v>1371634.9919740593</v>
      </c>
      <c r="V20" s="13">
        <f t="shared" si="19"/>
        <v>1138306.1296997587</v>
      </c>
      <c r="W20" s="13">
        <f t="shared" si="19"/>
        <v>1014749.5367865026</v>
      </c>
      <c r="X20" s="13">
        <f t="shared" si="19"/>
        <v>1090584.2964626022</v>
      </c>
      <c r="Y20" s="13">
        <f t="shared" si="19"/>
        <v>1306627.7322025506</v>
      </c>
      <c r="Z20" s="13">
        <f t="shared" si="19"/>
        <v>1185169.9669865235</v>
      </c>
      <c r="AA20" s="13">
        <f t="shared" si="19"/>
        <v>1023899.9211935524</v>
      </c>
      <c r="AB20" s="13">
        <f t="shared" si="19"/>
        <v>1134434.5384335695</v>
      </c>
      <c r="AC20" s="13">
        <f t="shared" si="19"/>
        <v>871832.44084411196</v>
      </c>
      <c r="AD20" s="13">
        <f t="shared" si="19"/>
        <v>878846.25436136196</v>
      </c>
      <c r="AE20" s="13">
        <f t="shared" si="19"/>
        <v>961006.58665202116</v>
      </c>
      <c r="AF20" s="13">
        <f t="shared" si="19"/>
        <v>816173.03128282505</v>
      </c>
      <c r="AG20" s="13">
        <f t="shared" si="19"/>
        <v>842386.97680742492</v>
      </c>
      <c r="AH20" s="13">
        <f t="shared" si="19"/>
        <v>760645.37628120498</v>
      </c>
      <c r="AI20" s="13">
        <f t="shared" si="19"/>
        <v>734301.45024164009</v>
      </c>
      <c r="AJ20" s="13">
        <f t="shared" si="19"/>
        <v>812589.94050915504</v>
      </c>
      <c r="AK20" s="13">
        <f t="shared" si="19"/>
        <v>801590.44253068999</v>
      </c>
      <c r="AL20" s="13">
        <f t="shared" si="19"/>
        <v>967028.80354313995</v>
      </c>
      <c r="AM20" s="13">
        <f t="shared" si="19"/>
        <v>765897.32547403499</v>
      </c>
      <c r="AN20" s="13">
        <f t="shared" si="19"/>
        <v>816037.01951141004</v>
      </c>
      <c r="AO20" s="13">
        <f t="shared" si="19"/>
        <v>772842.97526387998</v>
      </c>
      <c r="AP20" s="13">
        <f t="shared" si="19"/>
        <v>796348.13079549605</v>
      </c>
      <c r="AQ20" s="13">
        <f t="shared" si="19"/>
        <v>828839.35022362403</v>
      </c>
      <c r="AR20" s="13">
        <f t="shared" si="19"/>
        <v>972124.17324067804</v>
      </c>
      <c r="AS20" s="13">
        <f t="shared" si="19"/>
        <v>959347.74280433997</v>
      </c>
      <c r="AT20" s="13">
        <f t="shared" si="19"/>
        <v>762545.11631495808</v>
      </c>
      <c r="AU20" s="13">
        <f t="shared" si="19"/>
        <v>806593.84639999992</v>
      </c>
      <c r="AV20" s="13">
        <f t="shared" si="19"/>
        <v>856444.62199999997</v>
      </c>
      <c r="AW20" s="13">
        <f>AW3*AW12</f>
        <v>779974.77599999995</v>
      </c>
    </row>
    <row r="21" spans="1:58" x14ac:dyDescent="0.35">
      <c r="A21" s="1" t="s">
        <v>429</v>
      </c>
      <c r="B21" s="13">
        <f t="shared" si="19"/>
        <v>2874268.1266148929</v>
      </c>
      <c r="C21" s="13">
        <f t="shared" si="19"/>
        <v>2635906.8365580128</v>
      </c>
      <c r="D21" s="13">
        <f t="shared" si="19"/>
        <v>2654505.2255766401</v>
      </c>
      <c r="E21" s="13">
        <f t="shared" si="19"/>
        <v>2058641.1259379804</v>
      </c>
      <c r="F21" s="13">
        <f t="shared" si="19"/>
        <v>2249977.2768027429</v>
      </c>
      <c r="G21" s="13">
        <f t="shared" si="19"/>
        <v>2230122.7928505852</v>
      </c>
      <c r="H21" s="13">
        <f t="shared" si="19"/>
        <v>2679425.5905705723</v>
      </c>
      <c r="I21" s="13">
        <f t="shared" si="19"/>
        <v>2318219.342658008</v>
      </c>
      <c r="J21" s="13">
        <f t="shared" si="19"/>
        <v>2454240.8403491727</v>
      </c>
      <c r="K21" s="13">
        <f t="shared" si="19"/>
        <v>2123673.3474701028</v>
      </c>
      <c r="L21" s="13">
        <f t="shared" si="19"/>
        <v>2362599.0245497474</v>
      </c>
      <c r="M21" s="13">
        <f t="shared" si="19"/>
        <v>2593630.321556774</v>
      </c>
      <c r="N21" s="13">
        <f t="shared" si="19"/>
        <v>2887385.9419953334</v>
      </c>
      <c r="O21" s="13">
        <f t="shared" si="19"/>
        <v>2579014.2290151445</v>
      </c>
      <c r="P21" s="13">
        <f t="shared" si="19"/>
        <v>2570410.5928428071</v>
      </c>
      <c r="Q21" s="13">
        <f t="shared" si="19"/>
        <v>2278226.0389390029</v>
      </c>
      <c r="R21" s="13">
        <f t="shared" si="19"/>
        <v>2373674.9781404817</v>
      </c>
      <c r="S21" s="13">
        <f t="shared" si="19"/>
        <v>2513558.6487438539</v>
      </c>
      <c r="T21" s="13">
        <f t="shared" si="19"/>
        <v>3028244.6379082166</v>
      </c>
      <c r="U21" s="13">
        <f t="shared" si="19"/>
        <v>3017548.2768775658</v>
      </c>
      <c r="V21" s="13">
        <f t="shared" si="19"/>
        <v>2503741.6941748331</v>
      </c>
      <c r="W21" s="13">
        <f t="shared" si="19"/>
        <v>2224819.8295645462</v>
      </c>
      <c r="X21" s="13">
        <f t="shared" si="19"/>
        <v>2428669.4870778383</v>
      </c>
      <c r="Y21" s="13">
        <f t="shared" si="19"/>
        <v>2836173.0005926685</v>
      </c>
      <c r="Z21" s="13">
        <f t="shared" si="19"/>
        <v>3001044.6448095823</v>
      </c>
      <c r="AA21" s="13">
        <f t="shared" si="19"/>
        <v>2459875.1826422042</v>
      </c>
      <c r="AB21" s="13">
        <f t="shared" si="19"/>
        <v>2858534.8958592652</v>
      </c>
      <c r="AC21" s="13">
        <f t="shared" si="19"/>
        <v>2309800.1934979768</v>
      </c>
      <c r="AD21" s="13">
        <f t="shared" si="19"/>
        <v>1919123.4894471639</v>
      </c>
      <c r="AE21" s="13">
        <f t="shared" si="19"/>
        <v>2092718.1937025981</v>
      </c>
      <c r="AF21" s="13">
        <f t="shared" si="19"/>
        <v>2057402.9112531701</v>
      </c>
      <c r="AG21" s="13">
        <f t="shared" si="19"/>
        <v>1783748.8855160652</v>
      </c>
      <c r="AH21" s="13">
        <f t="shared" si="19"/>
        <v>1851555.4514445302</v>
      </c>
      <c r="AI21" s="13">
        <f t="shared" si="19"/>
        <v>1734956.645631365</v>
      </c>
      <c r="AJ21" s="13">
        <f t="shared" si="19"/>
        <v>1846504.3297465702</v>
      </c>
      <c r="AK21" s="13">
        <f t="shared" si="19"/>
        <v>2399100.003721525</v>
      </c>
      <c r="AL21" s="13">
        <f t="shared" si="19"/>
        <v>2322920.0011634501</v>
      </c>
      <c r="AM21" s="13">
        <f t="shared" si="19"/>
        <v>2003797.6942192952</v>
      </c>
      <c r="AN21" s="13">
        <f t="shared" si="19"/>
        <v>2086151.8985856252</v>
      </c>
      <c r="AO21" s="13">
        <f t="shared" si="19"/>
        <v>1885837.134161565</v>
      </c>
      <c r="AP21" s="13">
        <f t="shared" si="19"/>
        <v>1758724.5478814701</v>
      </c>
      <c r="AQ21" s="13">
        <f t="shared" si="19"/>
        <v>1924014.9755819202</v>
      </c>
      <c r="AR21" s="13">
        <f t="shared" si="19"/>
        <v>2319814.858896405</v>
      </c>
      <c r="AS21" s="13">
        <f t="shared" si="19"/>
        <v>2204183.8082219153</v>
      </c>
      <c r="AT21" s="13">
        <f t="shared" si="19"/>
        <v>2075256.5071900352</v>
      </c>
      <c r="AU21" s="13">
        <f t="shared" si="19"/>
        <v>1781628.3485000001</v>
      </c>
      <c r="AV21" s="13">
        <f t="shared" si="19"/>
        <v>1904829.6800000002</v>
      </c>
      <c r="AW21" s="13">
        <f t="shared" ref="AW21:AW24" si="20">AW4*AW13</f>
        <v>2276806.2850000001</v>
      </c>
    </row>
    <row r="22" spans="1:58" x14ac:dyDescent="0.35">
      <c r="A22" s="1" t="s">
        <v>430</v>
      </c>
      <c r="B22" s="13">
        <f t="shared" si="19"/>
        <v>1556275.0002180028</v>
      </c>
      <c r="C22" s="13">
        <f t="shared" si="19"/>
        <v>1387594.4509259101</v>
      </c>
      <c r="D22" s="13">
        <f t="shared" si="19"/>
        <v>1374670.1771640768</v>
      </c>
      <c r="E22" s="13">
        <f t="shared" si="19"/>
        <v>1086146.9940589683</v>
      </c>
      <c r="F22" s="13">
        <f t="shared" si="19"/>
        <v>1327592.2544999812</v>
      </c>
      <c r="G22" s="13">
        <f t="shared" si="19"/>
        <v>1345935.6099649058</v>
      </c>
      <c r="H22" s="13">
        <f t="shared" si="19"/>
        <v>1583571.7500446863</v>
      </c>
      <c r="I22" s="13">
        <f t="shared" si="19"/>
        <v>1496393.1855648654</v>
      </c>
      <c r="J22" s="13">
        <f t="shared" si="19"/>
        <v>1483712.4792935108</v>
      </c>
      <c r="K22" s="13">
        <f t="shared" si="19"/>
        <v>1354820.288594214</v>
      </c>
      <c r="L22" s="13">
        <f t="shared" si="19"/>
        <v>1434162.1604056228</v>
      </c>
      <c r="M22" s="13">
        <f t="shared" si="19"/>
        <v>1644274.6221607421</v>
      </c>
      <c r="N22" s="13">
        <f t="shared" si="19"/>
        <v>1792930.02550756</v>
      </c>
      <c r="O22" s="13">
        <f t="shared" si="19"/>
        <v>1564409.3559459858</v>
      </c>
      <c r="P22" s="13">
        <f t="shared" si="19"/>
        <v>1560552.5238773543</v>
      </c>
      <c r="Q22" s="13">
        <f t="shared" si="19"/>
        <v>1402322.0531117353</v>
      </c>
      <c r="R22" s="13">
        <f t="shared" si="19"/>
        <v>1470973.4417739236</v>
      </c>
      <c r="S22" s="13">
        <f t="shared" si="19"/>
        <v>1569289.6384689149</v>
      </c>
      <c r="T22" s="13">
        <f t="shared" si="19"/>
        <v>1791857.6147189685</v>
      </c>
      <c r="U22" s="13">
        <f t="shared" si="19"/>
        <v>2060382.3193192773</v>
      </c>
      <c r="V22" s="13">
        <f t="shared" si="19"/>
        <v>1724710.0519765788</v>
      </c>
      <c r="W22" s="13">
        <f t="shared" si="19"/>
        <v>1535815.2228357485</v>
      </c>
      <c r="X22" s="13">
        <f t="shared" si="19"/>
        <v>1491491.7265347249</v>
      </c>
      <c r="Y22" s="13">
        <f t="shared" si="19"/>
        <v>1801405.9790889709</v>
      </c>
      <c r="Z22" s="13">
        <f t="shared" si="19"/>
        <v>1802223.8145199467</v>
      </c>
      <c r="AA22" s="13">
        <f t="shared" si="19"/>
        <v>1467243.2163997102</v>
      </c>
      <c r="AB22" s="13">
        <f t="shared" si="19"/>
        <v>1710773.7583709166</v>
      </c>
      <c r="AC22" s="13">
        <f t="shared" si="19"/>
        <v>1233632.6942463</v>
      </c>
      <c r="AD22" s="13">
        <f t="shared" si="19"/>
        <v>1189399.7196703849</v>
      </c>
      <c r="AE22" s="13">
        <f t="shared" si="19"/>
        <v>1361325.5223461492</v>
      </c>
      <c r="AF22" s="13">
        <f t="shared" si="19"/>
        <v>1218054.89089086</v>
      </c>
      <c r="AG22" s="13">
        <f t="shared" si="19"/>
        <v>1271803.083078264</v>
      </c>
      <c r="AH22" s="13">
        <f t="shared" si="19"/>
        <v>1114636.692978204</v>
      </c>
      <c r="AI22" s="13">
        <f t="shared" si="19"/>
        <v>968261.23977132002</v>
      </c>
      <c r="AJ22" s="13">
        <f t="shared" si="19"/>
        <v>1236886.2263271362</v>
      </c>
      <c r="AK22" s="13">
        <f t="shared" si="19"/>
        <v>1206202.5086513159</v>
      </c>
      <c r="AL22" s="13">
        <f t="shared" si="19"/>
        <v>1451730.407219928</v>
      </c>
      <c r="AM22" s="13">
        <f t="shared" si="19"/>
        <v>1157551.5681714602</v>
      </c>
      <c r="AN22" s="13">
        <f t="shared" si="19"/>
        <v>1197921.5758356</v>
      </c>
      <c r="AO22" s="13">
        <f t="shared" si="19"/>
        <v>1122307.0648356602</v>
      </c>
      <c r="AP22" s="13">
        <f t="shared" si="19"/>
        <v>1137364.0722194519</v>
      </c>
      <c r="AQ22" s="13">
        <f t="shared" si="19"/>
        <v>1209614.1703731362</v>
      </c>
      <c r="AR22" s="13">
        <f t="shared" si="19"/>
        <v>1524199.1962661641</v>
      </c>
      <c r="AS22" s="13">
        <f t="shared" si="19"/>
        <v>1499859.4493242803</v>
      </c>
      <c r="AT22" s="13">
        <f t="shared" si="19"/>
        <v>1119937.8840963719</v>
      </c>
      <c r="AU22" s="13">
        <f t="shared" si="19"/>
        <v>1075957.1724</v>
      </c>
      <c r="AV22" s="13">
        <f t="shared" si="19"/>
        <v>1288715.2080000001</v>
      </c>
      <c r="AW22" s="13">
        <f t="shared" si="20"/>
        <v>1156189.716</v>
      </c>
    </row>
    <row r="23" spans="1:58" x14ac:dyDescent="0.35">
      <c r="A23" s="1" t="s">
        <v>431</v>
      </c>
      <c r="B23" s="13">
        <f t="shared" si="19"/>
        <v>310227.78534661891</v>
      </c>
      <c r="C23" s="13">
        <f t="shared" si="19"/>
        <v>291512.4110397055</v>
      </c>
      <c r="D23" s="13">
        <f t="shared" si="19"/>
        <v>220484.56422971273</v>
      </c>
      <c r="E23" s="13">
        <f t="shared" si="19"/>
        <v>215778.429843055</v>
      </c>
      <c r="F23" s="13">
        <f t="shared" si="19"/>
        <v>244030.60119831731</v>
      </c>
      <c r="G23" s="13">
        <f t="shared" si="19"/>
        <v>237699.95578899418</v>
      </c>
      <c r="H23" s="13">
        <f t="shared" si="19"/>
        <v>257402.47685811965</v>
      </c>
      <c r="I23" s="13">
        <f t="shared" si="19"/>
        <v>281302.01178506156</v>
      </c>
      <c r="J23" s="13">
        <f t="shared" si="19"/>
        <v>228309.12407339175</v>
      </c>
      <c r="K23" s="13">
        <f t="shared" si="19"/>
        <v>242084.11154205195</v>
      </c>
      <c r="L23" s="13">
        <f t="shared" si="19"/>
        <v>2462325.5224900981</v>
      </c>
      <c r="M23" s="13">
        <f t="shared" si="19"/>
        <v>3272245.5766216288</v>
      </c>
      <c r="N23" s="13">
        <f t="shared" si="19"/>
        <v>3875821.1046672161</v>
      </c>
      <c r="O23" s="13">
        <f t="shared" si="19"/>
        <v>3602211.8730014851</v>
      </c>
      <c r="P23" s="13">
        <f t="shared" si="19"/>
        <v>2987082.4032498715</v>
      </c>
      <c r="Q23" s="13">
        <f t="shared" si="19"/>
        <v>3298234.7404058166</v>
      </c>
      <c r="R23" s="13">
        <f t="shared" si="19"/>
        <v>316453.86136642419</v>
      </c>
      <c r="S23" s="13">
        <f t="shared" si="19"/>
        <v>336710.95798109181</v>
      </c>
      <c r="T23" s="13">
        <f t="shared" si="19"/>
        <v>392180.22344044689</v>
      </c>
      <c r="U23" s="13">
        <f t="shared" si="19"/>
        <v>382422.57302298333</v>
      </c>
      <c r="V23" s="13">
        <f t="shared" si="19"/>
        <v>249774.1461490471</v>
      </c>
      <c r="W23" s="13">
        <f t="shared" si="19"/>
        <v>316001.45655664324</v>
      </c>
      <c r="X23" s="13">
        <f t="shared" si="19"/>
        <v>286799.859492897</v>
      </c>
      <c r="Y23" s="13">
        <f t="shared" si="19"/>
        <v>467440.64468336944</v>
      </c>
      <c r="Z23" s="13">
        <f t="shared" si="19"/>
        <v>402103.41131391312</v>
      </c>
      <c r="AA23" s="13">
        <f t="shared" si="19"/>
        <v>423108.26442516543</v>
      </c>
      <c r="AB23" s="13">
        <f t="shared" si="19"/>
        <v>347079.15152454888</v>
      </c>
      <c r="AC23" s="13">
        <f t="shared" si="19"/>
        <v>382946.99023581098</v>
      </c>
      <c r="AD23" s="13">
        <f t="shared" si="19"/>
        <v>301461.28230627498</v>
      </c>
      <c r="AE23" s="13">
        <f t="shared" si="19"/>
        <v>315805.73477516696</v>
      </c>
      <c r="AF23" s="13">
        <f t="shared" si="19"/>
        <v>286058.34131867299</v>
      </c>
      <c r="AG23" s="13">
        <f t="shared" si="19"/>
        <v>267783.61436511297</v>
      </c>
      <c r="AH23" s="13">
        <f t="shared" si="19"/>
        <v>286162.32965281501</v>
      </c>
      <c r="AI23" s="13">
        <f t="shared" si="19"/>
        <v>290311.89328595303</v>
      </c>
      <c r="AJ23" s="13">
        <f t="shared" si="19"/>
        <v>331167.170781678</v>
      </c>
      <c r="AK23" s="13">
        <f t="shared" si="19"/>
        <v>347195.22324009595</v>
      </c>
      <c r="AL23" s="13">
        <f t="shared" si="19"/>
        <v>403499.70735936402</v>
      </c>
      <c r="AM23" s="13">
        <f t="shared" si="19"/>
        <v>376185.30679860903</v>
      </c>
      <c r="AN23" s="13">
        <f t="shared" si="19"/>
        <v>362127.64469797298</v>
      </c>
      <c r="AO23" s="13">
        <f t="shared" si="19"/>
        <v>374936.74561520101</v>
      </c>
      <c r="AP23" s="13">
        <f t="shared" si="19"/>
        <v>300083.404578496</v>
      </c>
      <c r="AQ23" s="13">
        <f t="shared" si="19"/>
        <v>337518.83898109297</v>
      </c>
      <c r="AR23" s="13">
        <f t="shared" si="19"/>
        <v>333070.92813271197</v>
      </c>
      <c r="AS23" s="13">
        <f t="shared" si="19"/>
        <v>319693.81716733996</v>
      </c>
      <c r="AT23" s="13">
        <f t="shared" si="19"/>
        <v>335263.70500553702</v>
      </c>
      <c r="AU23" s="13">
        <f t="shared" si="19"/>
        <v>311166.42479999998</v>
      </c>
      <c r="AV23" s="13">
        <f t="shared" si="19"/>
        <v>412709.913</v>
      </c>
      <c r="AW23" s="13">
        <f t="shared" si="20"/>
        <v>418843.19400000002</v>
      </c>
    </row>
    <row r="24" spans="1:58" x14ac:dyDescent="0.35">
      <c r="A24" s="1" t="s">
        <v>432</v>
      </c>
      <c r="B24" s="13">
        <f t="shared" si="19"/>
        <v>449380.27311246941</v>
      </c>
      <c r="C24" s="13">
        <f t="shared" si="19"/>
        <v>436517.19401943742</v>
      </c>
      <c r="D24" s="13">
        <f t="shared" si="19"/>
        <v>337015.59851534024</v>
      </c>
      <c r="E24" s="13">
        <f t="shared" si="19"/>
        <v>334355.16493694339</v>
      </c>
      <c r="F24" s="13">
        <f t="shared" si="19"/>
        <v>270340.26209598134</v>
      </c>
      <c r="G24" s="13">
        <f t="shared" si="19"/>
        <v>302994.64860299276</v>
      </c>
      <c r="H24" s="13">
        <f t="shared" si="19"/>
        <v>371876.56469059526</v>
      </c>
      <c r="I24" s="13">
        <f t="shared" si="19"/>
        <v>418377.92357391422</v>
      </c>
      <c r="J24" s="13">
        <f t="shared" si="19"/>
        <v>300042.23199405067</v>
      </c>
      <c r="K24" s="13">
        <f t="shared" si="19"/>
        <v>329374.46762120741</v>
      </c>
      <c r="L24" s="13">
        <f t="shared" si="19"/>
        <v>338003.67069785355</v>
      </c>
      <c r="M24" s="13">
        <f t="shared" si="19"/>
        <v>358731.67099491018</v>
      </c>
      <c r="N24" s="13">
        <f t="shared" si="19"/>
        <v>411296.82299852656</v>
      </c>
      <c r="O24" s="13">
        <f t="shared" si="19"/>
        <v>420359.8919564244</v>
      </c>
      <c r="P24" s="13">
        <f t="shared" si="19"/>
        <v>331969.75299550738</v>
      </c>
      <c r="Q24" s="13">
        <f t="shared" si="19"/>
        <v>342123.06111263897</v>
      </c>
      <c r="R24" s="13">
        <f t="shared" si="19"/>
        <v>295301.01557564811</v>
      </c>
      <c r="S24" s="13">
        <f t="shared" si="19"/>
        <v>386161.14018048299</v>
      </c>
      <c r="T24" s="13">
        <f t="shared" si="19"/>
        <v>485106.16426224442</v>
      </c>
      <c r="U24" s="13">
        <f t="shared" si="19"/>
        <v>482996.88392057386</v>
      </c>
      <c r="V24" s="13">
        <f t="shared" si="19"/>
        <v>327969.45352834789</v>
      </c>
      <c r="W24" s="13">
        <f t="shared" si="19"/>
        <v>394675.1820356237</v>
      </c>
      <c r="X24" s="13">
        <f t="shared" si="19"/>
        <v>324445.96636678802</v>
      </c>
      <c r="Y24" s="13">
        <f t="shared" si="19"/>
        <v>414518.93165137793</v>
      </c>
      <c r="Z24" s="13">
        <f t="shared" si="19"/>
        <v>417388.26345084491</v>
      </c>
      <c r="AA24" s="13">
        <f t="shared" si="19"/>
        <v>451061.40543337679</v>
      </c>
      <c r="AB24" s="13">
        <f t="shared" si="19"/>
        <v>320761.88621365838</v>
      </c>
      <c r="AC24" s="13">
        <f t="shared" si="19"/>
        <v>304870.02861716499</v>
      </c>
      <c r="AD24" s="13">
        <f t="shared" si="19"/>
        <v>312152.05219617602</v>
      </c>
      <c r="AE24" s="13">
        <f t="shared" si="19"/>
        <v>339923.32536095998</v>
      </c>
      <c r="AF24" s="13">
        <f t="shared" si="19"/>
        <v>3157051.8936159001</v>
      </c>
      <c r="AG24" s="13">
        <f t="shared" si="19"/>
        <v>2948391.4278770997</v>
      </c>
      <c r="AH24" s="13">
        <f t="shared" si="19"/>
        <v>2939460.3983979002</v>
      </c>
      <c r="AI24" s="13">
        <f t="shared" si="19"/>
        <v>2927579.1418026001</v>
      </c>
      <c r="AJ24" s="13">
        <f t="shared" si="19"/>
        <v>2776173.4851012002</v>
      </c>
      <c r="AK24" s="13">
        <f t="shared" si="19"/>
        <v>3348278.9211797998</v>
      </c>
      <c r="AL24" s="13">
        <f t="shared" si="19"/>
        <v>3835595.5263783005</v>
      </c>
      <c r="AM24" s="13">
        <f t="shared" si="19"/>
        <v>2979890.5091435998</v>
      </c>
      <c r="AN24" s="13">
        <f t="shared" si="19"/>
        <v>3144969.8905977001</v>
      </c>
      <c r="AO24" s="13">
        <f t="shared" si="19"/>
        <v>2772635.3081729999</v>
      </c>
      <c r="AP24" s="13">
        <f t="shared" si="19"/>
        <v>310182.07011420396</v>
      </c>
      <c r="AQ24" s="13">
        <f t="shared" si="19"/>
        <v>330053.19438789901</v>
      </c>
      <c r="AR24" s="13">
        <f t="shared" si="19"/>
        <v>377596.10768748494</v>
      </c>
      <c r="AS24" s="13">
        <f t="shared" si="19"/>
        <v>373651.56822364795</v>
      </c>
      <c r="AT24" s="13">
        <f t="shared" si="19"/>
        <v>312091.160796727</v>
      </c>
      <c r="AU24" s="13">
        <f t="shared" si="19"/>
        <v>320854.38949999999</v>
      </c>
      <c r="AV24" s="13">
        <f t="shared" si="19"/>
        <v>307276.59399999998</v>
      </c>
      <c r="AW24" s="13">
        <f t="shared" si="20"/>
        <v>319855.23099999997</v>
      </c>
    </row>
    <row r="25" spans="1:58" s="1" customFormat="1" x14ac:dyDescent="0.35">
      <c r="A25" s="1" t="s">
        <v>5</v>
      </c>
      <c r="B25" s="246">
        <f t="shared" ref="B25" si="21">SUM(B20:B24)</f>
        <v>6337769.2584970444</v>
      </c>
      <c r="C25" s="246">
        <f t="shared" ref="C25" si="22">SUM(C20:C24)</f>
        <v>5809828.2178093083</v>
      </c>
      <c r="D25" s="246">
        <f t="shared" ref="D25" si="23">SUM(D20:D24)</f>
        <v>5584775.6054880787</v>
      </c>
      <c r="E25" s="246">
        <f t="shared" ref="E25" si="24">SUM(E20:E24)</f>
        <v>4532183.7961156191</v>
      </c>
      <c r="F25" s="246">
        <f t="shared" ref="F25" si="25">SUM(F20:F24)</f>
        <v>5029126.0756208431</v>
      </c>
      <c r="G25" s="246">
        <f t="shared" ref="G25" si="26">SUM(G20:G24)</f>
        <v>5095298.8823349606</v>
      </c>
      <c r="H25" s="246">
        <f t="shared" ref="H25" si="27">SUM(H20:H24)</f>
        <v>6091075.8094109567</v>
      </c>
      <c r="I25" s="246">
        <f t="shared" ref="I25" si="28">SUM(I20:I24)</f>
        <v>5561501.4680361049</v>
      </c>
      <c r="J25" s="246">
        <f t="shared" ref="J25" si="29">SUM(J20:J24)</f>
        <v>5525214.8073005872</v>
      </c>
      <c r="K25" s="246">
        <f t="shared" ref="K25" si="30">SUM(K20:K24)</f>
        <v>4994947.3400560068</v>
      </c>
      <c r="L25" s="246">
        <f t="shared" ref="L25" si="31">SUM(L20:L24)</f>
        <v>7662300.3704126645</v>
      </c>
      <c r="M25" s="246">
        <f t="shared" ref="M25" si="32">SUM(M20:M24)</f>
        <v>9067812.5081772171</v>
      </c>
      <c r="N25" s="246">
        <f t="shared" ref="N25" si="33">SUM(N20:N24)</f>
        <v>10140817.538617535</v>
      </c>
      <c r="O25" s="246">
        <f t="shared" ref="O25" si="34">SUM(O20:O24)</f>
        <v>9239238.8562250901</v>
      </c>
      <c r="P25" s="246">
        <f t="shared" ref="P25" si="35">SUM(P20:P24)</f>
        <v>8471257.3707046062</v>
      </c>
      <c r="Q25" s="246">
        <f t="shared" ref="Q25" si="36">SUM(Q20:Q24)</f>
        <v>8297919.6435165331</v>
      </c>
      <c r="R25" s="246">
        <f t="shared" ref="R25" si="37">SUM(R20:R24)</f>
        <v>5473165.1035410091</v>
      </c>
      <c r="S25" s="246">
        <f t="shared" ref="S25" si="38">SUM(S20:S24)</f>
        <v>5920085.5279726908</v>
      </c>
      <c r="T25" s="246">
        <f t="shared" ref="T25" si="39">SUM(T20:T24)</f>
        <v>7007823.1685645832</v>
      </c>
      <c r="U25" s="246">
        <f t="shared" ref="U25" si="40">SUM(U20:U24)</f>
        <v>7314985.0451144585</v>
      </c>
      <c r="V25" s="246">
        <f t="shared" ref="V25" si="41">SUM(V20:V24)</f>
        <v>5944501.4755285662</v>
      </c>
      <c r="W25" s="246">
        <f t="shared" ref="W25" si="42">SUM(W20:W24)</f>
        <v>5486061.2277790643</v>
      </c>
      <c r="X25" s="246">
        <f t="shared" ref="X25" si="43">SUM(X20:X24)</f>
        <v>5621991.3359348513</v>
      </c>
      <c r="Y25" s="246">
        <f t="shared" ref="Y25" si="44">SUM(Y20:Y24)</f>
        <v>6826166.2882189369</v>
      </c>
      <c r="Z25" s="246">
        <f t="shared" ref="Z25" si="45">SUM(Z20:Z24)</f>
        <v>6807930.1010808107</v>
      </c>
      <c r="AA25" s="246">
        <f t="shared" ref="AA25" si="46">SUM(AA20:AA24)</f>
        <v>5825187.9900940079</v>
      </c>
      <c r="AB25" s="246">
        <f t="shared" ref="AB25:AF25" si="47">SUM(AB20:AB24)</f>
        <v>6371584.2304019593</v>
      </c>
      <c r="AC25" s="246">
        <f t="shared" si="47"/>
        <v>5103082.347441365</v>
      </c>
      <c r="AD25" s="246">
        <f t="shared" si="47"/>
        <v>4600982.7979813619</v>
      </c>
      <c r="AE25" s="246">
        <f t="shared" si="47"/>
        <v>5070779.3628368955</v>
      </c>
      <c r="AF25" s="246">
        <f t="shared" si="47"/>
        <v>7534741.0683614276</v>
      </c>
      <c r="AG25" s="246">
        <f t="shared" ref="AG25:AS25" si="48">SUM(AG20:AG24)</f>
        <v>7114113.9876439665</v>
      </c>
      <c r="AH25" s="246">
        <f t="shared" si="48"/>
        <v>6952460.2487546541</v>
      </c>
      <c r="AI25" s="246">
        <f t="shared" si="48"/>
        <v>6655410.3707328783</v>
      </c>
      <c r="AJ25" s="246">
        <f t="shared" si="48"/>
        <v>7003321.1524657402</v>
      </c>
      <c r="AK25" s="246">
        <f t="shared" si="48"/>
        <v>8102367.0993234273</v>
      </c>
      <c r="AL25" s="246">
        <f t="shared" si="48"/>
        <v>8980774.4456641823</v>
      </c>
      <c r="AM25" s="246">
        <f t="shared" si="48"/>
        <v>7283322.4038069993</v>
      </c>
      <c r="AN25" s="246">
        <f t="shared" si="48"/>
        <v>7607208.0292283082</v>
      </c>
      <c r="AO25" s="246">
        <f t="shared" si="48"/>
        <v>6928559.2280493062</v>
      </c>
      <c r="AP25" s="246">
        <f t="shared" si="48"/>
        <v>4302702.225589118</v>
      </c>
      <c r="AQ25" s="246">
        <f t="shared" si="48"/>
        <v>4630040.5295476727</v>
      </c>
      <c r="AR25" s="246">
        <f t="shared" si="48"/>
        <v>5526805.2642234433</v>
      </c>
      <c r="AS25" s="246">
        <f t="shared" si="48"/>
        <v>5356736.3857415235</v>
      </c>
      <c r="AT25" s="246">
        <f t="shared" ref="AT25:AU25" si="49">SUM(AT20:AT24)</f>
        <v>4605094.3734036293</v>
      </c>
      <c r="AU25" s="246">
        <f t="shared" si="49"/>
        <v>4296200.1815999998</v>
      </c>
      <c r="AV25" s="246">
        <f>SUM(AV20:AV24)</f>
        <v>4769976.017</v>
      </c>
      <c r="AW25" s="246">
        <f>SUM(AW20:AW24)</f>
        <v>4951669.2020000005</v>
      </c>
    </row>
    <row r="26" spans="1:58" x14ac:dyDescent="0.35">
      <c r="A26" s="1" t="s">
        <v>438</v>
      </c>
      <c r="B26" s="249">
        <f t="shared" ref="B26:AV26" si="50">B25/B8</f>
        <v>9.5449103117166562E-2</v>
      </c>
      <c r="C26" s="249">
        <f t="shared" si="50"/>
        <v>9.5277561693385512E-2</v>
      </c>
      <c r="D26" s="249">
        <f t="shared" si="50"/>
        <v>9.4937306777768557E-2</v>
      </c>
      <c r="E26" s="249">
        <f t="shared" si="50"/>
        <v>9.5341353518833702E-2</v>
      </c>
      <c r="F26" s="249">
        <f t="shared" si="50"/>
        <v>0.10241328307107163</v>
      </c>
      <c r="G26" s="249">
        <f t="shared" si="50"/>
        <v>0.10285124022264169</v>
      </c>
      <c r="H26" s="249">
        <f t="shared" si="50"/>
        <v>0.10276149090713131</v>
      </c>
      <c r="I26" s="249">
        <f t="shared" si="50"/>
        <v>0.10365917761833039</v>
      </c>
      <c r="J26" s="249">
        <f t="shared" si="50"/>
        <v>0.10283356167121589</v>
      </c>
      <c r="K26" s="249">
        <f t="shared" si="50"/>
        <v>0.1034654256807282</v>
      </c>
      <c r="L26" s="249">
        <f t="shared" si="50"/>
        <v>0.1520803536445379</v>
      </c>
      <c r="M26" s="249">
        <f t="shared" si="50"/>
        <v>0.16075153865015704</v>
      </c>
      <c r="N26" s="249">
        <f t="shared" si="50"/>
        <v>0.16446136344664222</v>
      </c>
      <c r="O26" s="249">
        <f t="shared" si="50"/>
        <v>0.16599707081591678</v>
      </c>
      <c r="P26" s="249">
        <f t="shared" si="50"/>
        <v>0.15762308027077848</v>
      </c>
      <c r="Q26" s="249">
        <f t="shared" si="50"/>
        <v>0.1680571501674849</v>
      </c>
      <c r="R26" s="249">
        <f t="shared" si="50"/>
        <v>0.11245157233800719</v>
      </c>
      <c r="S26" s="249">
        <f t="shared" si="50"/>
        <v>0.11273697631930996</v>
      </c>
      <c r="T26" s="249">
        <f t="shared" si="50"/>
        <v>0.11211364487544216</v>
      </c>
      <c r="U26" s="249">
        <f t="shared" si="50"/>
        <v>0.11389311114276847</v>
      </c>
      <c r="V26" s="249">
        <f t="shared" si="50"/>
        <v>0.11405549749978101</v>
      </c>
      <c r="W26" s="249">
        <f t="shared" si="50"/>
        <v>0.11400271348716463</v>
      </c>
      <c r="X26" s="249">
        <f t="shared" si="50"/>
        <v>0.11259826395601537</v>
      </c>
      <c r="Y26" s="249">
        <f t="shared" si="50"/>
        <v>0.11288474052253958</v>
      </c>
      <c r="Z26" s="249">
        <f t="shared" si="50"/>
        <v>0.11190059552575175</v>
      </c>
      <c r="AA26" s="249">
        <f t="shared" si="50"/>
        <v>0.11198360085531177</v>
      </c>
      <c r="AB26" s="249">
        <f t="shared" si="50"/>
        <v>0.11182956416468495</v>
      </c>
      <c r="AC26" s="249">
        <f t="shared" si="50"/>
        <v>0.11034824234748421</v>
      </c>
      <c r="AD26" s="249">
        <f t="shared" si="50"/>
        <v>9.8872576358285988E-2</v>
      </c>
      <c r="AE26" s="249">
        <f t="shared" si="50"/>
        <v>9.9367189987609877E-2</v>
      </c>
      <c r="AF26" s="249">
        <f t="shared" si="50"/>
        <v>0.13290140935220254</v>
      </c>
      <c r="AG26" s="249">
        <f t="shared" si="50"/>
        <v>0.13499755908507577</v>
      </c>
      <c r="AH26" s="249">
        <f t="shared" si="50"/>
        <v>0.13390990281935825</v>
      </c>
      <c r="AI26" s="249">
        <f t="shared" si="50"/>
        <v>0.13643841783082952</v>
      </c>
      <c r="AJ26" s="249">
        <f t="shared" si="50"/>
        <v>0.13037391272193244</v>
      </c>
      <c r="AK26" s="249">
        <f t="shared" si="50"/>
        <v>0.12919496938603045</v>
      </c>
      <c r="AL26" s="249">
        <f t="shared" si="50"/>
        <v>0.13521909178370861</v>
      </c>
      <c r="AM26" s="249">
        <f t="shared" si="50"/>
        <v>0.13039561677931436</v>
      </c>
      <c r="AN26" s="249">
        <f t="shared" si="50"/>
        <v>0.13125598173288672</v>
      </c>
      <c r="AO26" s="249">
        <f t="shared" si="50"/>
        <v>0.12926317899412035</v>
      </c>
      <c r="AP26" s="249">
        <f t="shared" si="50"/>
        <v>8.3502439232925899E-2</v>
      </c>
      <c r="AQ26" s="249">
        <f t="shared" si="50"/>
        <v>8.3164562758421448E-2</v>
      </c>
      <c r="AR26" s="249">
        <f t="shared" si="50"/>
        <v>8.3554111607650777E-2</v>
      </c>
      <c r="AS26" s="249">
        <f t="shared" si="50"/>
        <v>8.3923082301267188E-2</v>
      </c>
      <c r="AT26" s="249">
        <f t="shared" si="50"/>
        <v>8.1673345444563478E-2</v>
      </c>
      <c r="AU26" s="249">
        <f t="shared" si="50"/>
        <v>8.2957651866094953E-2</v>
      </c>
      <c r="AV26" s="249">
        <f t="shared" si="50"/>
        <v>8.3696132748980495E-2</v>
      </c>
      <c r="AW26" s="249">
        <f>AW25/AW8</f>
        <v>8.1018437098045751E-2</v>
      </c>
    </row>
    <row r="29" spans="1:58" x14ac:dyDescent="0.35">
      <c r="A29" s="288" t="s">
        <v>496</v>
      </c>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89"/>
      <c r="AY29" s="289"/>
      <c r="AZ29" s="289"/>
      <c r="BA29" s="289"/>
      <c r="BB29" s="289"/>
      <c r="BC29" s="289"/>
      <c r="BD29" s="289"/>
      <c r="BE29" s="289"/>
      <c r="BF29" s="289"/>
    </row>
    <row r="30" spans="1:58" x14ac:dyDescent="0.35">
      <c r="A30" s="288" t="s">
        <v>453</v>
      </c>
      <c r="B30" s="290">
        <v>129352626</v>
      </c>
      <c r="C30" s="290">
        <v>139010961.05000001</v>
      </c>
      <c r="D30" s="290">
        <v>136057294.78</v>
      </c>
      <c r="E30" s="290">
        <v>115162138.5</v>
      </c>
      <c r="F30" s="290">
        <v>116956236.77</v>
      </c>
      <c r="G30" s="290">
        <v>116329308.16</v>
      </c>
      <c r="H30" s="290">
        <v>127072408.53</v>
      </c>
      <c r="I30" s="290">
        <v>125852260.18000001</v>
      </c>
      <c r="J30" s="290">
        <v>127044767.40000001</v>
      </c>
      <c r="K30" s="290">
        <v>117639227.44</v>
      </c>
      <c r="L30" s="290">
        <v>117244880.95</v>
      </c>
      <c r="M30" s="290">
        <v>121254573.7</v>
      </c>
      <c r="N30" s="290">
        <v>123032262</v>
      </c>
      <c r="O30" s="290">
        <v>131755849.76000001</v>
      </c>
      <c r="P30" s="290">
        <v>123804748.61</v>
      </c>
      <c r="Q30" s="290">
        <v>116856824.58</v>
      </c>
      <c r="R30" s="290">
        <v>114748328.62319195</v>
      </c>
      <c r="S30" s="290">
        <v>121460391.17680804</v>
      </c>
      <c r="T30" s="290">
        <v>135085184.53999999</v>
      </c>
      <c r="U30" s="290">
        <v>137817690.53999999</v>
      </c>
      <c r="V30" s="290">
        <v>128052144.3</v>
      </c>
      <c r="W30" s="290">
        <v>117743591.09</v>
      </c>
      <c r="X30" s="290">
        <v>116797847.72</v>
      </c>
      <c r="Y30" s="290">
        <v>123108630.84</v>
      </c>
      <c r="Z30" s="290">
        <v>127121979</v>
      </c>
      <c r="AA30" s="290">
        <v>118531565.23</v>
      </c>
      <c r="AB30" s="290">
        <v>127735539.116404</v>
      </c>
      <c r="AC30" s="290">
        <v>107743920.01000001</v>
      </c>
      <c r="AD30" s="290">
        <v>112209933.97</v>
      </c>
      <c r="AE30" s="290">
        <v>122172924.11</v>
      </c>
      <c r="AF30" s="290">
        <v>128053980.89</v>
      </c>
      <c r="AG30" s="290">
        <v>125005516.23999999</v>
      </c>
      <c r="AH30" s="290">
        <v>122850889.87</v>
      </c>
      <c r="AI30" s="290">
        <v>111456706.79000001</v>
      </c>
      <c r="AJ30" s="290">
        <v>116405146.26000001</v>
      </c>
      <c r="AK30" s="290">
        <v>135198688.47</v>
      </c>
      <c r="AL30" s="290">
        <v>139941710</v>
      </c>
      <c r="AM30" s="290">
        <v>116092724.42</v>
      </c>
      <c r="AN30" s="290">
        <v>124708105.40000001</v>
      </c>
      <c r="AO30" s="290">
        <v>120471028.55</v>
      </c>
      <c r="AP30" s="290">
        <v>119040287.19</v>
      </c>
      <c r="AQ30" s="290">
        <v>123209055.41240999</v>
      </c>
      <c r="AR30" s="290">
        <v>141102432.4571476</v>
      </c>
      <c r="AS30" s="290">
        <v>138481729.87337929</v>
      </c>
      <c r="AT30" s="290">
        <v>124910679.96861626</v>
      </c>
      <c r="AU30" s="290">
        <v>118093701.99667464</v>
      </c>
      <c r="AV30" s="290">
        <v>122689195.66196737</v>
      </c>
      <c r="AW30" s="290">
        <v>122571928.80032954</v>
      </c>
      <c r="AX30" s="289" t="s">
        <v>495</v>
      </c>
      <c r="AY30" s="291">
        <f t="shared" ref="AY30:AY34" si="51">SUM(B30:M30)</f>
        <v>1488976683.4600003</v>
      </c>
      <c r="AZ30" s="291">
        <f t="shared" ref="AZ30:AZ34" si="52">SUM(N30:Y30)</f>
        <v>1490263493.7799997</v>
      </c>
      <c r="BA30" s="291">
        <f t="shared" ref="BA30:BA34" si="53">SUM(Z30:AK30)</f>
        <v>1454486789.956404</v>
      </c>
      <c r="BB30" s="291">
        <f t="shared" ref="BB30:BB34" si="54">SUM(AL30:AW30)</f>
        <v>1511312579.7305245</v>
      </c>
      <c r="BC30" s="291"/>
      <c r="BD30" s="291"/>
      <c r="BE30" s="291"/>
      <c r="BF30" s="291"/>
    </row>
    <row r="31" spans="1:58" x14ac:dyDescent="0.35">
      <c r="A31" s="288" t="s">
        <v>263</v>
      </c>
      <c r="B31" s="290">
        <f>'Cl B Non-RPP kWh'!C57</f>
        <v>65522771.193451315</v>
      </c>
      <c r="C31" s="290">
        <f>'Cl B Non-RPP kWh'!D57</f>
        <v>60674187.181810051</v>
      </c>
      <c r="D31" s="290">
        <f>'Cl B Non-RPP kWh'!E57</f>
        <v>64682682.135765485</v>
      </c>
      <c r="E31" s="290">
        <f>'Cl B Non-RPP kWh'!F57</f>
        <v>59077698.120341726</v>
      </c>
      <c r="F31" s="290">
        <f>'Cl B Non-RPP kWh'!G57</f>
        <v>61516694.447893083</v>
      </c>
      <c r="G31" s="290">
        <f>'Cl B Non-RPP kWh'!H57</f>
        <v>62183858.705205068</v>
      </c>
      <c r="H31" s="290">
        <f>'Cl B Non-RPP kWh'!I57</f>
        <v>65304741.291250877</v>
      </c>
      <c r="I31" s="290">
        <f>'Cl B Non-RPP kWh'!J57</f>
        <v>63461323.310851187</v>
      </c>
      <c r="J31" s="290">
        <f>'Cl B Non-RPP kWh'!K57</f>
        <v>63637741.580866888</v>
      </c>
      <c r="K31" s="290">
        <f>'Cl B Non-RPP kWh'!L57</f>
        <v>60741056.241569251</v>
      </c>
      <c r="L31" s="290">
        <f>'Cl B Non-RPP kWh'!M57</f>
        <v>60273730</v>
      </c>
      <c r="M31" s="290">
        <f>'Cl B Non-RPP kWh'!N57</f>
        <v>59657688</v>
      </c>
      <c r="N31" s="290">
        <f>'Cl B Non-RPP kWh'!O57</f>
        <v>62530733</v>
      </c>
      <c r="O31" s="290">
        <f>'Cl B Non-RPP kWh'!P57</f>
        <v>59168013</v>
      </c>
      <c r="P31" s="290">
        <f>'Cl B Non-RPP kWh'!Q57</f>
        <v>61557042</v>
      </c>
      <c r="Q31" s="290">
        <f>'Cl B Non-RPP kWh'!R57</f>
        <v>58128027</v>
      </c>
      <c r="R31" s="290">
        <f>'Cl B Non-RPP kWh'!S57</f>
        <v>60043334</v>
      </c>
      <c r="S31" s="290">
        <f>'Cl B Non-RPP kWh'!T57</f>
        <v>61047359.361574821</v>
      </c>
      <c r="T31" s="290">
        <f>'Cl B Non-RPP kWh'!U57</f>
        <v>64545876.62621145</v>
      </c>
      <c r="U31" s="290">
        <f>'Cl B Non-RPP kWh'!V57</f>
        <v>66870686.721332088</v>
      </c>
      <c r="V31" s="290">
        <f>'Cl B Non-RPP kWh'!W57</f>
        <v>63088383.150881618</v>
      </c>
      <c r="W31" s="290">
        <f>'Cl B Non-RPP kWh'!X57</f>
        <v>61060424.030000001</v>
      </c>
      <c r="X31" s="290">
        <f>'Cl B Non-RPP kWh'!Y57</f>
        <v>60035973</v>
      </c>
      <c r="Y31" s="290">
        <f>'Cl B Non-RPP kWh'!Z57</f>
        <v>60083682.780000001</v>
      </c>
      <c r="Z31" s="290">
        <f>'Cl B Non-RPP kWh'!AA57</f>
        <v>62707860.443230011</v>
      </c>
      <c r="AA31" s="290">
        <f>'Cl B Non-RPP kWh'!AB57</f>
        <v>55899613.69286</v>
      </c>
      <c r="AB31" s="290">
        <f>'Cl B Non-RPP kWh'!AC57</f>
        <v>62089981.882979997</v>
      </c>
      <c r="AC31" s="290">
        <f>'Cl B Non-RPP kWh'!AD57</f>
        <v>55001818.147700019</v>
      </c>
      <c r="AD31" s="290">
        <f>'Cl B Non-RPP kWh'!AE57</f>
        <v>58396065.210089929</v>
      </c>
      <c r="AE31" s="290">
        <f>'Cl B Non-RPP kWh'!AF57</f>
        <v>60299656.416379921</v>
      </c>
      <c r="AF31" s="290">
        <f>'Cl B Non-RPP kWh'!AG57</f>
        <v>45480923.614120021</v>
      </c>
      <c r="AG31" s="290">
        <f>'Cl B Non-RPP kWh'!AH57</f>
        <v>45248818.27886007</v>
      </c>
      <c r="AH31" s="290">
        <f>'Cl B Non-RPP kWh'!AI57</f>
        <v>44173835.13625998</v>
      </c>
      <c r="AI31" s="290">
        <f>'Cl B Non-RPP kWh'!AJ57</f>
        <v>42511045.400920041</v>
      </c>
      <c r="AJ31" s="290">
        <f>'Cl B Non-RPP kWh'!AK57</f>
        <v>42229868.556640007</v>
      </c>
      <c r="AK31" s="290">
        <f>'Cl B Non-RPP kWh'!AL57</f>
        <v>43108101.348600075</v>
      </c>
      <c r="AL31" s="290">
        <f>'Cl B Non-RPP kWh'!AM57</f>
        <v>45185087.913500004</v>
      </c>
      <c r="AM31" s="290">
        <f>'Cl B Non-RPP kWh'!AN57</f>
        <v>39419097.172240011</v>
      </c>
      <c r="AN31" s="290">
        <f>'Cl B Non-RPP kWh'!AO57</f>
        <v>42684619.467670023</v>
      </c>
      <c r="AO31" s="290">
        <f>'Cl B Non-RPP kWh'!AP57</f>
        <v>40080540.190820031</v>
      </c>
      <c r="AP31" s="290">
        <f>'Cl B Non-RPP kWh'!AQ57</f>
        <v>42472301.451959997</v>
      </c>
      <c r="AQ31" s="290">
        <f>'Cl B Non-RPP kWh'!AR57</f>
        <v>42950579.701250017</v>
      </c>
      <c r="AR31" s="290">
        <f>'Cl B Non-RPP kWh'!AS57</f>
        <v>46224244.508449957</v>
      </c>
      <c r="AS31" s="290">
        <f>'Cl B Non-RPP kWh'!AT57</f>
        <v>46731050.18539995</v>
      </c>
      <c r="AT31" s="290">
        <f>'Cl B Non-RPP kWh'!AU57</f>
        <v>42583541.508560017</v>
      </c>
      <c r="AU31" s="290">
        <f>'Cl B Non-RPP kWh'!AV57</f>
        <v>41808974.972239971</v>
      </c>
      <c r="AV31" s="290">
        <f>'Cl B Non-RPP kWh'!AW57</f>
        <v>41070469.380640082</v>
      </c>
      <c r="AW31" s="290">
        <f>'Cl B Non-RPP kWh'!AX57</f>
        <v>40738970.713580005</v>
      </c>
      <c r="AX31" s="289" t="s">
        <v>495</v>
      </c>
      <c r="AY31" s="291">
        <f t="shared" si="51"/>
        <v>746734172.209005</v>
      </c>
      <c r="AZ31" s="291">
        <f t="shared" si="52"/>
        <v>738159534.66999996</v>
      </c>
      <c r="BA31" s="291">
        <f t="shared" si="53"/>
        <v>617147588.12864006</v>
      </c>
      <c r="BB31" s="291">
        <f t="shared" si="54"/>
        <v>511949477.16631007</v>
      </c>
      <c r="BC31" s="291"/>
      <c r="BD31" s="291"/>
      <c r="BE31" s="291"/>
      <c r="BF31" s="291"/>
    </row>
    <row r="32" spans="1:58" x14ac:dyDescent="0.35">
      <c r="A32" s="288" t="s">
        <v>454</v>
      </c>
      <c r="B32" s="290">
        <v>7058105</v>
      </c>
      <c r="C32" s="290">
        <v>8107272</v>
      </c>
      <c r="D32" s="290">
        <v>7787931</v>
      </c>
      <c r="E32" s="290">
        <v>7166802</v>
      </c>
      <c r="F32" s="290">
        <v>7839928</v>
      </c>
      <c r="G32" s="290">
        <v>7887537</v>
      </c>
      <c r="H32" s="290">
        <v>8718823</v>
      </c>
      <c r="I32" s="290">
        <v>8317259</v>
      </c>
      <c r="J32" s="290">
        <v>8325129</v>
      </c>
      <c r="K32" s="290">
        <v>7471477</v>
      </c>
      <c r="L32" s="290">
        <v>7854163</v>
      </c>
      <c r="M32" s="290">
        <v>6915373</v>
      </c>
      <c r="N32" s="290">
        <v>7183096</v>
      </c>
      <c r="O32" s="290">
        <v>7955725</v>
      </c>
      <c r="P32" s="290">
        <v>7745540</v>
      </c>
      <c r="Q32" s="290">
        <v>7678686</v>
      </c>
      <c r="R32" s="290">
        <v>6755439</v>
      </c>
      <c r="S32" s="290">
        <v>8748431</v>
      </c>
      <c r="T32" s="290">
        <v>9092820</v>
      </c>
      <c r="U32" s="290">
        <v>9196010</v>
      </c>
      <c r="V32" s="290">
        <v>8429764</v>
      </c>
      <c r="W32" s="290">
        <v>8063441</v>
      </c>
      <c r="X32" s="290">
        <v>7681846</v>
      </c>
      <c r="Y32" s="290">
        <v>7124210</v>
      </c>
      <c r="Z32" s="290">
        <v>7397920</v>
      </c>
      <c r="AA32" s="290">
        <v>7585344</v>
      </c>
      <c r="AB32" s="290">
        <v>7432034</v>
      </c>
      <c r="AC32" s="290">
        <v>8773032</v>
      </c>
      <c r="AD32" s="290">
        <v>7250685</v>
      </c>
      <c r="AE32" s="290">
        <v>8350232</v>
      </c>
      <c r="AF32" s="290">
        <v>25080325.244279437</v>
      </c>
      <c r="AG32" s="290">
        <v>23730477.588790383</v>
      </c>
      <c r="AH32" s="290">
        <v>24342391.513600297</v>
      </c>
      <c r="AI32" s="290">
        <v>24033138.77474992</v>
      </c>
      <c r="AJ32" s="290">
        <v>23917692.5424149</v>
      </c>
      <c r="AK32" s="290">
        <v>22621878.474288043</v>
      </c>
      <c r="AL32" s="290">
        <v>24566184.291842323</v>
      </c>
      <c r="AM32" s="290">
        <v>21834192.360725738</v>
      </c>
      <c r="AN32" s="290">
        <v>24495134.006961267</v>
      </c>
      <c r="AO32" s="290">
        <v>23372661.406075686</v>
      </c>
      <c r="AP32" s="290">
        <v>24820601.34166817</v>
      </c>
      <c r="AQ32" s="290">
        <v>24571809.440459058</v>
      </c>
      <c r="AR32" s="290">
        <v>27161417.754339077</v>
      </c>
      <c r="AS32" s="290">
        <v>26893560.761032369</v>
      </c>
      <c r="AT32" s="290">
        <v>23301117.157080341</v>
      </c>
      <c r="AU32" s="290">
        <v>26349813.57825562</v>
      </c>
      <c r="AV32" s="290">
        <v>24633002.622018375</v>
      </c>
      <c r="AW32" s="290">
        <v>23471606.713346962</v>
      </c>
      <c r="AX32" s="289"/>
      <c r="AY32" s="291">
        <f t="shared" si="51"/>
        <v>93449799</v>
      </c>
      <c r="AZ32" s="291">
        <f t="shared" si="52"/>
        <v>95655008</v>
      </c>
      <c r="BA32" s="291">
        <f t="shared" si="53"/>
        <v>190515151.13812298</v>
      </c>
      <c r="BB32" s="291">
        <f t="shared" si="54"/>
        <v>295471101.43380499</v>
      </c>
      <c r="BC32" s="291"/>
      <c r="BD32" s="291"/>
      <c r="BE32" s="291"/>
      <c r="BF32" s="291"/>
    </row>
    <row r="33" spans="1:58" x14ac:dyDescent="0.35">
      <c r="A33" s="288" t="s">
        <v>455</v>
      </c>
      <c r="B33" s="290">
        <f t="shared" ref="B33:AW33" si="55">B30-B31-B32</f>
        <v>56771749.806548685</v>
      </c>
      <c r="C33" s="290">
        <f t="shared" si="55"/>
        <v>70229501.868189961</v>
      </c>
      <c r="D33" s="290">
        <f t="shared" si="55"/>
        <v>63586681.644234508</v>
      </c>
      <c r="E33" s="290">
        <f t="shared" si="55"/>
        <v>48917638.379658274</v>
      </c>
      <c r="F33" s="290">
        <f t="shared" si="55"/>
        <v>47599614.322106913</v>
      </c>
      <c r="G33" s="290">
        <f t="shared" si="55"/>
        <v>46257912.454794928</v>
      </c>
      <c r="H33" s="290">
        <f t="shared" si="55"/>
        <v>53048844.238749124</v>
      </c>
      <c r="I33" s="290">
        <f t="shared" si="55"/>
        <v>54073677.869148821</v>
      </c>
      <c r="J33" s="290">
        <f t="shared" si="55"/>
        <v>55081896.819133118</v>
      </c>
      <c r="K33" s="290">
        <f t="shared" si="55"/>
        <v>49426694.198430747</v>
      </c>
      <c r="L33" s="290">
        <f t="shared" si="55"/>
        <v>49116987.950000003</v>
      </c>
      <c r="M33" s="290">
        <f t="shared" si="55"/>
        <v>54681512.700000003</v>
      </c>
      <c r="N33" s="290">
        <f t="shared" si="55"/>
        <v>53318433</v>
      </c>
      <c r="O33" s="290">
        <f t="shared" si="55"/>
        <v>64632111.760000005</v>
      </c>
      <c r="P33" s="290">
        <f t="shared" si="55"/>
        <v>54502166.609999999</v>
      </c>
      <c r="Q33" s="290">
        <f t="shared" si="55"/>
        <v>51050111.579999998</v>
      </c>
      <c r="R33" s="290">
        <f t="shared" si="55"/>
        <v>47949555.623191953</v>
      </c>
      <c r="S33" s="290">
        <f t="shared" si="55"/>
        <v>51664600.815233223</v>
      </c>
      <c r="T33" s="290">
        <f t="shared" si="55"/>
        <v>61446487.913788542</v>
      </c>
      <c r="U33" s="290">
        <f t="shared" si="55"/>
        <v>61750993.818667904</v>
      </c>
      <c r="V33" s="290">
        <f t="shared" si="55"/>
        <v>56533997.149118379</v>
      </c>
      <c r="W33" s="290">
        <f t="shared" si="55"/>
        <v>48619726.060000002</v>
      </c>
      <c r="X33" s="290">
        <f t="shared" si="55"/>
        <v>49080028.719999999</v>
      </c>
      <c r="Y33" s="290">
        <f t="shared" si="55"/>
        <v>55900738.060000002</v>
      </c>
      <c r="Z33" s="290">
        <f t="shared" si="55"/>
        <v>57016198.556769989</v>
      </c>
      <c r="AA33" s="290">
        <f t="shared" si="55"/>
        <v>55046607.537140004</v>
      </c>
      <c r="AB33" s="290">
        <f t="shared" si="55"/>
        <v>58213523.233424</v>
      </c>
      <c r="AC33" s="290">
        <f t="shared" si="55"/>
        <v>43969069.862299986</v>
      </c>
      <c r="AD33" s="290">
        <f t="shared" si="55"/>
        <v>46563183.759910069</v>
      </c>
      <c r="AE33" s="290">
        <f t="shared" si="55"/>
        <v>53523035.693620078</v>
      </c>
      <c r="AF33" s="290">
        <f t="shared" si="55"/>
        <v>57492732.031600542</v>
      </c>
      <c r="AG33" s="290">
        <f t="shared" si="55"/>
        <v>56026220.37234953</v>
      </c>
      <c r="AH33" s="290">
        <f t="shared" si="55"/>
        <v>54334663.220139734</v>
      </c>
      <c r="AI33" s="290">
        <f t="shared" si="55"/>
        <v>44912522.614330038</v>
      </c>
      <c r="AJ33" s="290">
        <f t="shared" si="55"/>
        <v>50257585.160945088</v>
      </c>
      <c r="AK33" s="290">
        <f t="shared" si="55"/>
        <v>69468708.647111878</v>
      </c>
      <c r="AL33" s="290">
        <f t="shared" si="55"/>
        <v>70190437.794657663</v>
      </c>
      <c r="AM33" s="290">
        <f t="shared" si="55"/>
        <v>54839434.88703426</v>
      </c>
      <c r="AN33" s="290">
        <f t="shared" si="55"/>
        <v>57528351.925368711</v>
      </c>
      <c r="AO33" s="290">
        <f t="shared" si="55"/>
        <v>57017826.953104287</v>
      </c>
      <c r="AP33" s="290">
        <f t="shared" si="55"/>
        <v>51747384.396371827</v>
      </c>
      <c r="AQ33" s="290">
        <f t="shared" si="55"/>
        <v>55686666.270700917</v>
      </c>
      <c r="AR33" s="290">
        <f t="shared" si="55"/>
        <v>67716770.194358557</v>
      </c>
      <c r="AS33" s="290">
        <f t="shared" si="55"/>
        <v>64857118.926946968</v>
      </c>
      <c r="AT33" s="290">
        <f t="shared" si="55"/>
        <v>59026021.302975908</v>
      </c>
      <c r="AU33" s="290">
        <f t="shared" si="55"/>
        <v>49934913.446179047</v>
      </c>
      <c r="AV33" s="290">
        <f t="shared" si="55"/>
        <v>56985723.659308903</v>
      </c>
      <c r="AW33" s="290">
        <f t="shared" si="55"/>
        <v>58361351.373402566</v>
      </c>
      <c r="AX33" s="289"/>
      <c r="AY33" s="291">
        <f t="shared" si="51"/>
        <v>648792712.25099516</v>
      </c>
      <c r="AZ33" s="291">
        <f t="shared" si="52"/>
        <v>656448951.1099999</v>
      </c>
      <c r="BA33" s="291">
        <f t="shared" si="53"/>
        <v>646824050.68964088</v>
      </c>
      <c r="BB33" s="291">
        <f t="shared" si="54"/>
        <v>703892001.1304096</v>
      </c>
      <c r="BC33" s="291"/>
      <c r="BD33" s="291"/>
      <c r="BE33" s="291"/>
      <c r="BF33" s="291"/>
    </row>
    <row r="34" spans="1:58" x14ac:dyDescent="0.35">
      <c r="A34" s="288"/>
      <c r="B34" s="291">
        <f t="shared" ref="B34:AW34" si="56">B8-B33</f>
        <v>9627713.902578555</v>
      </c>
      <c r="C34" s="291">
        <f t="shared" si="56"/>
        <v>-9251574.6988735944</v>
      </c>
      <c r="D34" s="291">
        <f t="shared" si="56"/>
        <v>-4760749.0889635831</v>
      </c>
      <c r="E34" s="291">
        <f t="shared" si="56"/>
        <v>-1381248.0428005829</v>
      </c>
      <c r="F34" s="291">
        <f t="shared" si="56"/>
        <v>1506575.0784495175</v>
      </c>
      <c r="G34" s="291">
        <f t="shared" si="56"/>
        <v>3282558.5332571939</v>
      </c>
      <c r="H34" s="291">
        <f t="shared" si="56"/>
        <v>6225070.1005790904</v>
      </c>
      <c r="I34" s="291">
        <f t="shared" si="56"/>
        <v>-421877.84702857584</v>
      </c>
      <c r="J34" s="291">
        <f t="shared" si="56"/>
        <v>-1352212.4874160737</v>
      </c>
      <c r="K34" s="291">
        <f t="shared" si="56"/>
        <v>-1150206.5969654247</v>
      </c>
      <c r="L34" s="291">
        <f t="shared" si="56"/>
        <v>1266248.1931904256</v>
      </c>
      <c r="M34" s="291">
        <f t="shared" si="56"/>
        <v>1727356.4425309598</v>
      </c>
      <c r="N34" s="291">
        <f t="shared" si="56"/>
        <v>8342356.6596188471</v>
      </c>
      <c r="O34" s="291">
        <f t="shared" si="56"/>
        <v>-8973064.218908228</v>
      </c>
      <c r="P34" s="291">
        <f t="shared" si="56"/>
        <v>-758404.23616520315</v>
      </c>
      <c r="Q34" s="291">
        <f t="shared" si="56"/>
        <v>-1674529.3138074055</v>
      </c>
      <c r="R34" s="291">
        <f t="shared" si="56"/>
        <v>721752.29849505424</v>
      </c>
      <c r="S34" s="291">
        <f t="shared" si="56"/>
        <v>847766.65508963913</v>
      </c>
      <c r="T34" s="291">
        <f t="shared" si="56"/>
        <v>1059937.3866309449</v>
      </c>
      <c r="U34" s="291">
        <f t="shared" si="56"/>
        <v>2475762.0554859117</v>
      </c>
      <c r="V34" s="291">
        <f t="shared" si="56"/>
        <v>-4414620.1279451624</v>
      </c>
      <c r="W34" s="291">
        <f t="shared" si="56"/>
        <v>-497527.38622255623</v>
      </c>
      <c r="X34" s="291">
        <f t="shared" si="56"/>
        <v>849616.18226055801</v>
      </c>
      <c r="Y34" s="291">
        <f t="shared" si="56"/>
        <v>4569492.5187376365</v>
      </c>
      <c r="Z34" s="291">
        <f t="shared" si="56"/>
        <v>3822888.751877062</v>
      </c>
      <c r="AA34" s="291">
        <f t="shared" si="56"/>
        <v>-3028383.9258057624</v>
      </c>
      <c r="AB34" s="291">
        <f t="shared" si="56"/>
        <v>-1237675.4064674824</v>
      </c>
      <c r="AC34" s="291">
        <f t="shared" si="56"/>
        <v>2276182.7931240126</v>
      </c>
      <c r="AD34" s="291">
        <f t="shared" si="56"/>
        <v>-28715.179778061807</v>
      </c>
      <c r="AE34" s="291">
        <f t="shared" si="56"/>
        <v>-2492314.5524750724</v>
      </c>
      <c r="AF34" s="291">
        <f t="shared" si="56"/>
        <v>-798517.08619254082</v>
      </c>
      <c r="AG34" s="291">
        <f t="shared" si="56"/>
        <v>-3328126.8967435285</v>
      </c>
      <c r="AH34" s="291">
        <f t="shared" si="56"/>
        <v>-2415722.9298657402</v>
      </c>
      <c r="AI34" s="291">
        <f t="shared" si="56"/>
        <v>3867069.5016159639</v>
      </c>
      <c r="AJ34" s="291">
        <f t="shared" si="56"/>
        <v>3459611.8323119208</v>
      </c>
      <c r="AK34" s="291">
        <f t="shared" si="56"/>
        <v>-6754447.1102418751</v>
      </c>
      <c r="AL34" s="291">
        <f t="shared" si="56"/>
        <v>-3773970.0666426569</v>
      </c>
      <c r="AM34" s="291">
        <f t="shared" si="56"/>
        <v>1016142.0387877449</v>
      </c>
      <c r="AN34" s="291">
        <f t="shared" si="56"/>
        <v>428686.89903628826</v>
      </c>
      <c r="AO34" s="291">
        <f t="shared" si="56"/>
        <v>-3417418.2213612869</v>
      </c>
      <c r="AP34" s="291">
        <f t="shared" si="56"/>
        <v>-219521.6762548238</v>
      </c>
      <c r="AQ34" s="291">
        <f t="shared" si="56"/>
        <v>-13427.862688921392</v>
      </c>
      <c r="AR34" s="291">
        <f t="shared" si="56"/>
        <v>-1570351.3301865608</v>
      </c>
      <c r="AS34" s="291">
        <f t="shared" si="56"/>
        <v>-1028000.1809039637</v>
      </c>
      <c r="AT34" s="291">
        <f t="shared" si="56"/>
        <v>-2641721.7700349092</v>
      </c>
      <c r="AU34" s="291">
        <f t="shared" si="56"/>
        <v>1852957.6538209543</v>
      </c>
      <c r="AV34" s="291">
        <f t="shared" si="56"/>
        <v>5870.3406910970807</v>
      </c>
      <c r="AW34" s="291">
        <f t="shared" si="56"/>
        <v>2756455.6265974343</v>
      </c>
      <c r="AX34" s="289"/>
      <c r="AY34" s="291">
        <f t="shared" si="51"/>
        <v>5317653.4885379076</v>
      </c>
      <c r="AZ34" s="291">
        <f t="shared" si="52"/>
        <v>2548538.4732700363</v>
      </c>
      <c r="BA34" s="291">
        <f t="shared" si="53"/>
        <v>-6658150.2086411044</v>
      </c>
      <c r="BB34" s="291">
        <f t="shared" si="54"/>
        <v>-6604298.549139604</v>
      </c>
      <c r="BC34" s="291"/>
      <c r="BD34" s="291"/>
      <c r="BE34" s="291"/>
      <c r="BF34" s="291"/>
    </row>
    <row r="35" spans="1:58" x14ac:dyDescent="0.35">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Y35" s="292">
        <f>AY34/AY33</f>
        <v>8.1962287617076274E-3</v>
      </c>
      <c r="AZ35" s="292">
        <f t="shared" ref="AZ35:BB35" si="57">AZ34/AZ33</f>
        <v>3.8823102222353655E-3</v>
      </c>
      <c r="BA35" s="292">
        <f t="shared" si="57"/>
        <v>-1.0293603340108048E-2</v>
      </c>
      <c r="BB35" s="292">
        <f t="shared" si="57"/>
        <v>-9.382545246335354E-3</v>
      </c>
      <c r="BC35" s="292"/>
      <c r="BD35" s="292"/>
      <c r="BE35" s="292"/>
      <c r="BF35" s="292"/>
    </row>
    <row r="36" spans="1:58" x14ac:dyDescent="0.35">
      <c r="A36" s="1" t="s">
        <v>497</v>
      </c>
    </row>
    <row r="37" spans="1:58" x14ac:dyDescent="0.35">
      <c r="A37" t="s">
        <v>490</v>
      </c>
      <c r="B37" s="13">
        <f t="array" ref="B37:AW37">TRANSPOSE('UFE Analysis'!F23:F70)</f>
        <v>130651582.08414999</v>
      </c>
      <c r="C37" s="13">
        <v>120480381.60961999</v>
      </c>
      <c r="D37" s="13">
        <v>122319000.44994</v>
      </c>
      <c r="E37" s="13">
        <v>105587199.45640001</v>
      </c>
      <c r="F37" s="13">
        <v>109557382.80347</v>
      </c>
      <c r="G37" s="13">
        <v>110648219.70682</v>
      </c>
      <c r="H37" s="13">
        <v>123378734.9348</v>
      </c>
      <c r="I37" s="13">
        <v>115985109.39091</v>
      </c>
      <c r="J37" s="13">
        <v>116236962.57077</v>
      </c>
      <c r="K37" s="13">
        <v>107967505.16347</v>
      </c>
      <c r="L37" s="13">
        <v>109591136.82326999</v>
      </c>
      <c r="M37" s="13">
        <v>114948623.55031</v>
      </c>
      <c r="N37" s="13">
        <v>123920250.83639999</v>
      </c>
      <c r="O37" s="13">
        <v>114576243.533612</v>
      </c>
      <c r="P37" s="13">
        <v>115048952.566632</v>
      </c>
      <c r="Q37" s="13">
        <v>107268788.88986</v>
      </c>
      <c r="R37" s="13">
        <v>108477176.28399199</v>
      </c>
      <c r="S37" s="13">
        <v>113311678.06429899</v>
      </c>
      <c r="T37" s="13">
        <v>126774781.29680298</v>
      </c>
      <c r="U37" s="13">
        <v>130811086.15576598</v>
      </c>
      <c r="V37" s="13">
        <v>114956111.60151199</v>
      </c>
      <c r="W37" s="13">
        <v>108944134.85460399</v>
      </c>
      <c r="X37" s="13">
        <v>109725419.754908</v>
      </c>
      <c r="Y37" s="13">
        <v>120290587.173724</v>
      </c>
      <c r="Z37" s="13">
        <v>122898857.87224801</v>
      </c>
      <c r="AA37" s="13">
        <v>107351733.00569901</v>
      </c>
      <c r="AB37" s="13">
        <v>118441246.418736</v>
      </c>
      <c r="AC37" s="13">
        <v>101020114.08877601</v>
      </c>
      <c r="AD37" s="13">
        <v>104468439.18490301</v>
      </c>
      <c r="AE37" s="13">
        <v>111196672.93028601</v>
      </c>
      <c r="AF37" s="13">
        <v>101751569.78746352</v>
      </c>
      <c r="AG37" s="13">
        <v>98042274.172119543</v>
      </c>
      <c r="AH37" s="13">
        <v>95609929.781501547</v>
      </c>
      <c r="AI37" s="13">
        <v>91045825.932207763</v>
      </c>
      <c r="AJ37" s="13">
        <v>95744493.655589581</v>
      </c>
      <c r="AK37" s="13">
        <v>105521170.8012414</v>
      </c>
      <c r="AL37" s="13">
        <v>111394001.44732073</v>
      </c>
      <c r="AM37" s="13">
        <v>94933389.261278987</v>
      </c>
      <c r="AN37" s="13">
        <v>100394855.66997066</v>
      </c>
      <c r="AO37" s="13">
        <v>93239140.98476541</v>
      </c>
      <c r="AP37" s="13">
        <v>93787460.818201989</v>
      </c>
      <c r="AQ37" s="13">
        <v>98082502.116999656</v>
      </c>
      <c r="AR37" s="13">
        <v>112222938.64247476</v>
      </c>
      <c r="AS37" s="13">
        <v>110193887.93846799</v>
      </c>
      <c r="AT37" s="13">
        <v>99216129.805999994</v>
      </c>
      <c r="AU37" s="13">
        <v>93371269.385502338</v>
      </c>
      <c r="AV37" s="13">
        <v>97860525.680101633</v>
      </c>
      <c r="AW37" s="13">
        <v>101579743.73152304</v>
      </c>
    </row>
    <row r="38" spans="1:58" x14ac:dyDescent="0.35">
      <c r="A38" s="143" t="s">
        <v>499</v>
      </c>
      <c r="B38" s="283">
        <f>'App 2-R'!$C$11</f>
        <v>1.0303790418706191</v>
      </c>
      <c r="C38" s="283">
        <f>'App 2-R'!$C$11</f>
        <v>1.0303790418706191</v>
      </c>
      <c r="D38" s="283">
        <f>'App 2-R'!$C$11</f>
        <v>1.0303790418706191</v>
      </c>
      <c r="E38" s="283">
        <f>'App 2-R'!$C$11</f>
        <v>1.0303790418706191</v>
      </c>
      <c r="F38" s="283">
        <f>'App 2-R'!$C$11</f>
        <v>1.0303790418706191</v>
      </c>
      <c r="G38" s="283">
        <f>'App 2-R'!$C$11</f>
        <v>1.0303790418706191</v>
      </c>
      <c r="H38" s="283">
        <f>'App 2-R'!$C$11</f>
        <v>1.0303790418706191</v>
      </c>
      <c r="I38" s="283">
        <f>'App 2-R'!$C$11</f>
        <v>1.0303790418706191</v>
      </c>
      <c r="J38" s="283">
        <f>'App 2-R'!$C$11</f>
        <v>1.0303790418706191</v>
      </c>
      <c r="K38" s="283">
        <f>'App 2-R'!$C$11</f>
        <v>1.0303790418706191</v>
      </c>
      <c r="L38" s="283">
        <f>'App 2-R'!$C$11</f>
        <v>1.0303790418706191</v>
      </c>
      <c r="M38" s="283">
        <f>'App 2-R'!$C$11</f>
        <v>1.0303790418706191</v>
      </c>
      <c r="N38" s="283">
        <f>'App 2-R'!$D$11</f>
        <v>1.0339366260015204</v>
      </c>
      <c r="O38" s="283">
        <f>'App 2-R'!$D$11</f>
        <v>1.0339366260015204</v>
      </c>
      <c r="P38" s="283">
        <f>'App 2-R'!$D$11</f>
        <v>1.0339366260015204</v>
      </c>
      <c r="Q38" s="283">
        <f>'App 2-R'!$D$11</f>
        <v>1.0339366260015204</v>
      </c>
      <c r="R38" s="283">
        <f>'App 2-R'!$D$11</f>
        <v>1.0339366260015204</v>
      </c>
      <c r="S38" s="283">
        <f>'App 2-R'!$D$11</f>
        <v>1.0339366260015204</v>
      </c>
      <c r="T38" s="283">
        <f>'App 2-R'!$D$11</f>
        <v>1.0339366260015204</v>
      </c>
      <c r="U38" s="283">
        <f>'App 2-R'!$D$11</f>
        <v>1.0339366260015204</v>
      </c>
      <c r="V38" s="283">
        <f>'App 2-R'!$D$11</f>
        <v>1.0339366260015204</v>
      </c>
      <c r="W38" s="283">
        <f>'App 2-R'!$D$11</f>
        <v>1.0339366260015204</v>
      </c>
      <c r="X38" s="283">
        <f>'App 2-R'!$D$11</f>
        <v>1.0339366260015204</v>
      </c>
      <c r="Y38" s="283">
        <f>'App 2-R'!$D$11</f>
        <v>1.0339366260015204</v>
      </c>
      <c r="Z38" s="283">
        <f>'App 2-R'!$E$11</f>
        <v>1.0307644085467791</v>
      </c>
      <c r="AA38" s="283">
        <f>'App 2-R'!$E$11</f>
        <v>1.0307644085467791</v>
      </c>
      <c r="AB38" s="283">
        <f>'App 2-R'!$E$11</f>
        <v>1.0307644085467791</v>
      </c>
      <c r="AC38" s="283">
        <f>'App 2-R'!$E$11</f>
        <v>1.0307644085467791</v>
      </c>
      <c r="AD38" s="283">
        <f>'App 2-R'!$E$11</f>
        <v>1.0307644085467791</v>
      </c>
      <c r="AE38" s="283">
        <f>'App 2-R'!$E$11</f>
        <v>1.0307644085467791</v>
      </c>
      <c r="AF38" s="283">
        <f>'App 2-R'!$E$11</f>
        <v>1.0307644085467791</v>
      </c>
      <c r="AG38" s="283">
        <f>'App 2-R'!$E$11</f>
        <v>1.0307644085467791</v>
      </c>
      <c r="AH38" s="283">
        <f>'App 2-R'!$E$11</f>
        <v>1.0307644085467791</v>
      </c>
      <c r="AI38" s="283">
        <f>'App 2-R'!$E$11</f>
        <v>1.0307644085467791</v>
      </c>
      <c r="AJ38" s="283">
        <f>'App 2-R'!$E$11</f>
        <v>1.0307644085467791</v>
      </c>
      <c r="AK38" s="283">
        <f>'App 2-R'!$E$11</f>
        <v>1.0307644085467791</v>
      </c>
      <c r="AL38" s="283">
        <f>'App 2-R'!$F$11</f>
        <v>1.0332968270210008</v>
      </c>
      <c r="AM38" s="283">
        <f>'App 2-R'!$F$11</f>
        <v>1.0332968270210008</v>
      </c>
      <c r="AN38" s="283">
        <f>'App 2-R'!$F$11</f>
        <v>1.0332968270210008</v>
      </c>
      <c r="AO38" s="283">
        <f>'App 2-R'!$F$11</f>
        <v>1.0332968270210008</v>
      </c>
      <c r="AP38" s="283">
        <f>'App 2-R'!$F$11</f>
        <v>1.0332968270210008</v>
      </c>
      <c r="AQ38" s="283">
        <f>'App 2-R'!$F$11</f>
        <v>1.0332968270210008</v>
      </c>
      <c r="AR38" s="283">
        <f>'App 2-R'!$F$11</f>
        <v>1.0332968270210008</v>
      </c>
      <c r="AS38" s="283">
        <f>'App 2-R'!$F$11</f>
        <v>1.0332968270210008</v>
      </c>
      <c r="AT38" s="283">
        <f>'App 2-R'!$F$11</f>
        <v>1.0332968270210008</v>
      </c>
      <c r="AU38" s="283">
        <f>'App 2-R'!$F$11</f>
        <v>1.0332968270210008</v>
      </c>
      <c r="AV38" s="283">
        <f>'App 2-R'!$F$11</f>
        <v>1.0332968270210008</v>
      </c>
      <c r="AW38" s="283">
        <f>'App 2-R'!$F$11</f>
        <v>1.0332968270210008</v>
      </c>
    </row>
    <row r="39" spans="1:58" x14ac:dyDescent="0.35">
      <c r="A39" t="s">
        <v>491</v>
      </c>
      <c r="B39" s="13">
        <f>B37/B38</f>
        <v>126799533.73950265</v>
      </c>
      <c r="C39" s="13">
        <f t="shared" ref="C39:AW39" si="58">C37/C38</f>
        <v>116928214.48589621</v>
      </c>
      <c r="D39" s="13">
        <f t="shared" si="58"/>
        <v>118712624.6549754</v>
      </c>
      <c r="E39" s="13">
        <f t="shared" si="58"/>
        <v>102474133.46520513</v>
      </c>
      <c r="F39" s="13">
        <f t="shared" si="58"/>
        <v>106327262.44564544</v>
      </c>
      <c r="G39" s="13">
        <f t="shared" si="58"/>
        <v>107385937.80589889</v>
      </c>
      <c r="H39" s="13">
        <f t="shared" si="58"/>
        <v>119741114.60071041</v>
      </c>
      <c r="I39" s="13">
        <f t="shared" si="58"/>
        <v>112565478.02092603</v>
      </c>
      <c r="J39" s="13">
        <f t="shared" si="58"/>
        <v>112809905.72143784</v>
      </c>
      <c r="K39" s="13">
        <f t="shared" si="58"/>
        <v>104784259.74916819</v>
      </c>
      <c r="L39" s="13">
        <f t="shared" si="58"/>
        <v>106360021.28334336</v>
      </c>
      <c r="M39" s="13">
        <f t="shared" si="58"/>
        <v>111559551.27117547</v>
      </c>
      <c r="N39" s="13">
        <f t="shared" si="58"/>
        <v>119852849.50744918</v>
      </c>
      <c r="O39" s="13">
        <f t="shared" si="58"/>
        <v>110815538.06320381</v>
      </c>
      <c r="P39" s="13">
        <f t="shared" si="58"/>
        <v>111272731.49376065</v>
      </c>
      <c r="Q39" s="13">
        <f t="shared" si="58"/>
        <v>103747934.05345742</v>
      </c>
      <c r="R39" s="13">
        <f t="shared" si="58"/>
        <v>104916658.87057228</v>
      </c>
      <c r="S39" s="13">
        <f t="shared" si="58"/>
        <v>109592479.08888021</v>
      </c>
      <c r="T39" s="13">
        <f t="shared" si="58"/>
        <v>122613686.47619276</v>
      </c>
      <c r="U39" s="13">
        <f t="shared" si="58"/>
        <v>126517508.77773201</v>
      </c>
      <c r="V39" s="13">
        <f t="shared" si="58"/>
        <v>111182937.82286705</v>
      </c>
      <c r="W39" s="13">
        <f t="shared" si="58"/>
        <v>105368290.58461441</v>
      </c>
      <c r="X39" s="13">
        <f t="shared" si="58"/>
        <v>106123931.57909724</v>
      </c>
      <c r="Y39" s="13">
        <f t="shared" si="58"/>
        <v>116342321.3267107</v>
      </c>
      <c r="Z39" s="13">
        <f t="shared" si="58"/>
        <v>119230793.0436953</v>
      </c>
      <c r="AA39" s="13">
        <f t="shared" si="58"/>
        <v>104147690.89383733</v>
      </c>
      <c r="AB39" s="13">
        <f t="shared" si="58"/>
        <v>114906224.38712268</v>
      </c>
      <c r="AC39" s="13">
        <f t="shared" si="58"/>
        <v>98005046.789691731</v>
      </c>
      <c r="AD39" s="13">
        <f t="shared" si="58"/>
        <v>101350452.45905183</v>
      </c>
      <c r="AE39" s="13">
        <f t="shared" si="58"/>
        <v>107877873.94314127</v>
      </c>
      <c r="AF39" s="13">
        <f t="shared" si="58"/>
        <v>98714671.309729964</v>
      </c>
      <c r="AG39" s="13">
        <f t="shared" si="58"/>
        <v>95116084.101452649</v>
      </c>
      <c r="AH39" s="13">
        <f t="shared" si="58"/>
        <v>92756335.966525063</v>
      </c>
      <c r="AI39" s="13">
        <f t="shared" si="58"/>
        <v>88328453.308325335</v>
      </c>
      <c r="AJ39" s="13">
        <f t="shared" si="58"/>
        <v>92886883.619288668</v>
      </c>
      <c r="AK39" s="13">
        <f t="shared" si="58"/>
        <v>102371764.02899882</v>
      </c>
      <c r="AL39" s="13">
        <f t="shared" si="58"/>
        <v>107804455.15203033</v>
      </c>
      <c r="AM39" s="13">
        <f t="shared" si="58"/>
        <v>91874267.663215771</v>
      </c>
      <c r="AN39" s="13">
        <f t="shared" si="58"/>
        <v>97159744.465111211</v>
      </c>
      <c r="AO39" s="13">
        <f t="shared" si="58"/>
        <v>90234614.630119652</v>
      </c>
      <c r="AP39" s="13">
        <f t="shared" si="58"/>
        <v>90765265.47419259</v>
      </c>
      <c r="AQ39" s="13">
        <f t="shared" si="58"/>
        <v>94921903.902261972</v>
      </c>
      <c r="AR39" s="13">
        <f t="shared" si="58"/>
        <v>108606680.77924325</v>
      </c>
      <c r="AS39" s="13">
        <f t="shared" si="58"/>
        <v>106643013.94997743</v>
      </c>
      <c r="AT39" s="13">
        <f t="shared" si="58"/>
        <v>96019001.7151611</v>
      </c>
      <c r="AU39" s="13">
        <f t="shared" si="58"/>
        <v>90362485.34188585</v>
      </c>
      <c r="AV39" s="13">
        <f t="shared" si="58"/>
        <v>94707080.406153917</v>
      </c>
      <c r="AW39" s="13">
        <f t="shared" si="58"/>
        <v>98306450.842763036</v>
      </c>
    </row>
    <row r="40" spans="1:58" x14ac:dyDescent="0.35">
      <c r="A40" t="s">
        <v>492</v>
      </c>
      <c r="B40" s="283">
        <f>'App 2-R'!$C$20</f>
        <v>1.0404</v>
      </c>
      <c r="C40" s="283">
        <f>'App 2-R'!$C$20</f>
        <v>1.0404</v>
      </c>
      <c r="D40" s="283">
        <f>'App 2-R'!$C$20</f>
        <v>1.0404</v>
      </c>
      <c r="E40" s="283">
        <f>'App 2-R'!$C$20</f>
        <v>1.0404</v>
      </c>
      <c r="F40" s="283">
        <f>'App 2-R'!$C$20</f>
        <v>1.0404</v>
      </c>
      <c r="G40" s="283">
        <f>'App 2-R'!$C$20</f>
        <v>1.0404</v>
      </c>
      <c r="H40" s="283">
        <f>'App 2-R'!$C$20</f>
        <v>1.0404</v>
      </c>
      <c r="I40" s="283">
        <f>'App 2-R'!$C$20</f>
        <v>1.0404</v>
      </c>
      <c r="J40" s="283">
        <f>'App 2-R'!$C$20</f>
        <v>1.0404</v>
      </c>
      <c r="K40" s="283">
        <f>'App 2-R'!$C$20</f>
        <v>1.0404</v>
      </c>
      <c r="L40" s="283">
        <f>'App 2-R'!$C$20</f>
        <v>1.0404</v>
      </c>
      <c r="M40" s="283">
        <f>'App 2-R'!$C$20</f>
        <v>1.0404</v>
      </c>
      <c r="N40" s="283">
        <f>'App 2-R'!$D$20</f>
        <v>1.0362</v>
      </c>
      <c r="O40" s="283">
        <f>'App 2-R'!$D$20</f>
        <v>1.0362</v>
      </c>
      <c r="P40" s="283">
        <f>'App 2-R'!$D$20</f>
        <v>1.0362</v>
      </c>
      <c r="Q40" s="283">
        <f>'App 2-R'!$D$20</f>
        <v>1.0362</v>
      </c>
      <c r="R40" s="283">
        <f>'App 2-R'!$D$20</f>
        <v>1.0362</v>
      </c>
      <c r="S40" s="283">
        <f>'App 2-R'!$D$20</f>
        <v>1.0362</v>
      </c>
      <c r="T40" s="283">
        <f>'App 2-R'!$D$20</f>
        <v>1.0362</v>
      </c>
      <c r="U40" s="283">
        <f>'App 2-R'!$D$20</f>
        <v>1.0362</v>
      </c>
      <c r="V40" s="283">
        <f>'App 2-R'!$D$20</f>
        <v>1.0362</v>
      </c>
      <c r="W40" s="283">
        <f>'App 2-R'!$D$20</f>
        <v>1.0362</v>
      </c>
      <c r="X40" s="283">
        <f>'App 2-R'!$D$20</f>
        <v>1.0362</v>
      </c>
      <c r="Y40" s="283">
        <f>'App 2-R'!$D$20</f>
        <v>1.0362</v>
      </c>
      <c r="Z40" s="283">
        <f>'App 2-R'!$E$20</f>
        <v>1.0362</v>
      </c>
      <c r="AA40" s="283">
        <f>'App 2-R'!$E$20</f>
        <v>1.0362</v>
      </c>
      <c r="AB40" s="283">
        <f>'App 2-R'!$E$20</f>
        <v>1.0362</v>
      </c>
      <c r="AC40" s="283">
        <f>'App 2-R'!$E$20</f>
        <v>1.0362</v>
      </c>
      <c r="AD40" s="283">
        <f>'App 2-R'!$E$20</f>
        <v>1.0362</v>
      </c>
      <c r="AE40" s="283">
        <f>'App 2-R'!$E$20</f>
        <v>1.0362</v>
      </c>
      <c r="AF40" s="283">
        <f>'App 2-R'!$E$20</f>
        <v>1.0362</v>
      </c>
      <c r="AG40" s="283">
        <f>'App 2-R'!$E$20</f>
        <v>1.0362</v>
      </c>
      <c r="AH40" s="283">
        <f>'App 2-R'!$E$20</f>
        <v>1.0362</v>
      </c>
      <c r="AI40" s="283">
        <f>'App 2-R'!$E$20</f>
        <v>1.0362</v>
      </c>
      <c r="AJ40" s="283">
        <f>'App 2-R'!$E$20</f>
        <v>1.0362</v>
      </c>
      <c r="AK40" s="283">
        <f>'App 2-R'!$E$20</f>
        <v>1.0362</v>
      </c>
      <c r="AL40" s="283">
        <f>'App 2-R'!$F$20</f>
        <v>1.0362</v>
      </c>
      <c r="AM40" s="283">
        <f>'App 2-R'!$F$20</f>
        <v>1.0362</v>
      </c>
      <c r="AN40" s="283">
        <f>'App 2-R'!$F$20</f>
        <v>1.0362</v>
      </c>
      <c r="AO40" s="283">
        <f>'App 2-R'!$F$20</f>
        <v>1.0362</v>
      </c>
      <c r="AP40" s="283">
        <f>'App 2-R'!$F$20</f>
        <v>1.0362</v>
      </c>
      <c r="AQ40" s="283">
        <f>'App 2-R'!$F$20</f>
        <v>1.0362</v>
      </c>
      <c r="AR40" s="283">
        <f>'App 2-R'!$F$20</f>
        <v>1.0362</v>
      </c>
      <c r="AS40" s="283">
        <f>'App 2-R'!$F$20</f>
        <v>1.0362</v>
      </c>
      <c r="AT40" s="283">
        <f>'App 2-R'!$F$20</f>
        <v>1.0362</v>
      </c>
      <c r="AU40" s="283">
        <f>'App 2-R'!$F$20</f>
        <v>1.0362</v>
      </c>
      <c r="AV40" s="283">
        <f>'App 2-R'!$F$20</f>
        <v>1.0362</v>
      </c>
      <c r="AW40" s="283">
        <f>'App 2-R'!$F$20</f>
        <v>1.0362</v>
      </c>
    </row>
    <row r="41" spans="1:58" x14ac:dyDescent="0.35">
      <c r="A41" t="s">
        <v>498</v>
      </c>
      <c r="B41" s="13">
        <f>B39*B40</f>
        <v>131922234.90257856</v>
      </c>
      <c r="C41" s="13">
        <f t="shared" ref="C41:AW41" si="59">C39*C40</f>
        <v>121652114.35112642</v>
      </c>
      <c r="D41" s="13">
        <f t="shared" si="59"/>
        <v>123508614.6910364</v>
      </c>
      <c r="E41" s="13">
        <f t="shared" si="59"/>
        <v>106614088.45719942</v>
      </c>
      <c r="F41" s="13">
        <f t="shared" si="59"/>
        <v>110622883.84844951</v>
      </c>
      <c r="G41" s="13">
        <f t="shared" si="59"/>
        <v>111724329.6932572</v>
      </c>
      <c r="H41" s="13">
        <f t="shared" si="59"/>
        <v>124578655.6305791</v>
      </c>
      <c r="I41" s="13">
        <f t="shared" si="59"/>
        <v>117113123.33297144</v>
      </c>
      <c r="J41" s="13">
        <f t="shared" si="59"/>
        <v>117367425.91258393</v>
      </c>
      <c r="K41" s="13">
        <f t="shared" si="59"/>
        <v>109017543.84303458</v>
      </c>
      <c r="L41" s="13">
        <f t="shared" si="59"/>
        <v>110656966.14319043</v>
      </c>
      <c r="M41" s="13">
        <f t="shared" si="59"/>
        <v>116066557.14253096</v>
      </c>
      <c r="N41" s="13">
        <f t="shared" si="59"/>
        <v>124191522.65961884</v>
      </c>
      <c r="O41" s="13">
        <f t="shared" si="59"/>
        <v>114827060.54109178</v>
      </c>
      <c r="P41" s="13">
        <f t="shared" si="59"/>
        <v>115300804.37383479</v>
      </c>
      <c r="Q41" s="13">
        <f t="shared" si="59"/>
        <v>107503609.26619259</v>
      </c>
      <c r="R41" s="13">
        <f t="shared" si="59"/>
        <v>108714641.92168701</v>
      </c>
      <c r="S41" s="13">
        <f t="shared" si="59"/>
        <v>113559726.83189768</v>
      </c>
      <c r="T41" s="13">
        <f t="shared" si="59"/>
        <v>127052301.92663093</v>
      </c>
      <c r="U41" s="13">
        <f t="shared" si="59"/>
        <v>131097442.59548591</v>
      </c>
      <c r="V41" s="13">
        <f t="shared" si="59"/>
        <v>115207760.17205484</v>
      </c>
      <c r="W41" s="13">
        <f t="shared" si="59"/>
        <v>109182622.70377745</v>
      </c>
      <c r="X41" s="13">
        <f t="shared" si="59"/>
        <v>109965617.90226056</v>
      </c>
      <c r="Y41" s="13">
        <f t="shared" si="59"/>
        <v>120553913.35873763</v>
      </c>
      <c r="Z41" s="13">
        <f t="shared" si="59"/>
        <v>123546947.75187707</v>
      </c>
      <c r="AA41" s="13">
        <f t="shared" si="59"/>
        <v>107917837.30419424</v>
      </c>
      <c r="AB41" s="13">
        <f t="shared" si="59"/>
        <v>119065829.70993651</v>
      </c>
      <c r="AC41" s="13">
        <f t="shared" si="59"/>
        <v>101552829.48347858</v>
      </c>
      <c r="AD41" s="13">
        <f t="shared" si="59"/>
        <v>105019338.83806951</v>
      </c>
      <c r="AE41" s="13">
        <f t="shared" si="59"/>
        <v>111783052.97988299</v>
      </c>
      <c r="AF41" s="13">
        <f t="shared" si="59"/>
        <v>102288142.41114219</v>
      </c>
      <c r="AG41" s="13">
        <f t="shared" si="59"/>
        <v>98559286.345925242</v>
      </c>
      <c r="AH41" s="13">
        <f t="shared" si="59"/>
        <v>96114115.328513265</v>
      </c>
      <c r="AI41" s="13">
        <f t="shared" si="59"/>
        <v>91525943.318086714</v>
      </c>
      <c r="AJ41" s="13">
        <f t="shared" si="59"/>
        <v>96249388.806306913</v>
      </c>
      <c r="AK41" s="13">
        <f t="shared" si="59"/>
        <v>106077621.88684858</v>
      </c>
      <c r="AL41" s="13">
        <f t="shared" si="59"/>
        <v>111706976.42853384</v>
      </c>
      <c r="AM41" s="13">
        <f t="shared" si="59"/>
        <v>95200116.15262419</v>
      </c>
      <c r="AN41" s="13">
        <f t="shared" si="59"/>
        <v>100676927.21474823</v>
      </c>
      <c r="AO41" s="13">
        <f t="shared" si="59"/>
        <v>93501107.679729983</v>
      </c>
      <c r="AP41" s="13">
        <f t="shared" si="59"/>
        <v>94050968.084358364</v>
      </c>
      <c r="AQ41" s="13">
        <f t="shared" si="59"/>
        <v>98358076.823523864</v>
      </c>
      <c r="AR41" s="13">
        <f t="shared" si="59"/>
        <v>112538242.62345186</v>
      </c>
      <c r="AS41" s="13">
        <f t="shared" si="59"/>
        <v>110503491.05496661</v>
      </c>
      <c r="AT41" s="13">
        <f t="shared" si="59"/>
        <v>99494889.577249929</v>
      </c>
      <c r="AU41" s="13">
        <f t="shared" si="59"/>
        <v>93633607.311262116</v>
      </c>
      <c r="AV41" s="13">
        <f t="shared" si="59"/>
        <v>98135476.716856688</v>
      </c>
      <c r="AW41" s="13">
        <f t="shared" si="59"/>
        <v>101865144.36327106</v>
      </c>
    </row>
    <row r="42" spans="1:58" x14ac:dyDescent="0.35">
      <c r="A42" t="s">
        <v>501</v>
      </c>
      <c r="B42" s="13">
        <f>'Cl B Non-RPP kWh'!C57</f>
        <v>65522771.193451315</v>
      </c>
      <c r="C42" s="13">
        <f>'Cl B Non-RPP kWh'!D57</f>
        <v>60674187.181810051</v>
      </c>
      <c r="D42" s="13">
        <f>'Cl B Non-RPP kWh'!E57</f>
        <v>64682682.135765485</v>
      </c>
      <c r="E42" s="13">
        <f>'Cl B Non-RPP kWh'!F57</f>
        <v>59077698.120341726</v>
      </c>
      <c r="F42" s="13">
        <f>'Cl B Non-RPP kWh'!G57</f>
        <v>61516694.447893083</v>
      </c>
      <c r="G42" s="13">
        <f>'Cl B Non-RPP kWh'!H57</f>
        <v>62183858.705205068</v>
      </c>
      <c r="H42" s="13">
        <f>'Cl B Non-RPP kWh'!I57</f>
        <v>65304741.291250877</v>
      </c>
      <c r="I42" s="13">
        <f>'Cl B Non-RPP kWh'!J57</f>
        <v>63461323.310851187</v>
      </c>
      <c r="J42" s="13">
        <f>'Cl B Non-RPP kWh'!K57</f>
        <v>63637741.580866888</v>
      </c>
      <c r="K42" s="13">
        <f>'Cl B Non-RPP kWh'!L57</f>
        <v>60741056.241569251</v>
      </c>
      <c r="L42" s="13">
        <f>'Cl B Non-RPP kWh'!M57</f>
        <v>60273730</v>
      </c>
      <c r="M42" s="13">
        <f>'Cl B Non-RPP kWh'!N57</f>
        <v>59657688</v>
      </c>
      <c r="N42" s="13">
        <f>'Cl B Non-RPP kWh'!O57</f>
        <v>62530733</v>
      </c>
      <c r="O42" s="13">
        <f>'Cl B Non-RPP kWh'!P57</f>
        <v>59168013</v>
      </c>
      <c r="P42" s="13">
        <f>'Cl B Non-RPP kWh'!Q57</f>
        <v>61557042</v>
      </c>
      <c r="Q42" s="13">
        <f>'Cl B Non-RPP kWh'!R57</f>
        <v>58128027</v>
      </c>
      <c r="R42" s="13">
        <f>'Cl B Non-RPP kWh'!S57</f>
        <v>60043334</v>
      </c>
      <c r="S42" s="13">
        <f>'Cl B Non-RPP kWh'!T57</f>
        <v>61047359.361574821</v>
      </c>
      <c r="T42" s="13">
        <f>'Cl B Non-RPP kWh'!U57</f>
        <v>64545876.62621145</v>
      </c>
      <c r="U42" s="13">
        <f>'Cl B Non-RPP kWh'!V57</f>
        <v>66870686.721332088</v>
      </c>
      <c r="V42" s="13">
        <f>'Cl B Non-RPP kWh'!W57</f>
        <v>63088383.150881618</v>
      </c>
      <c r="W42" s="13">
        <f>'Cl B Non-RPP kWh'!X57</f>
        <v>61060424.030000001</v>
      </c>
      <c r="X42" s="13">
        <f>'Cl B Non-RPP kWh'!Y57</f>
        <v>60035973</v>
      </c>
      <c r="Y42" s="13">
        <f>'Cl B Non-RPP kWh'!Z57</f>
        <v>60083682.780000001</v>
      </c>
      <c r="Z42" s="13">
        <f>'Cl B Non-RPP kWh'!AA57</f>
        <v>62707860.443230011</v>
      </c>
      <c r="AA42" s="13">
        <f>'Cl B Non-RPP kWh'!AB57</f>
        <v>55899613.69286</v>
      </c>
      <c r="AB42" s="13">
        <f>'Cl B Non-RPP kWh'!AC57</f>
        <v>62089981.882979997</v>
      </c>
      <c r="AC42" s="13">
        <f>'Cl B Non-RPP kWh'!AD57</f>
        <v>55001818.147700019</v>
      </c>
      <c r="AD42" s="13">
        <f>'Cl B Non-RPP kWh'!AE57</f>
        <v>58396065.210089929</v>
      </c>
      <c r="AE42" s="13">
        <f>'Cl B Non-RPP kWh'!AF57</f>
        <v>60299656.416379921</v>
      </c>
      <c r="AF42" s="13">
        <f>'Cl B Non-RPP kWh'!AG57</f>
        <v>45480923.614120021</v>
      </c>
      <c r="AG42" s="13">
        <f>'Cl B Non-RPP kWh'!AH57</f>
        <v>45248818.27886007</v>
      </c>
      <c r="AH42" s="13">
        <f>'Cl B Non-RPP kWh'!AI57</f>
        <v>44173835.13625998</v>
      </c>
      <c r="AI42" s="13">
        <f>'Cl B Non-RPP kWh'!AJ57</f>
        <v>42511045.400920041</v>
      </c>
      <c r="AJ42" s="13">
        <f>'Cl B Non-RPP kWh'!AK57</f>
        <v>42229868.556640007</v>
      </c>
      <c r="AK42" s="13">
        <f>'Cl B Non-RPP kWh'!AL57</f>
        <v>43108101.348600075</v>
      </c>
      <c r="AL42" s="13">
        <f>'Cl B Non-RPP kWh'!AM57</f>
        <v>45185087.913500004</v>
      </c>
      <c r="AM42" s="13">
        <f>'Cl B Non-RPP kWh'!AN57</f>
        <v>39419097.172240011</v>
      </c>
      <c r="AN42" s="13">
        <f>'Cl B Non-RPP kWh'!AO57</f>
        <v>42684619.467670023</v>
      </c>
      <c r="AO42" s="13">
        <f>'Cl B Non-RPP kWh'!AP57</f>
        <v>40080540.190820031</v>
      </c>
      <c r="AP42" s="13">
        <f>'Cl B Non-RPP kWh'!AQ57</f>
        <v>42472301.451959997</v>
      </c>
      <c r="AQ42" s="13">
        <f>'Cl B Non-RPP kWh'!AR57</f>
        <v>42950579.701250017</v>
      </c>
      <c r="AR42" s="13">
        <f>'Cl B Non-RPP kWh'!AS57</f>
        <v>46224244.508449957</v>
      </c>
      <c r="AS42" s="13">
        <f>'Cl B Non-RPP kWh'!AT57</f>
        <v>46731050.18539995</v>
      </c>
      <c r="AT42" s="13">
        <f>'Cl B Non-RPP kWh'!AU57</f>
        <v>42583541.508560017</v>
      </c>
      <c r="AU42" s="13">
        <f>'Cl B Non-RPP kWh'!AV57</f>
        <v>41808974.972239971</v>
      </c>
      <c r="AV42" s="13">
        <f>'Cl B Non-RPP kWh'!AW57</f>
        <v>41070469.380640082</v>
      </c>
      <c r="AW42" s="13">
        <f>'Cl B Non-RPP kWh'!AX57</f>
        <v>40738970.713580005</v>
      </c>
    </row>
    <row r="43" spans="1:58" x14ac:dyDescent="0.35">
      <c r="A43" t="s">
        <v>500</v>
      </c>
      <c r="B43" s="13">
        <f>B41-B42</f>
        <v>66399463.709127247</v>
      </c>
      <c r="C43" s="13">
        <f t="shared" ref="C43:AW43" si="60">C41-C42</f>
        <v>60977927.169316366</v>
      </c>
      <c r="D43" s="13">
        <f t="shared" si="60"/>
        <v>58825932.555270918</v>
      </c>
      <c r="E43" s="13">
        <f t="shared" si="60"/>
        <v>47536390.336857699</v>
      </c>
      <c r="F43" s="13">
        <f t="shared" si="60"/>
        <v>49106189.40055643</v>
      </c>
      <c r="G43" s="13">
        <f t="shared" si="60"/>
        <v>49540470.98805213</v>
      </c>
      <c r="H43" s="13">
        <f t="shared" si="60"/>
        <v>59273914.339328222</v>
      </c>
      <c r="I43" s="13">
        <f t="shared" si="60"/>
        <v>53651800.022120252</v>
      </c>
      <c r="J43" s="13">
        <f t="shared" si="60"/>
        <v>53729684.331717044</v>
      </c>
      <c r="K43" s="13">
        <f t="shared" si="60"/>
        <v>48276487.60146533</v>
      </c>
      <c r="L43" s="13">
        <f t="shared" si="60"/>
        <v>50383236.143190429</v>
      </c>
      <c r="M43" s="13">
        <f t="shared" si="60"/>
        <v>56408869.142530963</v>
      </c>
      <c r="N43" s="13">
        <f t="shared" si="60"/>
        <v>61660789.65961884</v>
      </c>
      <c r="O43" s="13">
        <f t="shared" si="60"/>
        <v>55659047.541091785</v>
      </c>
      <c r="P43" s="13">
        <f t="shared" si="60"/>
        <v>53743762.373834789</v>
      </c>
      <c r="Q43" s="13">
        <f t="shared" si="60"/>
        <v>49375582.266192585</v>
      </c>
      <c r="R43" s="13">
        <f t="shared" si="60"/>
        <v>48671307.921687007</v>
      </c>
      <c r="S43" s="13">
        <f t="shared" si="60"/>
        <v>52512367.470322855</v>
      </c>
      <c r="T43" s="13">
        <f t="shared" si="60"/>
        <v>62506425.30041948</v>
      </c>
      <c r="U43" s="13">
        <f t="shared" si="60"/>
        <v>64226755.874153823</v>
      </c>
      <c r="V43" s="13">
        <f t="shared" si="60"/>
        <v>52119377.021173224</v>
      </c>
      <c r="W43" s="13">
        <f t="shared" si="60"/>
        <v>48122198.673777446</v>
      </c>
      <c r="X43" s="13">
        <f t="shared" si="60"/>
        <v>49929644.902260557</v>
      </c>
      <c r="Y43" s="13">
        <f t="shared" si="60"/>
        <v>60470230.578737631</v>
      </c>
      <c r="Z43" s="13">
        <f t="shared" si="60"/>
        <v>60839087.308647059</v>
      </c>
      <c r="AA43" s="13">
        <f t="shared" si="60"/>
        <v>52018223.611334242</v>
      </c>
      <c r="AB43" s="13">
        <f t="shared" si="60"/>
        <v>56975847.826956518</v>
      </c>
      <c r="AC43" s="13">
        <f t="shared" si="60"/>
        <v>46551011.335778557</v>
      </c>
      <c r="AD43" s="13">
        <f t="shared" si="60"/>
        <v>46623273.627979584</v>
      </c>
      <c r="AE43" s="13">
        <f t="shared" si="60"/>
        <v>51483396.563503064</v>
      </c>
      <c r="AF43" s="13">
        <f t="shared" si="60"/>
        <v>56807218.797022164</v>
      </c>
      <c r="AG43" s="13">
        <f t="shared" si="60"/>
        <v>53310468.067065172</v>
      </c>
      <c r="AH43" s="13">
        <f t="shared" si="60"/>
        <v>51940280.192253284</v>
      </c>
      <c r="AI43" s="13">
        <f t="shared" si="60"/>
        <v>49014897.917166673</v>
      </c>
      <c r="AJ43" s="13">
        <f t="shared" si="60"/>
        <v>54019520.249666907</v>
      </c>
      <c r="AK43" s="13">
        <f t="shared" si="60"/>
        <v>62969520.538248509</v>
      </c>
      <c r="AL43" s="13">
        <f t="shared" si="60"/>
        <v>66521888.515033834</v>
      </c>
      <c r="AM43" s="13">
        <f t="shared" si="60"/>
        <v>55781018.980384178</v>
      </c>
      <c r="AN43" s="13">
        <f t="shared" si="60"/>
        <v>57992307.74707821</v>
      </c>
      <c r="AO43" s="13">
        <f t="shared" si="60"/>
        <v>53420567.488909952</v>
      </c>
      <c r="AP43" s="13">
        <f t="shared" si="60"/>
        <v>51578666.632398367</v>
      </c>
      <c r="AQ43" s="13">
        <f t="shared" si="60"/>
        <v>55407497.122273847</v>
      </c>
      <c r="AR43" s="13">
        <f t="shared" si="60"/>
        <v>66313998.115001902</v>
      </c>
      <c r="AS43" s="13">
        <f t="shared" si="60"/>
        <v>63772440.869566664</v>
      </c>
      <c r="AT43" s="13">
        <f t="shared" si="60"/>
        <v>56911348.068689913</v>
      </c>
      <c r="AU43" s="13">
        <f t="shared" si="60"/>
        <v>51824632.339022145</v>
      </c>
      <c r="AV43" s="13">
        <f t="shared" si="60"/>
        <v>57065007.336216606</v>
      </c>
      <c r="AW43" s="13">
        <f t="shared" si="60"/>
        <v>61126173.649691053</v>
      </c>
    </row>
    <row r="44" spans="1:58" x14ac:dyDescent="0.35">
      <c r="A44"/>
      <c r="B44" s="244">
        <f t="shared" ref="B44:AV44" si="61">B43-B8</f>
        <v>0</v>
      </c>
      <c r="C44" s="244">
        <f t="shared" si="61"/>
        <v>0</v>
      </c>
      <c r="D44" s="244">
        <f t="shared" si="61"/>
        <v>0</v>
      </c>
      <c r="E44" s="244">
        <f t="shared" si="61"/>
        <v>0</v>
      </c>
      <c r="F44" s="244">
        <f t="shared" si="61"/>
        <v>0</v>
      </c>
      <c r="G44" s="244">
        <f t="shared" si="61"/>
        <v>0</v>
      </c>
      <c r="H44" s="244">
        <f t="shared" si="61"/>
        <v>0</v>
      </c>
      <c r="I44" s="244">
        <f t="shared" si="61"/>
        <v>0</v>
      </c>
      <c r="J44" s="244">
        <f t="shared" si="61"/>
        <v>0</v>
      </c>
      <c r="K44" s="244">
        <f t="shared" si="61"/>
        <v>0</v>
      </c>
      <c r="L44" s="244">
        <f t="shared" si="61"/>
        <v>0</v>
      </c>
      <c r="M44" s="244">
        <f t="shared" si="61"/>
        <v>0</v>
      </c>
      <c r="N44" s="244">
        <f t="shared" si="61"/>
        <v>0</v>
      </c>
      <c r="O44" s="244">
        <f t="shared" si="61"/>
        <v>0</v>
      </c>
      <c r="P44" s="244">
        <f t="shared" si="61"/>
        <v>0</v>
      </c>
      <c r="Q44" s="244">
        <f t="shared" si="61"/>
        <v>0</v>
      </c>
      <c r="R44" s="244">
        <f t="shared" si="61"/>
        <v>0</v>
      </c>
      <c r="S44" s="244">
        <f t="shared" si="61"/>
        <v>0</v>
      </c>
      <c r="T44" s="244">
        <f t="shared" si="61"/>
        <v>0</v>
      </c>
      <c r="U44" s="244">
        <f t="shared" si="61"/>
        <v>0</v>
      </c>
      <c r="V44" s="244">
        <f t="shared" si="61"/>
        <v>0</v>
      </c>
      <c r="W44" s="244">
        <f t="shared" si="61"/>
        <v>0</v>
      </c>
      <c r="X44" s="244">
        <f t="shared" si="61"/>
        <v>0</v>
      </c>
      <c r="Y44" s="244">
        <f t="shared" si="61"/>
        <v>0</v>
      </c>
      <c r="Z44" s="244">
        <f t="shared" si="61"/>
        <v>0</v>
      </c>
      <c r="AA44" s="244">
        <f t="shared" si="61"/>
        <v>0</v>
      </c>
      <c r="AB44" s="244">
        <f t="shared" si="61"/>
        <v>0</v>
      </c>
      <c r="AC44" s="257">
        <f t="shared" si="61"/>
        <v>305758.68035455793</v>
      </c>
      <c r="AD44" s="257">
        <f t="shared" si="61"/>
        <v>88805.047847576439</v>
      </c>
      <c r="AE44" s="257">
        <f t="shared" si="61"/>
        <v>452675.42235805839</v>
      </c>
      <c r="AF44" s="257">
        <f t="shared" si="61"/>
        <v>113003.85161416233</v>
      </c>
      <c r="AG44" s="279">
        <f t="shared" si="61"/>
        <v>612374.59145916998</v>
      </c>
      <c r="AH44" s="244">
        <f t="shared" si="61"/>
        <v>21339.901979289949</v>
      </c>
      <c r="AI44" s="244">
        <f t="shared" si="61"/>
        <v>235305.80122067034</v>
      </c>
      <c r="AJ44" s="257">
        <f t="shared" si="61"/>
        <v>302323.2564098984</v>
      </c>
      <c r="AK44" s="257">
        <f t="shared" si="61"/>
        <v>255259.00137850642</v>
      </c>
      <c r="AL44" s="244">
        <f t="shared" si="61"/>
        <v>105420.78701882809</v>
      </c>
      <c r="AM44" s="244">
        <f t="shared" si="61"/>
        <v>-74557.945437826216</v>
      </c>
      <c r="AN44" s="244">
        <f t="shared" si="61"/>
        <v>35268.922673210502</v>
      </c>
      <c r="AO44" s="244">
        <f t="shared" si="61"/>
        <v>-179841.24283304811</v>
      </c>
      <c r="AP44" s="244">
        <f t="shared" si="61"/>
        <v>50803.912281364202</v>
      </c>
      <c r="AQ44" s="244">
        <f t="shared" si="61"/>
        <v>-265741.2857381478</v>
      </c>
      <c r="AR44" s="244">
        <f t="shared" si="61"/>
        <v>167579.25082990527</v>
      </c>
      <c r="AS44" s="244">
        <f t="shared" si="61"/>
        <v>-56677.876476339996</v>
      </c>
      <c r="AT44" s="279">
        <f t="shared" si="61"/>
        <v>527048.53574891388</v>
      </c>
      <c r="AU44" s="257">
        <f t="shared" si="61"/>
        <v>36761.239022143185</v>
      </c>
      <c r="AV44" s="244">
        <f t="shared" si="61"/>
        <v>73413.3362166062</v>
      </c>
      <c r="AW44" s="244">
        <f>AW43-AW8</f>
        <v>8366.6496910527349</v>
      </c>
      <c r="AY44" s="13">
        <f t="shared" ref="AY44" si="62">SUM(B44:M44)</f>
        <v>0</v>
      </c>
      <c r="AZ44" s="13">
        <f t="shared" ref="AZ44" si="63">SUM(N44:Y44)</f>
        <v>0</v>
      </c>
      <c r="BA44" s="13">
        <f t="shared" ref="BA44" si="64">SUM(Z44:AK44)</f>
        <v>2386845.5546218902</v>
      </c>
      <c r="BB44" s="13">
        <f t="shared" ref="BB44" si="65">SUM(AL44:AW44)</f>
        <v>427844.28299666196</v>
      </c>
    </row>
    <row r="45" spans="1:58" x14ac:dyDescent="0.35">
      <c r="A45"/>
      <c r="C45" s="244"/>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row>
    <row r="46" spans="1:58" x14ac:dyDescent="0.35">
      <c r="A46" s="1" t="s">
        <v>505</v>
      </c>
    </row>
    <row r="47" spans="1:58" x14ac:dyDescent="0.35">
      <c r="A47" s="143" t="s">
        <v>463</v>
      </c>
      <c r="B47" s="251">
        <v>136069000.97999999</v>
      </c>
      <c r="C47" s="251">
        <v>126839322.69</v>
      </c>
      <c r="D47" s="251">
        <v>127155193.45</v>
      </c>
      <c r="E47" s="251">
        <v>110931008.40000001</v>
      </c>
      <c r="F47" s="251">
        <v>114125838.25</v>
      </c>
      <c r="G47" s="251">
        <v>116243974.73999999</v>
      </c>
      <c r="H47" s="251">
        <v>128559157.70999999</v>
      </c>
      <c r="I47" s="251">
        <v>122276965.79000001</v>
      </c>
      <c r="J47" s="251">
        <v>122189743.48999999</v>
      </c>
      <c r="K47" s="251">
        <v>113821112.05</v>
      </c>
      <c r="L47" s="251">
        <v>114918427.89</v>
      </c>
      <c r="M47" s="251">
        <v>120146923.91</v>
      </c>
      <c r="N47" s="251">
        <v>129653336.33</v>
      </c>
      <c r="O47" s="251">
        <v>119612277.39</v>
      </c>
      <c r="P47" s="251">
        <v>120079404.43000001</v>
      </c>
      <c r="Q47" s="251">
        <v>111544560.34999999</v>
      </c>
      <c r="R47" s="251">
        <v>112996489.06999999</v>
      </c>
      <c r="S47" s="251">
        <v>118112991.27</v>
      </c>
      <c r="T47" s="251">
        <v>132759091.78</v>
      </c>
      <c r="U47" s="251">
        <v>136846965.53999999</v>
      </c>
      <c r="V47" s="251">
        <v>120474538.56999999</v>
      </c>
      <c r="W47" s="251">
        <v>114277151.48999999</v>
      </c>
      <c r="X47" s="251">
        <v>114905950.25</v>
      </c>
      <c r="Y47" s="251">
        <v>125678936.38</v>
      </c>
      <c r="Z47" s="251">
        <v>128734996.59</v>
      </c>
      <c r="AA47" s="251">
        <v>112440232.64</v>
      </c>
      <c r="AB47" s="251">
        <v>123679832.08</v>
      </c>
      <c r="AC47" s="251">
        <v>105359959.7</v>
      </c>
      <c r="AD47" s="251">
        <v>109395984.23</v>
      </c>
      <c r="AE47" s="251">
        <v>116088138.73</v>
      </c>
      <c r="AF47" s="251">
        <v>124635649.61</v>
      </c>
      <c r="AG47" s="251">
        <v>120712023.54000001</v>
      </c>
      <c r="AH47" s="251">
        <v>117905218.8</v>
      </c>
      <c r="AI47" s="251">
        <v>113217919.01000001</v>
      </c>
      <c r="AJ47" s="251">
        <v>118361036.48</v>
      </c>
      <c r="AK47" s="251">
        <v>127458754.16</v>
      </c>
      <c r="AL47" s="251">
        <v>135059210.59</v>
      </c>
      <c r="AM47" s="251">
        <v>115541198.44</v>
      </c>
      <c r="AN47" s="251">
        <v>123856863.81</v>
      </c>
      <c r="AO47" s="251">
        <v>115296340.13</v>
      </c>
      <c r="AP47" s="251">
        <v>116495072.87</v>
      </c>
      <c r="AQ47" s="251">
        <v>120027635.44</v>
      </c>
      <c r="AR47" s="251">
        <v>137353067.38</v>
      </c>
      <c r="AS47" s="251">
        <v>134389410.19</v>
      </c>
      <c r="AT47" s="251">
        <v>121313741.45</v>
      </c>
      <c r="AU47" s="251">
        <v>115731855.84</v>
      </c>
      <c r="AV47" s="251">
        <v>120612008.47</v>
      </c>
      <c r="AW47" s="251">
        <v>123360800.61</v>
      </c>
    </row>
    <row r="48" spans="1:58" x14ac:dyDescent="0.35">
      <c r="A48" s="143" t="s">
        <v>504</v>
      </c>
      <c r="B48" s="251">
        <v>1640685.5465500001</v>
      </c>
      <c r="C48" s="251">
        <v>1299789.8416200001</v>
      </c>
      <c r="D48" s="251">
        <v>2415035.1839399994</v>
      </c>
      <c r="E48" s="251">
        <v>2425861.29</v>
      </c>
      <c r="F48" s="251">
        <v>2618859.6638700003</v>
      </c>
      <c r="G48" s="251">
        <v>2221967.1503699999</v>
      </c>
      <c r="H48" s="251">
        <v>2704738.9347999999</v>
      </c>
      <c r="I48" s="251">
        <v>2398600.7057099999</v>
      </c>
      <c r="J48" s="251">
        <v>2377176.73117</v>
      </c>
      <c r="K48" s="251">
        <v>2471685.9554699999</v>
      </c>
      <c r="L48" s="251">
        <v>2273328.9324699999</v>
      </c>
      <c r="M48" s="251">
        <v>1984795.6867099998</v>
      </c>
      <c r="N48" s="251">
        <v>1935234.5260000001</v>
      </c>
      <c r="O48" s="251">
        <v>2180336.0521399998</v>
      </c>
      <c r="P48" s="251">
        <v>2728252.5245999997</v>
      </c>
      <c r="Q48" s="251">
        <v>2986522.7262599994</v>
      </c>
      <c r="R48" s="251">
        <v>3280150.9202000001</v>
      </c>
      <c r="S48" s="251">
        <v>3308476.4431799999</v>
      </c>
      <c r="T48" s="251">
        <v>3078626.3218600005</v>
      </c>
      <c r="U48" s="251">
        <v>3163200.2535900008</v>
      </c>
      <c r="V48" s="251">
        <v>2927608.9530000002</v>
      </c>
      <c r="W48" s="251">
        <v>2742054.4863299998</v>
      </c>
      <c r="X48" s="251">
        <v>2513269.96582</v>
      </c>
      <c r="Y48" s="251">
        <v>2009570.7910199999</v>
      </c>
      <c r="Z48" s="251">
        <v>2046970.3632399999</v>
      </c>
      <c r="AA48" s="251">
        <v>2032460.73386</v>
      </c>
      <c r="AB48" s="251">
        <v>2753229.6</v>
      </c>
      <c r="AC48" s="251">
        <v>3042375.8810000005</v>
      </c>
      <c r="AD48" s="251">
        <v>3050515.2969999998</v>
      </c>
      <c r="AE48" s="251">
        <v>3340848.5740000005</v>
      </c>
      <c r="AF48" s="251">
        <v>3427769.1520000002</v>
      </c>
      <c r="AG48" s="251">
        <v>3323667.9250000007</v>
      </c>
      <c r="AH48" s="251">
        <v>2933821.8030000003</v>
      </c>
      <c r="AI48" s="251">
        <v>2616870.4559999998</v>
      </c>
      <c r="AJ48" s="251">
        <v>2024980.0260000001</v>
      </c>
      <c r="AK48" s="251">
        <v>1531242.4790000001</v>
      </c>
      <c r="AL48" s="251">
        <v>1849473.0885999999</v>
      </c>
      <c r="AM48" s="251">
        <v>2220304.8587799999</v>
      </c>
      <c r="AN48" s="251">
        <v>2145639.6682300009</v>
      </c>
      <c r="AO48" s="251">
        <v>2168049.9700100003</v>
      </c>
      <c r="AP48" s="251">
        <v>3234439.5768900001</v>
      </c>
      <c r="AQ48" s="251">
        <v>3505930.7305000015</v>
      </c>
      <c r="AR48" s="251">
        <v>3173241.578999999</v>
      </c>
      <c r="AS48" s="251">
        <v>3192686.6634500008</v>
      </c>
      <c r="AT48" s="251">
        <v>2979764.5559999999</v>
      </c>
      <c r="AU48" s="251">
        <v>2546634.5903499997</v>
      </c>
      <c r="AV48" s="251">
        <v>1881519.8321200002</v>
      </c>
      <c r="AW48" s="251">
        <v>1690549.8348699999</v>
      </c>
    </row>
    <row r="49" spans="1:59" x14ac:dyDescent="0.35">
      <c r="A49" s="143" t="s">
        <v>454</v>
      </c>
      <c r="B49" s="251">
        <v>7058104.442400001</v>
      </c>
      <c r="C49" s="251">
        <v>7658730.9219999993</v>
      </c>
      <c r="D49" s="251">
        <v>7251228.1839999994</v>
      </c>
      <c r="E49" s="251">
        <v>7769670.2336000009</v>
      </c>
      <c r="F49" s="251">
        <v>7187315.1104000006</v>
      </c>
      <c r="G49" s="251">
        <v>7817722.1835500002</v>
      </c>
      <c r="H49" s="251">
        <v>7885161.71</v>
      </c>
      <c r="I49" s="251">
        <v>8690457.1047999989</v>
      </c>
      <c r="J49" s="251">
        <v>8329957.6504000016</v>
      </c>
      <c r="K49" s="251">
        <v>8325292.8419999992</v>
      </c>
      <c r="L49" s="251">
        <v>7600619.9991999995</v>
      </c>
      <c r="M49" s="251">
        <v>7183096.0464000003</v>
      </c>
      <c r="N49" s="251">
        <v>7668320.0195999993</v>
      </c>
      <c r="O49" s="251">
        <v>7216369.9085280001</v>
      </c>
      <c r="P49" s="251">
        <v>7758704.387968001</v>
      </c>
      <c r="Q49" s="251">
        <v>7262294.1864</v>
      </c>
      <c r="R49" s="251">
        <v>7799463.706208</v>
      </c>
      <c r="S49" s="251">
        <v>8109789.6488809995</v>
      </c>
      <c r="T49" s="251">
        <v>9062936.8050570004</v>
      </c>
      <c r="U49" s="251">
        <v>9199079.6378240008</v>
      </c>
      <c r="V49" s="251">
        <v>8446035.9214880001</v>
      </c>
      <c r="W49" s="251">
        <v>8075071.1217259998</v>
      </c>
      <c r="X49" s="251">
        <v>7693800.4609119995</v>
      </c>
      <c r="Y49" s="251">
        <v>7397919.9972960008</v>
      </c>
      <c r="Z49" s="251">
        <v>7883109.0809919992</v>
      </c>
      <c r="AA49" s="251">
        <v>7120960.3681610003</v>
      </c>
      <c r="AB49" s="251">
        <v>7991815.2612640001</v>
      </c>
      <c r="AC49" s="251">
        <v>7382221.4922239995</v>
      </c>
      <c r="AD49" s="251">
        <v>7978060.3420970012</v>
      </c>
      <c r="AE49" s="251">
        <v>8232314.3737139991</v>
      </c>
      <c r="AF49" s="251">
        <v>26311848.974536479</v>
      </c>
      <c r="AG49" s="251">
        <v>25993417.292880461</v>
      </c>
      <c r="AH49" s="251">
        <v>25229110.821498457</v>
      </c>
      <c r="AI49" s="251">
        <v>24788963.533792242</v>
      </c>
      <c r="AJ49" s="251">
        <v>24641522.850410417</v>
      </c>
      <c r="AK49" s="251">
        <v>23468825.837758601</v>
      </c>
      <c r="AL49" s="251">
        <v>25514682.23127928</v>
      </c>
      <c r="AM49" s="251">
        <v>22828114.037501015</v>
      </c>
      <c r="AN49" s="251">
        <v>25607647.808259342</v>
      </c>
      <c r="AO49" s="251">
        <v>24225249.115244579</v>
      </c>
      <c r="AP49" s="251">
        <v>25942051.628688015</v>
      </c>
      <c r="AQ49" s="251">
        <v>25451064.053500336</v>
      </c>
      <c r="AR49" s="251">
        <v>28303370.316525236</v>
      </c>
      <c r="AS49" s="251">
        <v>27388208.91498201</v>
      </c>
      <c r="AT49" s="251">
        <v>25077376.199999999</v>
      </c>
      <c r="AU49" s="251">
        <v>24907221.044847663</v>
      </c>
      <c r="AV49" s="251">
        <v>24633002.622018375</v>
      </c>
      <c r="AW49" s="251">
        <v>23471606.713346962</v>
      </c>
    </row>
    <row r="50" spans="1:59" x14ac:dyDescent="0.35">
      <c r="A50" s="143" t="s">
        <v>506</v>
      </c>
      <c r="B50" s="251">
        <f>B47+B48-B49</f>
        <v>130651582.08414999</v>
      </c>
      <c r="C50" s="251">
        <f t="shared" ref="C50:AW50" si="66">C47+C48-C49</f>
        <v>120480381.60961999</v>
      </c>
      <c r="D50" s="251">
        <f t="shared" si="66"/>
        <v>122319000.44994</v>
      </c>
      <c r="E50" s="251">
        <f t="shared" si="66"/>
        <v>105587199.45640001</v>
      </c>
      <c r="F50" s="251">
        <f t="shared" si="66"/>
        <v>109557382.80347</v>
      </c>
      <c r="G50" s="251">
        <f t="shared" si="66"/>
        <v>110648219.70682</v>
      </c>
      <c r="H50" s="251">
        <f t="shared" si="66"/>
        <v>123378734.9348</v>
      </c>
      <c r="I50" s="251">
        <f t="shared" si="66"/>
        <v>115985109.39091</v>
      </c>
      <c r="J50" s="251">
        <f t="shared" si="66"/>
        <v>116236962.57077</v>
      </c>
      <c r="K50" s="251">
        <f t="shared" si="66"/>
        <v>107967505.16347</v>
      </c>
      <c r="L50" s="251">
        <f t="shared" si="66"/>
        <v>109591136.82326999</v>
      </c>
      <c r="M50" s="251">
        <f t="shared" si="66"/>
        <v>114948623.55031</v>
      </c>
      <c r="N50" s="251">
        <f t="shared" si="66"/>
        <v>123920250.83639999</v>
      </c>
      <c r="O50" s="251">
        <f t="shared" si="66"/>
        <v>114576243.533612</v>
      </c>
      <c r="P50" s="251">
        <f t="shared" si="66"/>
        <v>115048952.566632</v>
      </c>
      <c r="Q50" s="251">
        <f t="shared" si="66"/>
        <v>107268788.88986</v>
      </c>
      <c r="R50" s="251">
        <f t="shared" si="66"/>
        <v>108477176.28399199</v>
      </c>
      <c r="S50" s="251">
        <f t="shared" si="66"/>
        <v>113311678.06429899</v>
      </c>
      <c r="T50" s="251">
        <f t="shared" si="66"/>
        <v>126774781.29680298</v>
      </c>
      <c r="U50" s="251">
        <f t="shared" si="66"/>
        <v>130811086.15576598</v>
      </c>
      <c r="V50" s="251">
        <f t="shared" si="66"/>
        <v>114956111.60151199</v>
      </c>
      <c r="W50" s="251">
        <f t="shared" si="66"/>
        <v>108944134.85460399</v>
      </c>
      <c r="X50" s="251">
        <f t="shared" si="66"/>
        <v>109725419.754908</v>
      </c>
      <c r="Y50" s="251">
        <f t="shared" si="66"/>
        <v>120290587.173724</v>
      </c>
      <c r="Z50" s="251">
        <f t="shared" si="66"/>
        <v>122898857.87224801</v>
      </c>
      <c r="AA50" s="251">
        <f t="shared" si="66"/>
        <v>107351733.00569901</v>
      </c>
      <c r="AB50" s="251">
        <f t="shared" si="66"/>
        <v>118441246.418736</v>
      </c>
      <c r="AC50" s="251">
        <f t="shared" si="66"/>
        <v>101020114.08877601</v>
      </c>
      <c r="AD50" s="251">
        <f t="shared" si="66"/>
        <v>104468439.18490301</v>
      </c>
      <c r="AE50" s="251">
        <f t="shared" si="66"/>
        <v>111196672.93028601</v>
      </c>
      <c r="AF50" s="251">
        <f t="shared" si="66"/>
        <v>101751569.78746352</v>
      </c>
      <c r="AG50" s="251">
        <f t="shared" si="66"/>
        <v>98042274.172119543</v>
      </c>
      <c r="AH50" s="251">
        <f t="shared" si="66"/>
        <v>95609929.781501547</v>
      </c>
      <c r="AI50" s="251">
        <f t="shared" si="66"/>
        <v>91045825.932207763</v>
      </c>
      <c r="AJ50" s="251">
        <f t="shared" si="66"/>
        <v>95744493.655589581</v>
      </c>
      <c r="AK50" s="251">
        <f t="shared" si="66"/>
        <v>105521170.8012414</v>
      </c>
      <c r="AL50" s="251">
        <f t="shared" si="66"/>
        <v>111394001.44732073</v>
      </c>
      <c r="AM50" s="251">
        <f t="shared" si="66"/>
        <v>94933389.261278987</v>
      </c>
      <c r="AN50" s="251">
        <f t="shared" si="66"/>
        <v>100394855.66997066</v>
      </c>
      <c r="AO50" s="251">
        <f t="shared" si="66"/>
        <v>93239140.98476541</v>
      </c>
      <c r="AP50" s="251">
        <f t="shared" si="66"/>
        <v>93787460.818201989</v>
      </c>
      <c r="AQ50" s="251">
        <f t="shared" si="66"/>
        <v>98082502.116999656</v>
      </c>
      <c r="AR50" s="251">
        <f t="shared" si="66"/>
        <v>112222938.64247476</v>
      </c>
      <c r="AS50" s="251">
        <f t="shared" si="66"/>
        <v>110193887.93846799</v>
      </c>
      <c r="AT50" s="251">
        <f t="shared" si="66"/>
        <v>99216129.805999994</v>
      </c>
      <c r="AU50" s="251">
        <f t="shared" si="66"/>
        <v>93371269.385502338</v>
      </c>
      <c r="AV50" s="251">
        <f t="shared" si="66"/>
        <v>97860525.680101633</v>
      </c>
      <c r="AW50" s="251">
        <f t="shared" si="66"/>
        <v>101579743.73152304</v>
      </c>
    </row>
    <row r="52" spans="1:59" x14ac:dyDescent="0.35">
      <c r="A52" s="143" t="s">
        <v>507</v>
      </c>
      <c r="B52" s="13">
        <f t="array" ref="B52:AW52">TRANSPOSE('Table 2'!F4:F51)</f>
        <v>6590724.75</v>
      </c>
      <c r="C52" s="13">
        <v>4788507.92</v>
      </c>
      <c r="D52" s="13">
        <v>7661800.2699999996</v>
      </c>
      <c r="E52" s="13">
        <v>10150293.439999999</v>
      </c>
      <c r="F52" s="13">
        <v>10531509.609999999</v>
      </c>
      <c r="G52" s="13">
        <v>10549642.84</v>
      </c>
      <c r="H52" s="13">
        <v>9663560.5999999996</v>
      </c>
      <c r="I52" s="13">
        <v>9319741.4499999993</v>
      </c>
      <c r="J52" s="13">
        <v>7790806.29</v>
      </c>
      <c r="K52" s="13">
        <v>8189542.1299999999</v>
      </c>
      <c r="L52" s="13">
        <v>12404981.75</v>
      </c>
      <c r="M52" s="13">
        <v>10886737.449999999</v>
      </c>
      <c r="N52" s="13">
        <v>11375783.85</v>
      </c>
      <c r="O52" s="13">
        <v>11288093.949999999</v>
      </c>
      <c r="P52" s="13">
        <v>12224315.970000001</v>
      </c>
      <c r="Q52" s="13">
        <v>11946990.050000001</v>
      </c>
      <c r="R52" s="13">
        <v>11663522.539999999</v>
      </c>
      <c r="S52" s="13">
        <v>10817962.380000001</v>
      </c>
      <c r="T52" s="13">
        <v>10534635.32</v>
      </c>
      <c r="U52" s="13">
        <v>9296716.9800000004</v>
      </c>
      <c r="V52" s="13">
        <v>10955899.42</v>
      </c>
      <c r="W52" s="13">
        <v>12230464.1</v>
      </c>
      <c r="X52" s="13">
        <v>12190340.34</v>
      </c>
      <c r="Y52" s="13">
        <v>10474781.4</v>
      </c>
      <c r="Z52" s="13">
        <v>10113652.039999999</v>
      </c>
      <c r="AA52" s="13">
        <v>9276891.8200000003</v>
      </c>
      <c r="AB52" s="13">
        <v>8452966.0099999998</v>
      </c>
      <c r="AC52" s="13">
        <v>10888580.630000001</v>
      </c>
      <c r="AD52" s="13">
        <v>12897331.109999999</v>
      </c>
      <c r="AE52" s="13">
        <v>13760426.890000001</v>
      </c>
      <c r="AF52" s="13">
        <v>12794181.630000001</v>
      </c>
      <c r="AG52" s="13">
        <v>10025484.449999999</v>
      </c>
      <c r="AH52" s="13">
        <v>8506401.6899999995</v>
      </c>
      <c r="AI52" s="13">
        <v>11447040.109999999</v>
      </c>
      <c r="AJ52" s="13">
        <v>9301720.6799999997</v>
      </c>
      <c r="AK52" s="13">
        <v>9727656.4700000007</v>
      </c>
      <c r="AL52" s="13">
        <v>7505097.1699999999</v>
      </c>
      <c r="AM52" s="13">
        <v>7755399.9900000002</v>
      </c>
      <c r="AN52" s="13">
        <v>9518445.9700000007</v>
      </c>
      <c r="AO52" s="13">
        <v>9286541.1699999999</v>
      </c>
      <c r="AP52" s="13">
        <v>10126409.27</v>
      </c>
      <c r="AQ52" s="13">
        <v>11671254.25</v>
      </c>
      <c r="AR52" s="13">
        <v>8686956.8300000001</v>
      </c>
      <c r="AS52" s="13">
        <v>8255010.9500000002</v>
      </c>
      <c r="AT52" s="13">
        <v>8641228.3000000007</v>
      </c>
      <c r="AU52" s="13">
        <v>11063993.33</v>
      </c>
      <c r="AV52" s="13">
        <v>9619971.1500000004</v>
      </c>
      <c r="AW52" s="13">
        <v>7528755.8899999997</v>
      </c>
    </row>
    <row r="53" spans="1:59" x14ac:dyDescent="0.35">
      <c r="A53" s="143" t="s">
        <v>434</v>
      </c>
      <c r="B53">
        <f t="array" ref="B53:AW53">TRANSPOSE('UFE Analysis'!E23:E70)</f>
        <v>5.0680000000000003E-2</v>
      </c>
      <c r="C53">
        <v>3.9609999999999999E-2</v>
      </c>
      <c r="D53">
        <v>6.2899999999999998E-2</v>
      </c>
      <c r="E53">
        <v>9.5590000000000008E-2</v>
      </c>
      <c r="F53">
        <v>9.6680000000000002E-2</v>
      </c>
      <c r="G53">
        <v>9.5400000000000013E-2</v>
      </c>
      <c r="H53">
        <v>7.8829999999999997E-2</v>
      </c>
      <c r="I53">
        <v>8.0099999999999991E-2</v>
      </c>
      <c r="J53">
        <v>6.7030000000000006E-2</v>
      </c>
      <c r="K53">
        <v>7.5439999999999993E-2</v>
      </c>
      <c r="L53">
        <v>0.11320000000000001</v>
      </c>
      <c r="M53">
        <v>9.4709999999999989E-2</v>
      </c>
      <c r="N53">
        <v>9.179000000000001E-2</v>
      </c>
      <c r="O53">
        <v>9.851E-2</v>
      </c>
      <c r="P53">
        <v>0.1061</v>
      </c>
      <c r="Q53">
        <v>0.11131999999999999</v>
      </c>
      <c r="R53">
        <v>0.10748999999999999</v>
      </c>
      <c r="S53">
        <v>9.5450000000000007E-2</v>
      </c>
      <c r="T53">
        <v>8.3060000000000009E-2</v>
      </c>
      <c r="U53">
        <v>7.1029999999999996E-2</v>
      </c>
      <c r="V53">
        <v>9.5310000000000006E-2</v>
      </c>
      <c r="W53">
        <v>0.11226</v>
      </c>
      <c r="X53">
        <v>0.11109000000000001</v>
      </c>
      <c r="Y53">
        <v>8.7080000000000005E-2</v>
      </c>
      <c r="Z53">
        <v>8.2269999999999996E-2</v>
      </c>
      <c r="AA53">
        <v>8.6389999999999995E-2</v>
      </c>
      <c r="AB53">
        <v>7.1349999999999997E-2</v>
      </c>
      <c r="AC53">
        <v>0.10778</v>
      </c>
      <c r="AD53">
        <v>0.12307</v>
      </c>
      <c r="AE53">
        <v>0.11848</v>
      </c>
      <c r="AF53">
        <v>0.1128</v>
      </c>
      <c r="AG53">
        <v>0.10109</v>
      </c>
      <c r="AH53">
        <v>8.8639999999999997E-2</v>
      </c>
      <c r="AI53">
        <v>0.12562999999999999</v>
      </c>
      <c r="AJ53">
        <v>9.7040000000000001E-2</v>
      </c>
      <c r="AK53">
        <v>9.2069999999999999E-2</v>
      </c>
      <c r="AL53">
        <v>6.7360000000000003E-2</v>
      </c>
      <c r="AM53">
        <v>8.1670000000000006E-2</v>
      </c>
      <c r="AN53">
        <v>9.4810000000000005E-2</v>
      </c>
      <c r="AO53">
        <v>9.9589999999999998E-2</v>
      </c>
      <c r="AP53">
        <v>0.10793000000000001</v>
      </c>
      <c r="AQ53">
        <v>0.11896</v>
      </c>
      <c r="AR53">
        <v>7.7370000000000008E-2</v>
      </c>
      <c r="AS53">
        <v>7.4900000000000008E-2</v>
      </c>
      <c r="AT53">
        <v>8.584E-2</v>
      </c>
      <c r="AU53">
        <v>0.12059</v>
      </c>
      <c r="AV53">
        <v>9.8549999999999999E-2</v>
      </c>
      <c r="AW53">
        <v>7.4040000000000009E-2</v>
      </c>
    </row>
    <row r="54" spans="1:59" x14ac:dyDescent="0.35">
      <c r="A54" s="143" t="s">
        <v>508</v>
      </c>
      <c r="B54" s="13">
        <f>B52/B53</f>
        <v>130045871.15232833</v>
      </c>
      <c r="C54" s="13">
        <f t="shared" ref="C54:AW54" si="67">C52/C53</f>
        <v>120891389.04317091</v>
      </c>
      <c r="D54" s="13">
        <f t="shared" si="67"/>
        <v>121809225.27821939</v>
      </c>
      <c r="E54" s="13">
        <f t="shared" si="67"/>
        <v>106185724.86661783</v>
      </c>
      <c r="F54" s="13">
        <f t="shared" si="67"/>
        <v>108931626.08605708</v>
      </c>
      <c r="G54" s="13">
        <f t="shared" si="67"/>
        <v>110583258.28092241</v>
      </c>
      <c r="H54" s="13">
        <f t="shared" si="67"/>
        <v>122587347.45655207</v>
      </c>
      <c r="I54" s="13">
        <f t="shared" si="67"/>
        <v>116351328.96379526</v>
      </c>
      <c r="J54" s="13">
        <f t="shared" si="67"/>
        <v>116228648.21721616</v>
      </c>
      <c r="K54" s="13">
        <f t="shared" si="67"/>
        <v>108557027.17391305</v>
      </c>
      <c r="L54" s="13">
        <f t="shared" si="67"/>
        <v>109584644.43462896</v>
      </c>
      <c r="M54" s="13">
        <f t="shared" si="67"/>
        <v>114948130.60922818</v>
      </c>
      <c r="N54" s="13">
        <f t="shared" si="67"/>
        <v>123932714.34796818</v>
      </c>
      <c r="O54" s="13">
        <f t="shared" si="67"/>
        <v>114588305.24819815</v>
      </c>
      <c r="P54" s="13">
        <f t="shared" si="67"/>
        <v>115215042.13006598</v>
      </c>
      <c r="Q54" s="13">
        <f t="shared" si="67"/>
        <v>107321146.6942149</v>
      </c>
      <c r="R54" s="13">
        <f t="shared" si="67"/>
        <v>108507977.85840544</v>
      </c>
      <c r="S54" s="13">
        <f t="shared" si="67"/>
        <v>113336431.43006811</v>
      </c>
      <c r="T54" s="13">
        <f t="shared" si="67"/>
        <v>126831631.5916205</v>
      </c>
      <c r="U54" s="13">
        <f t="shared" si="67"/>
        <v>130884372.51865411</v>
      </c>
      <c r="V54" s="13">
        <f t="shared" si="67"/>
        <v>114950156.54181093</v>
      </c>
      <c r="W54" s="13">
        <f t="shared" si="67"/>
        <v>108947658.11508997</v>
      </c>
      <c r="X54" s="13">
        <f t="shared" si="67"/>
        <v>109733912.50337563</v>
      </c>
      <c r="Y54" s="13">
        <f t="shared" si="67"/>
        <v>120289175.47083142</v>
      </c>
      <c r="Z54" s="13">
        <f t="shared" si="67"/>
        <v>122932442.44560593</v>
      </c>
      <c r="AA54" s="13">
        <f t="shared" si="67"/>
        <v>107383861.78955899</v>
      </c>
      <c r="AB54" s="13">
        <f t="shared" si="67"/>
        <v>118471843.16748424</v>
      </c>
      <c r="AC54" s="13">
        <f t="shared" si="67"/>
        <v>101025984.69103731</v>
      </c>
      <c r="AD54" s="13">
        <f t="shared" si="67"/>
        <v>104796710.08369221</v>
      </c>
      <c r="AE54" s="13">
        <f t="shared" si="67"/>
        <v>116141347.82241729</v>
      </c>
      <c r="AF54" s="13">
        <f t="shared" si="67"/>
        <v>113423596.01063831</v>
      </c>
      <c r="AG54" s="13">
        <f t="shared" si="67"/>
        <v>99173849.54001385</v>
      </c>
      <c r="AH54" s="13">
        <f t="shared" si="67"/>
        <v>95965723.037003607</v>
      </c>
      <c r="AI54" s="13">
        <f t="shared" si="67"/>
        <v>91117090.742657006</v>
      </c>
      <c r="AJ54" s="13">
        <f t="shared" si="67"/>
        <v>95854500</v>
      </c>
      <c r="AK54" s="13">
        <f t="shared" si="67"/>
        <v>105655006.73400675</v>
      </c>
      <c r="AL54" s="13">
        <f t="shared" si="67"/>
        <v>111417713.33135392</v>
      </c>
      <c r="AM54" s="13">
        <f t="shared" si="67"/>
        <v>94960205.583445564</v>
      </c>
      <c r="AN54" s="13">
        <f t="shared" si="67"/>
        <v>100394958.02130577</v>
      </c>
      <c r="AO54" s="13">
        <f t="shared" si="67"/>
        <v>93247727.382267296</v>
      </c>
      <c r="AP54" s="13">
        <f t="shared" si="67"/>
        <v>93823860.557768911</v>
      </c>
      <c r="AQ54" s="13">
        <f t="shared" si="67"/>
        <v>98110745.208473444</v>
      </c>
      <c r="AR54" s="13">
        <f t="shared" si="67"/>
        <v>112278103.01150316</v>
      </c>
      <c r="AS54" s="13">
        <f t="shared" si="67"/>
        <v>110213764.35246995</v>
      </c>
      <c r="AT54" s="13">
        <f t="shared" si="67"/>
        <v>100666685.69431502</v>
      </c>
      <c r="AU54" s="13">
        <f t="shared" si="67"/>
        <v>91748845.924205989</v>
      </c>
      <c r="AV54" s="13">
        <f t="shared" si="67"/>
        <v>97615130.898021311</v>
      </c>
      <c r="AW54" s="13">
        <f t="shared" si="67"/>
        <v>101684979.60561857</v>
      </c>
    </row>
    <row r="55" spans="1:59" x14ac:dyDescent="0.35">
      <c r="A55" s="143" t="s">
        <v>509</v>
      </c>
      <c r="B55" s="279">
        <f>B50-B54</f>
        <v>605710.93182165921</v>
      </c>
      <c r="C55" s="279">
        <f t="shared" ref="C55:AW55" si="68">C50-C54</f>
        <v>-411007.43355092406</v>
      </c>
      <c r="D55" s="279">
        <f t="shared" si="68"/>
        <v>509775.17172060907</v>
      </c>
      <c r="E55" s="279">
        <f t="shared" si="68"/>
        <v>-598525.4102178216</v>
      </c>
      <c r="F55" s="279">
        <f t="shared" si="68"/>
        <v>625756.71741291881</v>
      </c>
      <c r="G55" s="244">
        <f t="shared" si="68"/>
        <v>64961.425897583365</v>
      </c>
      <c r="H55" s="279">
        <f t="shared" si="68"/>
        <v>791387.47824792564</v>
      </c>
      <c r="I55" s="279">
        <f t="shared" si="68"/>
        <v>-366219.57288525999</v>
      </c>
      <c r="J55" s="244">
        <f t="shared" si="68"/>
        <v>8314.3535538315773</v>
      </c>
      <c r="K55" s="279">
        <f t="shared" si="68"/>
        <v>-589522.01044304669</v>
      </c>
      <c r="L55" s="244">
        <f t="shared" si="68"/>
        <v>6492.3886410295963</v>
      </c>
      <c r="M55" s="244">
        <f t="shared" si="68"/>
        <v>492.94108182191849</v>
      </c>
      <c r="N55" s="244">
        <f t="shared" si="68"/>
        <v>-12463.511568188667</v>
      </c>
      <c r="O55" s="244">
        <f t="shared" si="68"/>
        <v>-12061.714586153626</v>
      </c>
      <c r="P55" s="244">
        <f t="shared" si="68"/>
        <v>-166089.56343397498</v>
      </c>
      <c r="Q55" s="244">
        <f t="shared" si="68"/>
        <v>-52357.804354891181</v>
      </c>
      <c r="R55" s="244">
        <f t="shared" si="68"/>
        <v>-30801.574413448572</v>
      </c>
      <c r="S55" s="244">
        <f t="shared" si="68"/>
        <v>-24753.365769118071</v>
      </c>
      <c r="T55" s="244">
        <f t="shared" si="68"/>
        <v>-56850.294817522168</v>
      </c>
      <c r="U55" s="244">
        <f t="shared" si="68"/>
        <v>-73286.362888127565</v>
      </c>
      <c r="V55" s="244">
        <f t="shared" si="68"/>
        <v>5955.0597010552883</v>
      </c>
      <c r="W55" s="244">
        <f t="shared" si="68"/>
        <v>-3523.2604859769344</v>
      </c>
      <c r="X55" s="244">
        <f t="shared" si="68"/>
        <v>-8492.7484676390886</v>
      </c>
      <c r="Y55" s="244">
        <f t="shared" si="68"/>
        <v>1411.7028925716877</v>
      </c>
      <c r="Z55" s="244">
        <f t="shared" si="68"/>
        <v>-33584.573357924819</v>
      </c>
      <c r="AA55" s="244">
        <f t="shared" si="68"/>
        <v>-32128.783859983087</v>
      </c>
      <c r="AB55" s="244">
        <f t="shared" si="68"/>
        <v>-30596.748748242855</v>
      </c>
      <c r="AC55" s="244">
        <f t="shared" si="68"/>
        <v>-5870.6022613048553</v>
      </c>
      <c r="AD55" s="279">
        <f t="shared" si="68"/>
        <v>-328270.89878919721</v>
      </c>
      <c r="AE55" s="279">
        <f t="shared" si="68"/>
        <v>-4944674.8921312839</v>
      </c>
      <c r="AF55" s="279">
        <f t="shared" si="68"/>
        <v>-11672026.223174796</v>
      </c>
      <c r="AG55" s="244">
        <f t="shared" si="68"/>
        <v>-1131575.3678943068</v>
      </c>
      <c r="AH55" s="279">
        <f t="shared" si="68"/>
        <v>-355793.25550206006</v>
      </c>
      <c r="AI55" s="244">
        <f t="shared" si="68"/>
        <v>-71264.810449242592</v>
      </c>
      <c r="AJ55" s="244">
        <f t="shared" si="68"/>
        <v>-110006.34441041946</v>
      </c>
      <c r="AK55" s="257">
        <f t="shared" si="68"/>
        <v>-133835.93276534975</v>
      </c>
      <c r="AL55" s="244">
        <f t="shared" si="68"/>
        <v>-23711.884033188224</v>
      </c>
      <c r="AM55" s="244">
        <f t="shared" si="68"/>
        <v>-26816.322166576982</v>
      </c>
      <c r="AN55" s="244">
        <f t="shared" si="68"/>
        <v>-102.35133510828018</v>
      </c>
      <c r="AO55" s="244">
        <f t="shared" si="68"/>
        <v>-8586.397501885891</v>
      </c>
      <c r="AP55" s="244">
        <f t="shared" si="68"/>
        <v>-36399.739566922188</v>
      </c>
      <c r="AQ55" s="244">
        <f t="shared" si="68"/>
        <v>-28243.091473788023</v>
      </c>
      <c r="AR55" s="244">
        <f t="shared" si="68"/>
        <v>-55164.369028404355</v>
      </c>
      <c r="AS55" s="244">
        <f t="shared" si="68"/>
        <v>-19876.414001956582</v>
      </c>
      <c r="AT55" s="244">
        <f t="shared" si="68"/>
        <v>-1450555.888315022</v>
      </c>
      <c r="AU55" s="244">
        <f t="shared" si="68"/>
        <v>1622423.4612963498</v>
      </c>
      <c r="AV55" s="244">
        <f t="shared" si="68"/>
        <v>245394.7820803225</v>
      </c>
      <c r="AW55" s="244">
        <f t="shared" si="68"/>
        <v>-105235.87409552932</v>
      </c>
    </row>
    <row r="57" spans="1:59" x14ac:dyDescent="0.35">
      <c r="A57" s="1" t="s">
        <v>511</v>
      </c>
    </row>
    <row r="58" spans="1:59" x14ac:dyDescent="0.35">
      <c r="A58" s="143" t="s">
        <v>512</v>
      </c>
      <c r="B58" s="13">
        <f t="array" ref="B58:AW58">TRANSPOSE('Table 2'!O4:O51)</f>
        <v>5523661.2929800004</v>
      </c>
      <c r="C58" s="13">
        <v>5627928.2192199994</v>
      </c>
      <c r="D58" s="13">
        <v>6560384.9247999992</v>
      </c>
      <c r="E58" s="13">
        <v>5038266.8878999995</v>
      </c>
      <c r="F58" s="13">
        <v>5318510.6585099995</v>
      </c>
      <c r="G58" s="13">
        <v>4644104.6360599995</v>
      </c>
      <c r="H58" s="13">
        <v>5423088.4125600001</v>
      </c>
      <c r="I58" s="13">
        <v>4940485.1433800012</v>
      </c>
      <c r="J58" s="13">
        <v>5889907.7875399999</v>
      </c>
      <c r="K58" s="13">
        <v>5089376.2005199995</v>
      </c>
      <c r="L58" s="13">
        <v>5500488.32082</v>
      </c>
      <c r="M58" s="13">
        <v>5035141.4646700006</v>
      </c>
      <c r="N58" s="13">
        <v>5841807.6433999995</v>
      </c>
      <c r="O58" s="13">
        <v>5744304.2561900001</v>
      </c>
      <c r="P58" s="13">
        <v>6582859.061209999</v>
      </c>
      <c r="Q58" s="13">
        <v>5612241.5132299997</v>
      </c>
      <c r="R58" s="13">
        <v>5839856.2308400003</v>
      </c>
      <c r="S58" s="13">
        <v>5273437.2916399995</v>
      </c>
      <c r="T58" s="13">
        <v>5726982.7639700007</v>
      </c>
      <c r="U58" s="13">
        <v>6269344.7059899997</v>
      </c>
      <c r="V58" s="13">
        <v>7926394.3246599995</v>
      </c>
      <c r="W58" s="13">
        <v>5517288.2732600002</v>
      </c>
      <c r="X58" s="13">
        <v>5929831.7513700007</v>
      </c>
      <c r="Y58" s="13">
        <v>5526355.03149</v>
      </c>
      <c r="Z58" s="13">
        <v>6600064.9268300002</v>
      </c>
      <c r="AA58" s="13">
        <v>5751549.8698800001</v>
      </c>
      <c r="AB58" s="13">
        <v>7166225.2341899993</v>
      </c>
      <c r="AC58" s="13">
        <v>7242775.3825599998</v>
      </c>
      <c r="AD58" s="13">
        <v>6002796.9910500003</v>
      </c>
      <c r="AE58" s="13">
        <v>4657715.0393500002</v>
      </c>
      <c r="AF58" s="13">
        <v>4969269.9603899997</v>
      </c>
      <c r="AG58" s="13">
        <v>4800613.0626799995</v>
      </c>
      <c r="AH58" s="13">
        <v>4275068.0565099996</v>
      </c>
      <c r="AI58" s="13">
        <v>4270894.1106899995</v>
      </c>
      <c r="AJ58" s="13">
        <v>4268033.0970000001</v>
      </c>
      <c r="AK58" s="13">
        <v>4074728.8315599998</v>
      </c>
      <c r="AL58" s="13">
        <v>5820757.3023199998</v>
      </c>
      <c r="AM58" s="13">
        <v>4751934.4111881601</v>
      </c>
      <c r="AN58" s="13">
        <v>5278347.3992800899</v>
      </c>
      <c r="AO58" s="13">
        <v>4480684.4534548707</v>
      </c>
      <c r="AP58" s="13">
        <v>4538693.1829499993</v>
      </c>
      <c r="AQ58" s="13">
        <v>4272119.9827121496</v>
      </c>
      <c r="AR58" s="13">
        <v>5007750.5784493499</v>
      </c>
      <c r="AS58" s="13">
        <v>5324894.9160005804</v>
      </c>
      <c r="AT58" s="13">
        <v>4917700.3024671301</v>
      </c>
      <c r="AU58" s="13">
        <v>5035786.9677025303</v>
      </c>
      <c r="AV58" s="13">
        <v>4061185.79923436</v>
      </c>
      <c r="AW58" s="13">
        <v>4677068.9869109103</v>
      </c>
    </row>
    <row r="59" spans="1:59" x14ac:dyDescent="0.35">
      <c r="A59" s="143" t="s">
        <v>513</v>
      </c>
    </row>
    <row r="60" spans="1:59" x14ac:dyDescent="0.35">
      <c r="A60" s="294" t="s">
        <v>514</v>
      </c>
      <c r="B60" s="251">
        <v>32573265.940000001</v>
      </c>
      <c r="C60" s="251">
        <v>33160820.609999999</v>
      </c>
      <c r="D60" s="251">
        <v>40496379.390000001</v>
      </c>
      <c r="E60" s="251">
        <v>29721039.68</v>
      </c>
      <c r="F60" s="251">
        <v>31847752.41</v>
      </c>
      <c r="G60" s="251">
        <v>26233967.359999999</v>
      </c>
      <c r="H60" s="251">
        <v>29906488.18</v>
      </c>
      <c r="I60" s="251">
        <v>25741983.579999998</v>
      </c>
      <c r="J60" s="251">
        <v>32703122.210000001</v>
      </c>
      <c r="K60" s="251">
        <v>27047765.399999999</v>
      </c>
      <c r="L60" s="251">
        <v>30206132.149999999</v>
      </c>
      <c r="M60" s="251">
        <v>26244582.559999999</v>
      </c>
      <c r="N60" s="251">
        <v>30619944.059999999</v>
      </c>
      <c r="O60" s="251">
        <v>29761895.73</v>
      </c>
      <c r="P60" s="251">
        <v>35252956.920000002</v>
      </c>
      <c r="Q60" s="251">
        <v>28904645.039999999</v>
      </c>
      <c r="R60" s="251">
        <v>30183247.219999999</v>
      </c>
      <c r="S60" s="251">
        <v>26144815.210000001</v>
      </c>
      <c r="T60" s="251">
        <v>28484436.989999998</v>
      </c>
      <c r="U60" s="251">
        <v>29726503.350000001</v>
      </c>
      <c r="V60" s="251">
        <v>38372978.969999999</v>
      </c>
      <c r="W60" s="251">
        <v>25718184.760000002</v>
      </c>
      <c r="X60" s="251">
        <v>29444272.68</v>
      </c>
      <c r="Y60" s="251">
        <v>26392156.84</v>
      </c>
      <c r="Z60" s="251">
        <v>33441506.25</v>
      </c>
      <c r="AA60" s="251">
        <v>27916975.379999999</v>
      </c>
      <c r="AB60" s="251">
        <v>36954475.780000001</v>
      </c>
      <c r="AC60" s="251">
        <v>35600625.229999997</v>
      </c>
      <c r="AD60" s="251">
        <v>31111940.440000001</v>
      </c>
      <c r="AE60" s="251">
        <v>25422168.859999999</v>
      </c>
      <c r="AF60" s="251">
        <v>28165794.91</v>
      </c>
      <c r="AG60" s="251">
        <v>30663478.420000002</v>
      </c>
      <c r="AH60" s="251">
        <v>27042969.399999999</v>
      </c>
      <c r="AI60" s="251">
        <v>27948372.969999999</v>
      </c>
      <c r="AJ60" s="251">
        <v>27652286.010000002</v>
      </c>
      <c r="AK60" s="251">
        <v>26066143.140000001</v>
      </c>
      <c r="AL60" s="13">
        <v>40665706.439999998</v>
      </c>
      <c r="AM60" s="13">
        <v>30855439.57</v>
      </c>
      <c r="AN60" s="13">
        <v>35620825.479999997</v>
      </c>
      <c r="AO60" s="13">
        <v>29140595.829999998</v>
      </c>
      <c r="AP60" s="13">
        <v>30060172.969999999</v>
      </c>
      <c r="AQ60" s="13">
        <v>27678232.02</v>
      </c>
      <c r="AR60" s="13">
        <v>32497261.010000002</v>
      </c>
      <c r="AS60" s="13">
        <v>34426931.030000001</v>
      </c>
      <c r="AT60" s="13">
        <v>31023844.190000001</v>
      </c>
      <c r="AU60" s="13">
        <v>33849611.549999997</v>
      </c>
      <c r="AV60" s="13">
        <v>25762691.02</v>
      </c>
      <c r="AW60" s="13">
        <v>29501910.25</v>
      </c>
      <c r="AY60" s="244">
        <f>SUM(B60:M60)</f>
        <v>365883299.46999991</v>
      </c>
      <c r="AZ60" s="244">
        <f>SUM(N60:Y60)</f>
        <v>359006037.76999998</v>
      </c>
      <c r="BA60" s="244">
        <f>SUM(Z60:AK60)</f>
        <v>357986736.78999996</v>
      </c>
      <c r="BB60" s="244">
        <f>SUM(AL60:AW60)</f>
        <v>381083221.36000001</v>
      </c>
      <c r="BC60" s="284">
        <f t="shared" ref="BC60:BC64" si="69">AY60/AY$8</f>
        <v>0.55936019154250005</v>
      </c>
      <c r="BD60" s="284">
        <f t="shared" ref="BD60:BD64" si="70">AZ60/AZ$8</f>
        <v>0.54477603245047945</v>
      </c>
      <c r="BE60" s="284">
        <f t="shared" ref="BE60:BE64" si="71">BA60/BA$8</f>
        <v>0.55920931827362308</v>
      </c>
      <c r="BF60" s="284">
        <f>BB60/BB$65</f>
        <v>0.54284437811164687</v>
      </c>
      <c r="BG60" s="284"/>
    </row>
    <row r="61" spans="1:59" x14ac:dyDescent="0.35">
      <c r="A61" s="294" t="s">
        <v>515</v>
      </c>
      <c r="B61" s="251">
        <v>8784504.6899999995</v>
      </c>
      <c r="C61" s="251">
        <v>8992672.6600000001</v>
      </c>
      <c r="D61" s="251">
        <v>10284722.039999999</v>
      </c>
      <c r="E61" s="251">
        <v>8164519.8600000003</v>
      </c>
      <c r="F61" s="251">
        <v>8698742.1400000006</v>
      </c>
      <c r="G61" s="251">
        <v>7548254.6699999999</v>
      </c>
      <c r="H61" s="251">
        <v>8774055.9700000007</v>
      </c>
      <c r="I61" s="251">
        <v>7625195.9400000004</v>
      </c>
      <c r="J61" s="251">
        <v>9252546.9700000007</v>
      </c>
      <c r="K61" s="251">
        <v>7892296.6100000003</v>
      </c>
      <c r="L61" s="251">
        <v>8830970.8699999992</v>
      </c>
      <c r="M61" s="251">
        <v>7866719.4000000004</v>
      </c>
      <c r="N61" s="251">
        <v>8068776.9100000001</v>
      </c>
      <c r="O61" s="251">
        <v>8031066.9199999999</v>
      </c>
      <c r="P61" s="251">
        <v>9082175.2899999991</v>
      </c>
      <c r="Q61" s="251">
        <v>8037845.0099999998</v>
      </c>
      <c r="R61" s="251">
        <v>8521366.6999999993</v>
      </c>
      <c r="S61" s="251">
        <v>7639578.4299999997</v>
      </c>
      <c r="T61" s="251">
        <v>8124138.75</v>
      </c>
      <c r="U61" s="251">
        <v>8905811.0700000003</v>
      </c>
      <c r="V61" s="251">
        <v>11498478.83</v>
      </c>
      <c r="W61" s="251">
        <v>7731248.7800000003</v>
      </c>
      <c r="X61" s="251">
        <v>8714389.6699999999</v>
      </c>
      <c r="Y61" s="251">
        <v>8013815.8399999999</v>
      </c>
      <c r="Z61" s="251">
        <v>8704409.8800000008</v>
      </c>
      <c r="AA61" s="251">
        <v>7658754.0599999996</v>
      </c>
      <c r="AB61" s="251">
        <v>9666033.8000000007</v>
      </c>
      <c r="AC61" s="251">
        <v>10122054.82</v>
      </c>
      <c r="AD61" s="251">
        <v>8757636.3100000005</v>
      </c>
      <c r="AE61" s="251">
        <v>7449815.9100000001</v>
      </c>
      <c r="AF61" s="251">
        <v>8146714.1699999999</v>
      </c>
      <c r="AG61" s="251">
        <v>9145326.7200000007</v>
      </c>
      <c r="AH61" s="251">
        <v>8119166.7000000002</v>
      </c>
      <c r="AI61" s="251">
        <v>8145684.2999999998</v>
      </c>
      <c r="AJ61" s="251">
        <v>8168560.5800000001</v>
      </c>
      <c r="AK61" s="251">
        <v>7620194.5899999999</v>
      </c>
      <c r="AL61" s="13">
        <v>10175157.07</v>
      </c>
      <c r="AM61" s="13">
        <v>8164751.0499999998</v>
      </c>
      <c r="AN61" s="13">
        <v>9617215.6099999994</v>
      </c>
      <c r="AO61" s="13">
        <v>8141283.3600000003</v>
      </c>
      <c r="AP61" s="13">
        <v>8400620.0600000005</v>
      </c>
      <c r="AQ61" s="13">
        <v>8123904.2699999996</v>
      </c>
      <c r="AR61" s="13">
        <v>9498864.7699999996</v>
      </c>
      <c r="AS61" s="13">
        <v>9942394.2599999998</v>
      </c>
      <c r="AT61" s="13">
        <v>9005227.4600000009</v>
      </c>
      <c r="AU61" s="13">
        <v>9626416.9000000004</v>
      </c>
      <c r="AV61" s="13">
        <v>7812189.0300000003</v>
      </c>
      <c r="AW61" s="13">
        <v>8765461.3800000008</v>
      </c>
      <c r="AY61" s="244">
        <f t="shared" ref="AY61:AY65" si="72">SUM(B61:M61)</f>
        <v>102715201.82000001</v>
      </c>
      <c r="AZ61" s="244">
        <f t="shared" ref="AZ61:AZ65" si="73">SUM(N61:Y61)</f>
        <v>102368692.2</v>
      </c>
      <c r="BA61" s="244">
        <f t="shared" ref="BA61:BA65" si="74">SUM(Z61:AK61)</f>
        <v>101704351.84</v>
      </c>
      <c r="BB61" s="244">
        <f t="shared" ref="BB61:BB65" si="75">SUM(AL61:AW61)</f>
        <v>107273485.22</v>
      </c>
      <c r="BC61" s="284">
        <f t="shared" si="69"/>
        <v>0.15703038386170637</v>
      </c>
      <c r="BD61" s="284">
        <f t="shared" si="70"/>
        <v>0.1553400336391795</v>
      </c>
      <c r="BE61" s="284">
        <f t="shared" si="71"/>
        <v>0.15887186706380746</v>
      </c>
      <c r="BF61" s="284">
        <f t="shared" ref="BF61:BF64" si="76">BB61/BB$65</f>
        <v>0.15280863892222829</v>
      </c>
      <c r="BG61" s="284"/>
    </row>
    <row r="62" spans="1:59" x14ac:dyDescent="0.35">
      <c r="A62" s="294" t="s">
        <v>516</v>
      </c>
      <c r="B62" s="251">
        <v>9700252.8900000006</v>
      </c>
      <c r="C62" s="251">
        <v>9601088.1400000006</v>
      </c>
      <c r="D62" s="251">
        <v>11534368.24</v>
      </c>
      <c r="E62" s="251">
        <v>8624514.3100000005</v>
      </c>
      <c r="F62" s="251">
        <v>9337475.5399999991</v>
      </c>
      <c r="G62" s="251">
        <v>7867261.6100000003</v>
      </c>
      <c r="H62" s="251">
        <v>8782649.9600000009</v>
      </c>
      <c r="I62" s="251">
        <v>8256525.3099999996</v>
      </c>
      <c r="J62" s="251">
        <v>9823944.4700000007</v>
      </c>
      <c r="K62" s="251">
        <v>8574118.4100000001</v>
      </c>
      <c r="L62" s="251">
        <v>8696477.9700000007</v>
      </c>
      <c r="M62" s="251">
        <v>7891253.4500000002</v>
      </c>
      <c r="N62" s="251">
        <v>9017848.5899999999</v>
      </c>
      <c r="O62" s="251">
        <v>8562435.2599999998</v>
      </c>
      <c r="P62" s="251">
        <v>10151062.039999999</v>
      </c>
      <c r="Q62" s="251">
        <v>8438371.4100000001</v>
      </c>
      <c r="R62" s="251">
        <v>9040579.8900000006</v>
      </c>
      <c r="S62" s="251">
        <v>7889444.1900000004</v>
      </c>
      <c r="T62" s="251">
        <v>8146422.4400000004</v>
      </c>
      <c r="U62" s="251">
        <v>9810342.3300000001</v>
      </c>
      <c r="V62" s="251">
        <v>12776115.699999999</v>
      </c>
      <c r="W62" s="251">
        <v>8580867.1999999993</v>
      </c>
      <c r="X62" s="251">
        <v>8739770.1400000006</v>
      </c>
      <c r="Y62" s="251">
        <v>8102154.3499999996</v>
      </c>
      <c r="Z62" s="251">
        <v>9706638.2799999993</v>
      </c>
      <c r="AA62" s="251">
        <v>8048299.8899999997</v>
      </c>
      <c r="AB62" s="251">
        <v>10689634.970000001</v>
      </c>
      <c r="AC62" s="251">
        <v>10758553.380000001</v>
      </c>
      <c r="AD62" s="251">
        <v>8986027.3499999996</v>
      </c>
      <c r="AE62" s="251">
        <v>7349890.0899999999</v>
      </c>
      <c r="AF62" s="251">
        <v>8364267.46</v>
      </c>
      <c r="AG62" s="251">
        <v>9809814.6600000001</v>
      </c>
      <c r="AH62" s="251">
        <v>8724465.1099999994</v>
      </c>
      <c r="AI62" s="251">
        <v>8508775.0199999996</v>
      </c>
      <c r="AJ62" s="251">
        <v>8113046.7300000004</v>
      </c>
      <c r="AK62" s="251">
        <v>8167517.2599999998</v>
      </c>
      <c r="AL62" s="13">
        <v>11034010.01</v>
      </c>
      <c r="AM62" s="13">
        <v>8818955.4199999999</v>
      </c>
      <c r="AN62" s="13">
        <v>10422969.380000001</v>
      </c>
      <c r="AO62" s="13">
        <v>8586715.9700000007</v>
      </c>
      <c r="AP62" s="13">
        <v>8708340.5700000003</v>
      </c>
      <c r="AQ62" s="13">
        <v>8283338.75</v>
      </c>
      <c r="AR62" s="13">
        <v>10060245.66</v>
      </c>
      <c r="AS62" s="13">
        <v>11062428.359999999</v>
      </c>
      <c r="AT62" s="13">
        <v>9972243.4399999995</v>
      </c>
      <c r="AU62" s="13">
        <v>10097232.550000001</v>
      </c>
      <c r="AV62" s="13">
        <v>7619769.3099999996</v>
      </c>
      <c r="AW62" s="13">
        <v>9169704.1500000004</v>
      </c>
      <c r="AY62" s="244">
        <f t="shared" si="72"/>
        <v>108689930.3</v>
      </c>
      <c r="AZ62" s="244">
        <f t="shared" si="73"/>
        <v>109255413.53999999</v>
      </c>
      <c r="BA62" s="244">
        <f t="shared" si="74"/>
        <v>107226930.20000002</v>
      </c>
      <c r="BB62" s="244">
        <f t="shared" si="75"/>
        <v>113835953.57000001</v>
      </c>
      <c r="BC62" s="284">
        <f t="shared" si="69"/>
        <v>0.16616451289090314</v>
      </c>
      <c r="BD62" s="284">
        <f t="shared" si="70"/>
        <v>0.16579033344890251</v>
      </c>
      <c r="BE62" s="284">
        <f t="shared" si="71"/>
        <v>0.16749865951846732</v>
      </c>
      <c r="BF62" s="284">
        <f t="shared" si="76"/>
        <v>0.16215672577218124</v>
      </c>
      <c r="BG62" s="284"/>
    </row>
    <row r="63" spans="1:59" x14ac:dyDescent="0.35">
      <c r="A63" s="294" t="s">
        <v>431</v>
      </c>
      <c r="B63" s="251">
        <v>3076258.11</v>
      </c>
      <c r="C63" s="251">
        <v>3208930.53</v>
      </c>
      <c r="D63" s="251">
        <v>2943193.77</v>
      </c>
      <c r="E63" s="251">
        <v>2725834.19</v>
      </c>
      <c r="F63" s="251">
        <v>2939727.53</v>
      </c>
      <c r="G63" s="251">
        <v>2379723.13</v>
      </c>
      <c r="H63" s="251">
        <v>2445110.96</v>
      </c>
      <c r="I63" s="251">
        <v>2658413.02</v>
      </c>
      <c r="J63" s="251">
        <v>2589151.36</v>
      </c>
      <c r="K63" s="251">
        <v>2624049.9300000002</v>
      </c>
      <c r="L63" s="251">
        <v>2639328.59</v>
      </c>
      <c r="M63" s="251">
        <v>2776005.88</v>
      </c>
      <c r="N63" s="251">
        <v>3445927.82</v>
      </c>
      <c r="O63" s="251">
        <v>3485130.17</v>
      </c>
      <c r="P63" s="251">
        <v>3434655.23</v>
      </c>
      <c r="Q63" s="251">
        <v>3508288.41</v>
      </c>
      <c r="R63" s="251">
        <v>3398890.21</v>
      </c>
      <c r="S63" s="251">
        <v>2958256.53</v>
      </c>
      <c r="T63" s="251">
        <v>3115906.38</v>
      </c>
      <c r="U63" s="251">
        <v>3182109.7</v>
      </c>
      <c r="V63" s="251">
        <v>3233445.2</v>
      </c>
      <c r="W63" s="251">
        <v>3085436.25</v>
      </c>
      <c r="X63" s="251">
        <v>2936928.52</v>
      </c>
      <c r="Y63" s="251">
        <v>3674097.4</v>
      </c>
      <c r="Z63" s="251">
        <v>3784714.81</v>
      </c>
      <c r="AA63" s="251">
        <v>4055914.85</v>
      </c>
      <c r="AB63" s="251">
        <v>3789955.43</v>
      </c>
      <c r="AC63" s="251">
        <v>4308014.5999999996</v>
      </c>
      <c r="AD63" s="251">
        <v>2994535.9099999997</v>
      </c>
      <c r="AE63" s="251">
        <v>3480431.65</v>
      </c>
      <c r="AF63" s="251">
        <v>3649609.03</v>
      </c>
      <c r="AG63" s="251">
        <v>3200926</v>
      </c>
      <c r="AH63" s="251">
        <v>3838749.37</v>
      </c>
      <c r="AI63" s="251">
        <v>3624806.99</v>
      </c>
      <c r="AJ63" s="251">
        <v>4215321.0699999994</v>
      </c>
      <c r="AK63" s="251">
        <v>4190659.87</v>
      </c>
      <c r="AL63" s="13">
        <v>4697186.0599999996</v>
      </c>
      <c r="AM63" s="13">
        <v>5442411.8700000001</v>
      </c>
      <c r="AN63" s="13">
        <v>4885703.83</v>
      </c>
      <c r="AO63" s="13">
        <v>4712006.57</v>
      </c>
      <c r="AP63" s="13">
        <v>4885942.7300000004</v>
      </c>
      <c r="AQ63" s="13">
        <v>3900281.31</v>
      </c>
      <c r="AR63" s="13">
        <v>4473726.1399999997</v>
      </c>
      <c r="AS63" s="13">
        <v>4209135.53</v>
      </c>
      <c r="AT63" s="13">
        <v>4345876.99</v>
      </c>
      <c r="AU63" s="13">
        <v>4131367.14</v>
      </c>
      <c r="AV63" s="13">
        <v>4178835.1</v>
      </c>
      <c r="AW63" s="13">
        <v>5325725.6500000004</v>
      </c>
      <c r="AY63" s="244">
        <f t="shared" si="72"/>
        <v>33005726.999999996</v>
      </c>
      <c r="AZ63" s="244">
        <f t="shared" si="73"/>
        <v>39459071.82</v>
      </c>
      <c r="BA63" s="244">
        <f t="shared" si="74"/>
        <v>45133639.579999998</v>
      </c>
      <c r="BB63" s="244">
        <f t="shared" si="75"/>
        <v>55188198.920000002</v>
      </c>
      <c r="BC63" s="284">
        <f t="shared" si="69"/>
        <v>5.0458957278079419E-2</v>
      </c>
      <c r="BD63" s="284">
        <f t="shared" si="70"/>
        <v>5.9877423577065096E-2</v>
      </c>
      <c r="BE63" s="284">
        <f t="shared" si="71"/>
        <v>7.0503036081878231E-2</v>
      </c>
      <c r="BF63" s="284">
        <f t="shared" si="76"/>
        <v>7.8614333674712225E-2</v>
      </c>
      <c r="BG63" s="284"/>
    </row>
    <row r="64" spans="1:59" x14ac:dyDescent="0.35">
      <c r="A64" s="294" t="s">
        <v>432</v>
      </c>
      <c r="B64" s="251">
        <v>3807163.52</v>
      </c>
      <c r="C64" s="251">
        <v>4105348.86</v>
      </c>
      <c r="D64" s="251">
        <v>3843581.68</v>
      </c>
      <c r="E64" s="251">
        <v>3608651.06</v>
      </c>
      <c r="F64" s="251">
        <v>2782971.05</v>
      </c>
      <c r="G64" s="251">
        <v>2592193.7400000002</v>
      </c>
      <c r="H64" s="251">
        <v>3018699.13</v>
      </c>
      <c r="I64" s="251">
        <v>3378730.45</v>
      </c>
      <c r="J64" s="251">
        <v>2907714.27</v>
      </c>
      <c r="K64" s="251">
        <v>3050920.61</v>
      </c>
      <c r="L64" s="251">
        <v>3092050.78</v>
      </c>
      <c r="M64" s="251">
        <v>2597295.8299999996</v>
      </c>
      <c r="N64" s="251">
        <v>3120865.22</v>
      </c>
      <c r="O64" s="251">
        <v>3470948.96</v>
      </c>
      <c r="P64" s="251">
        <v>3257704.34</v>
      </c>
      <c r="Q64" s="251">
        <v>3105798.54</v>
      </c>
      <c r="R64" s="251">
        <v>2699874.22</v>
      </c>
      <c r="S64" s="251">
        <v>2888012.0700000003</v>
      </c>
      <c r="T64" s="251">
        <v>3280857.43</v>
      </c>
      <c r="U64" s="251">
        <v>3421116.09</v>
      </c>
      <c r="V64" s="251">
        <v>3614125.86</v>
      </c>
      <c r="W64" s="251">
        <v>3280342.31</v>
      </c>
      <c r="X64" s="251">
        <v>2828190.61</v>
      </c>
      <c r="Y64" s="251">
        <v>2773450.49</v>
      </c>
      <c r="Z64" s="251">
        <v>3344163.4</v>
      </c>
      <c r="AA64" s="251">
        <v>3680652.73</v>
      </c>
      <c r="AB64" s="251">
        <v>2981536.9</v>
      </c>
      <c r="AC64" s="251">
        <v>3546649.91</v>
      </c>
      <c r="AD64" s="251">
        <v>2385681.9700000002</v>
      </c>
      <c r="AE64" s="251">
        <v>3024644.95</v>
      </c>
      <c r="AF64" s="251">
        <v>3252498.7800000003</v>
      </c>
      <c r="AG64" s="251">
        <v>3236783.6100000003</v>
      </c>
      <c r="AH64" s="251">
        <v>3280639.06</v>
      </c>
      <c r="AI64" s="251">
        <v>3057002.42</v>
      </c>
      <c r="AJ64" s="251">
        <v>3323548.45</v>
      </c>
      <c r="AK64" s="251">
        <v>2841310.59</v>
      </c>
      <c r="AL64" s="13">
        <v>4347052.04</v>
      </c>
      <c r="AM64" s="13">
        <v>4305685.12</v>
      </c>
      <c r="AN64" s="13">
        <v>3303634.52</v>
      </c>
      <c r="AO64" s="13">
        <v>3520586.57</v>
      </c>
      <c r="AP64" s="13">
        <v>2894533.41</v>
      </c>
      <c r="AQ64" s="13">
        <v>3546803.63</v>
      </c>
      <c r="AR64" s="13">
        <v>3709056.02</v>
      </c>
      <c r="AS64" s="13">
        <v>4137251.23</v>
      </c>
      <c r="AT64" s="13">
        <v>4535847.05</v>
      </c>
      <c r="AU64" s="13">
        <v>3143023.17</v>
      </c>
      <c r="AV64" s="13">
        <v>3648149.03</v>
      </c>
      <c r="AW64" s="13">
        <v>3539434.02</v>
      </c>
      <c r="AY64" s="244">
        <f t="shared" si="72"/>
        <v>38785320.979999997</v>
      </c>
      <c r="AZ64" s="244">
        <f t="shared" si="73"/>
        <v>37741286.140000001</v>
      </c>
      <c r="BA64" s="244">
        <f t="shared" si="74"/>
        <v>37955112.769999996</v>
      </c>
      <c r="BB64" s="244">
        <f t="shared" si="75"/>
        <v>44631055.810000002</v>
      </c>
      <c r="BC64" s="284">
        <f t="shared" si="69"/>
        <v>5.9294765855223169E-2</v>
      </c>
      <c r="BD64" s="284">
        <f t="shared" si="70"/>
        <v>5.7270758594037206E-2</v>
      </c>
      <c r="BE64" s="284">
        <f t="shared" si="71"/>
        <v>5.9289494709858427E-2</v>
      </c>
      <c r="BF64" s="284">
        <f t="shared" si="76"/>
        <v>6.3575923519231303E-2</v>
      </c>
      <c r="BG64" s="284"/>
    </row>
    <row r="65" spans="1:59" x14ac:dyDescent="0.35">
      <c r="A65" s="294"/>
      <c r="B65" s="13">
        <f t="shared" ref="B65:AV65" si="77">SUM(B60:B64)</f>
        <v>57941445.150000006</v>
      </c>
      <c r="C65" s="13">
        <f t="shared" si="77"/>
        <v>59068860.799999997</v>
      </c>
      <c r="D65" s="13">
        <f t="shared" si="77"/>
        <v>69102245.120000005</v>
      </c>
      <c r="E65" s="13">
        <f t="shared" si="77"/>
        <v>52844559.100000001</v>
      </c>
      <c r="F65" s="13">
        <f t="shared" si="77"/>
        <v>55606668.669999994</v>
      </c>
      <c r="G65" s="13">
        <f t="shared" si="77"/>
        <v>46621400.510000005</v>
      </c>
      <c r="H65" s="13">
        <f t="shared" si="77"/>
        <v>52927004.200000003</v>
      </c>
      <c r="I65" s="13">
        <f t="shared" si="77"/>
        <v>47660848.300000004</v>
      </c>
      <c r="J65" s="13">
        <f t="shared" si="77"/>
        <v>57276479.280000001</v>
      </c>
      <c r="K65" s="13">
        <f t="shared" si="77"/>
        <v>49189150.960000001</v>
      </c>
      <c r="L65" s="13">
        <f t="shared" si="77"/>
        <v>53464960.359999999</v>
      </c>
      <c r="M65" s="13">
        <f t="shared" si="77"/>
        <v>47375857.120000005</v>
      </c>
      <c r="N65" s="13">
        <f t="shared" si="77"/>
        <v>54273362.600000001</v>
      </c>
      <c r="O65" s="13">
        <f t="shared" si="77"/>
        <v>53311477.039999999</v>
      </c>
      <c r="P65" s="13">
        <f t="shared" si="77"/>
        <v>61178553.819999993</v>
      </c>
      <c r="Q65" s="13">
        <f t="shared" si="77"/>
        <v>51994948.409999989</v>
      </c>
      <c r="R65" s="13">
        <f t="shared" si="77"/>
        <v>53843958.240000002</v>
      </c>
      <c r="S65" s="13">
        <f t="shared" si="77"/>
        <v>47520106.43</v>
      </c>
      <c r="T65" s="13">
        <f t="shared" si="77"/>
        <v>51151761.989999995</v>
      </c>
      <c r="U65" s="13">
        <f t="shared" si="77"/>
        <v>55045882.540000007</v>
      </c>
      <c r="V65" s="13">
        <f t="shared" si="77"/>
        <v>69495144.560000002</v>
      </c>
      <c r="W65" s="13">
        <f t="shared" si="77"/>
        <v>48396079.300000004</v>
      </c>
      <c r="X65" s="13">
        <f t="shared" si="77"/>
        <v>52663551.620000005</v>
      </c>
      <c r="Y65" s="13">
        <f t="shared" si="77"/>
        <v>48955674.920000002</v>
      </c>
      <c r="Z65" s="13">
        <f t="shared" si="77"/>
        <v>58981432.620000005</v>
      </c>
      <c r="AA65" s="13">
        <f t="shared" si="77"/>
        <v>51360596.909999996</v>
      </c>
      <c r="AB65" s="13">
        <f t="shared" si="77"/>
        <v>64081636.879999995</v>
      </c>
      <c r="AC65" s="13">
        <f t="shared" si="77"/>
        <v>64335897.939999998</v>
      </c>
      <c r="AD65" s="13">
        <f t="shared" si="77"/>
        <v>54235821.979999997</v>
      </c>
      <c r="AE65" s="13">
        <f t="shared" si="77"/>
        <v>46726951.460000001</v>
      </c>
      <c r="AF65" s="13">
        <f t="shared" si="77"/>
        <v>51578884.350000001</v>
      </c>
      <c r="AG65" s="13">
        <f t="shared" si="77"/>
        <v>56056329.409999996</v>
      </c>
      <c r="AH65" s="13">
        <f t="shared" si="77"/>
        <v>51005989.640000001</v>
      </c>
      <c r="AI65" s="13">
        <f t="shared" si="77"/>
        <v>51284641.699999996</v>
      </c>
      <c r="AJ65" s="13">
        <f t="shared" si="77"/>
        <v>51472762.840000011</v>
      </c>
      <c r="AK65" s="13">
        <f t="shared" si="77"/>
        <v>48885825.450000003</v>
      </c>
      <c r="AL65" s="13">
        <f t="shared" si="77"/>
        <v>70919111.620000005</v>
      </c>
      <c r="AM65" s="13">
        <f t="shared" si="77"/>
        <v>57587243.029999994</v>
      </c>
      <c r="AN65" s="13">
        <f t="shared" si="77"/>
        <v>63850348.82</v>
      </c>
      <c r="AO65" s="13">
        <f t="shared" si="77"/>
        <v>54101188.299999997</v>
      </c>
      <c r="AP65" s="13">
        <f t="shared" si="77"/>
        <v>54949609.739999995</v>
      </c>
      <c r="AQ65" s="13">
        <f t="shared" si="77"/>
        <v>51532559.980000004</v>
      </c>
      <c r="AR65" s="13">
        <f t="shared" si="77"/>
        <v>60239153.600000001</v>
      </c>
      <c r="AS65" s="13">
        <f t="shared" si="77"/>
        <v>63778140.409999996</v>
      </c>
      <c r="AT65" s="13">
        <f t="shared" si="77"/>
        <v>58883039.130000003</v>
      </c>
      <c r="AU65" s="13">
        <f t="shared" si="77"/>
        <v>60847651.310000002</v>
      </c>
      <c r="AV65" s="13">
        <f t="shared" si="77"/>
        <v>49021633.490000002</v>
      </c>
      <c r="AW65" s="13">
        <f>SUM(AW60:AW64)</f>
        <v>56302235.450000003</v>
      </c>
      <c r="AY65" s="244">
        <f t="shared" si="72"/>
        <v>649079479.57000005</v>
      </c>
      <c r="AZ65" s="244">
        <f t="shared" si="73"/>
        <v>647830501.46999991</v>
      </c>
      <c r="BA65" s="244">
        <f t="shared" si="74"/>
        <v>650006771.18000007</v>
      </c>
      <c r="BB65" s="244">
        <f t="shared" si="75"/>
        <v>702011914.88000011</v>
      </c>
      <c r="BC65" s="285">
        <f t="shared" ref="BC65" si="78">SUM(BC60:BC64)</f>
        <v>0.99230881142841221</v>
      </c>
      <c r="BD65" s="285">
        <f t="shared" ref="BD65" si="79">SUM(BD60:BD64)</f>
        <v>0.98305458170966364</v>
      </c>
      <c r="BE65" s="285">
        <f t="shared" ref="BE65" si="80">SUM(BE60:BE64)</f>
        <v>1.0153723756476345</v>
      </c>
      <c r="BF65" s="285">
        <f t="shared" ref="BF65" si="81">SUM(BF60:BF64)</f>
        <v>1</v>
      </c>
      <c r="BG65" s="285"/>
    </row>
    <row r="66" spans="1:59" x14ac:dyDescent="0.35">
      <c r="A66" s="143" t="s">
        <v>517</v>
      </c>
    </row>
    <row r="67" spans="1:59" x14ac:dyDescent="0.35">
      <c r="A67" s="294" t="s">
        <v>514</v>
      </c>
      <c r="B67" s="251">
        <v>2505257.71</v>
      </c>
      <c r="C67" s="251">
        <v>2553378.7799999998</v>
      </c>
      <c r="D67" s="251">
        <v>3118222.13</v>
      </c>
      <c r="E67" s="251">
        <v>2288516.88</v>
      </c>
      <c r="F67" s="251">
        <v>2458540.2599999998</v>
      </c>
      <c r="G67" s="251">
        <v>2060175.37</v>
      </c>
      <c r="H67" s="251">
        <v>2388993.67</v>
      </c>
      <c r="I67" s="251">
        <v>2059358.26</v>
      </c>
      <c r="J67" s="251">
        <v>2616239.14</v>
      </c>
      <c r="K67" s="251">
        <v>2163821.5699999998</v>
      </c>
      <c r="L67" s="251">
        <v>2422411.2400000002</v>
      </c>
      <c r="M67" s="251">
        <v>2141319.44</v>
      </c>
      <c r="N67" s="251">
        <v>2536909.42</v>
      </c>
      <c r="O67" s="251">
        <v>2470237.4300000002</v>
      </c>
      <c r="P67" s="251">
        <v>2925987.42</v>
      </c>
      <c r="Q67" s="251">
        <v>2399085.88</v>
      </c>
      <c r="R67" s="251">
        <v>2512062.2799999998</v>
      </c>
      <c r="S67" s="251">
        <v>2224559.2599999998</v>
      </c>
      <c r="T67" s="251">
        <v>2473508.27</v>
      </c>
      <c r="U67" s="251">
        <v>2586203.85</v>
      </c>
      <c r="V67" s="251">
        <v>3338476.15</v>
      </c>
      <c r="W67" s="251">
        <v>2237482.6</v>
      </c>
      <c r="X67" s="251">
        <v>2561652.37</v>
      </c>
      <c r="Y67" s="251">
        <v>2296117.7400000002</v>
      </c>
      <c r="Z67" s="251">
        <v>2909410.95</v>
      </c>
      <c r="AA67" s="251">
        <v>2428777.12</v>
      </c>
      <c r="AB67" s="251">
        <v>3215040.19</v>
      </c>
      <c r="AC67" s="251">
        <v>3097254.4</v>
      </c>
      <c r="AD67" s="251">
        <v>2677385.66</v>
      </c>
      <c r="AE67" s="251">
        <v>1987757.48</v>
      </c>
      <c r="AF67" s="251">
        <v>2108722.04</v>
      </c>
      <c r="AG67" s="251">
        <v>2036729.38</v>
      </c>
      <c r="AH67" s="251">
        <v>1758941.3</v>
      </c>
      <c r="AI67" s="251">
        <v>1817101.19</v>
      </c>
      <c r="AJ67" s="251">
        <v>1797746.39</v>
      </c>
      <c r="AK67" s="251">
        <v>1694430.36</v>
      </c>
      <c r="AL67" s="13">
        <v>2643310.4</v>
      </c>
      <c r="AM67" s="13">
        <v>2005622.04</v>
      </c>
      <c r="AN67" s="13">
        <v>2315363.21</v>
      </c>
      <c r="AO67" s="13">
        <v>1894138.73</v>
      </c>
      <c r="AP67" s="13">
        <v>1953911.24</v>
      </c>
      <c r="AQ67" s="13">
        <v>1799085.08</v>
      </c>
      <c r="AR67" s="13">
        <v>2112321.9700000002</v>
      </c>
      <c r="AS67" s="13">
        <v>2237750.52</v>
      </c>
      <c r="AT67" s="13">
        <v>2016549.87</v>
      </c>
      <c r="AU67" s="13">
        <v>2200224.75</v>
      </c>
      <c r="AV67" s="13">
        <v>1674574.92</v>
      </c>
      <c r="AW67" s="13">
        <v>1917624.17</v>
      </c>
    </row>
    <row r="68" spans="1:59" x14ac:dyDescent="0.35">
      <c r="A68" s="294" t="s">
        <v>515</v>
      </c>
      <c r="B68" s="251">
        <v>1000243.64</v>
      </c>
      <c r="C68" s="251">
        <v>1025162.71</v>
      </c>
      <c r="D68" s="251">
        <v>1172458.6399999999</v>
      </c>
      <c r="E68" s="251">
        <v>930753.97</v>
      </c>
      <c r="F68" s="251">
        <v>995718.91</v>
      </c>
      <c r="G68" s="251">
        <v>890673.21</v>
      </c>
      <c r="H68" s="251">
        <v>1067158.75</v>
      </c>
      <c r="I68" s="251">
        <v>930274.52</v>
      </c>
      <c r="J68" s="251">
        <v>1128803.17</v>
      </c>
      <c r="K68" s="251">
        <v>962859.78</v>
      </c>
      <c r="L68" s="251">
        <v>1080376.3799999999</v>
      </c>
      <c r="M68" s="251">
        <v>985068.59</v>
      </c>
      <c r="N68" s="251">
        <v>1029867.96</v>
      </c>
      <c r="O68" s="251">
        <v>1027977.18</v>
      </c>
      <c r="P68" s="251">
        <v>1162513.6399999999</v>
      </c>
      <c r="Q68" s="251">
        <v>1028844.07</v>
      </c>
      <c r="R68" s="251">
        <v>1092749.55</v>
      </c>
      <c r="S68" s="251">
        <v>993799.83</v>
      </c>
      <c r="T68" s="251">
        <v>1071005.53</v>
      </c>
      <c r="U68" s="251">
        <v>1175565.9099999999</v>
      </c>
      <c r="V68" s="251">
        <v>1517824.63</v>
      </c>
      <c r="W68" s="251">
        <v>1020525.31</v>
      </c>
      <c r="X68" s="251">
        <v>1150301.83</v>
      </c>
      <c r="Y68" s="251">
        <v>1057824.3700000001</v>
      </c>
      <c r="Z68" s="251">
        <v>1148983.8</v>
      </c>
      <c r="AA68" s="251">
        <v>1010956.56</v>
      </c>
      <c r="AB68" s="251">
        <v>1275916.9099999999</v>
      </c>
      <c r="AC68" s="251">
        <v>1336111.24</v>
      </c>
      <c r="AD68" s="251">
        <v>1135628.1299999999</v>
      </c>
      <c r="AE68" s="251">
        <v>855105.87</v>
      </c>
      <c r="AF68" s="251">
        <v>901981.43</v>
      </c>
      <c r="AG68" s="251">
        <v>893135.74</v>
      </c>
      <c r="AH68" s="251">
        <v>771799.57</v>
      </c>
      <c r="AI68" s="251">
        <v>774091.82</v>
      </c>
      <c r="AJ68" s="251">
        <v>776159.57</v>
      </c>
      <c r="AK68" s="251">
        <v>723978.27</v>
      </c>
      <c r="AL68" s="13">
        <v>966658.77</v>
      </c>
      <c r="AM68" s="13">
        <v>775658.87</v>
      </c>
      <c r="AN68" s="13">
        <v>913643.62</v>
      </c>
      <c r="AO68" s="13">
        <v>773421.92</v>
      </c>
      <c r="AP68" s="13">
        <v>797007.73</v>
      </c>
      <c r="AQ68" s="13">
        <v>764493.84</v>
      </c>
      <c r="AR68" s="13">
        <v>892893.32</v>
      </c>
      <c r="AS68" s="13">
        <v>934585.06</v>
      </c>
      <c r="AT68" s="13">
        <v>846491.39</v>
      </c>
      <c r="AU68" s="13">
        <v>904883.19</v>
      </c>
      <c r="AV68" s="13">
        <v>734345.77</v>
      </c>
      <c r="AW68" s="13">
        <v>823953.37</v>
      </c>
    </row>
    <row r="69" spans="1:59" x14ac:dyDescent="0.35">
      <c r="A69" s="294" t="s">
        <v>516</v>
      </c>
      <c r="B69" s="251">
        <v>1355311.39</v>
      </c>
      <c r="C69" s="251">
        <v>1344149.91</v>
      </c>
      <c r="D69" s="251">
        <v>1614814.19</v>
      </c>
      <c r="E69" s="251">
        <v>1207431.57</v>
      </c>
      <c r="F69" s="251">
        <v>1317380.8700000001</v>
      </c>
      <c r="G69" s="251">
        <v>1184422.8</v>
      </c>
      <c r="H69" s="251">
        <v>1405038.66</v>
      </c>
      <c r="I69" s="251">
        <v>1329301.19</v>
      </c>
      <c r="J69" s="251">
        <v>1581636.68</v>
      </c>
      <c r="K69" s="251">
        <v>1380432.89</v>
      </c>
      <c r="L69" s="251">
        <v>1408346.72</v>
      </c>
      <c r="M69" s="251">
        <v>1332657.46</v>
      </c>
      <c r="N69" s="251">
        <v>1571863.05</v>
      </c>
      <c r="O69" s="251">
        <v>1498431.68</v>
      </c>
      <c r="P69" s="251">
        <v>1776433.43</v>
      </c>
      <c r="Q69" s="251">
        <v>1476718.38</v>
      </c>
      <c r="R69" s="251">
        <v>1584364.9</v>
      </c>
      <c r="S69" s="251">
        <v>1401147.84</v>
      </c>
      <c r="T69" s="251">
        <v>1464546.86</v>
      </c>
      <c r="U69" s="251">
        <v>1765862.6</v>
      </c>
      <c r="V69" s="251">
        <v>2299739.46</v>
      </c>
      <c r="W69" s="251">
        <v>1544559.01</v>
      </c>
      <c r="X69" s="251">
        <v>1573162.85</v>
      </c>
      <c r="Y69" s="251">
        <v>1458393.38</v>
      </c>
      <c r="Z69" s="251">
        <v>1747200.78</v>
      </c>
      <c r="AA69" s="251">
        <v>1448697.98</v>
      </c>
      <c r="AB69" s="251">
        <v>1924136.76</v>
      </c>
      <c r="AC69" s="251">
        <v>1936539.61</v>
      </c>
      <c r="AD69" s="251">
        <v>1594148.92</v>
      </c>
      <c r="AE69" s="251">
        <v>1170841.32</v>
      </c>
      <c r="AF69" s="251">
        <v>1285455.8799999999</v>
      </c>
      <c r="AG69" s="251">
        <v>1329053.81</v>
      </c>
      <c r="AH69" s="251">
        <v>1152346.6399999999</v>
      </c>
      <c r="AI69" s="251">
        <v>1123473.56</v>
      </c>
      <c r="AJ69" s="251">
        <v>1071132.6299999999</v>
      </c>
      <c r="AK69" s="251">
        <v>1078217.75</v>
      </c>
      <c r="AL69" s="13">
        <v>1456512.62</v>
      </c>
      <c r="AM69" s="13">
        <v>1164111.93</v>
      </c>
      <c r="AN69" s="13">
        <v>1375841.81</v>
      </c>
      <c r="AO69" s="13">
        <v>1133446.51</v>
      </c>
      <c r="AP69" s="13">
        <v>1149500.96</v>
      </c>
      <c r="AQ69" s="13">
        <v>1093400.72</v>
      </c>
      <c r="AR69" s="13">
        <v>1327952.43</v>
      </c>
      <c r="AS69" s="13">
        <v>1460240.54</v>
      </c>
      <c r="AT69" s="13">
        <v>1316336.1299999999</v>
      </c>
      <c r="AU69" s="13">
        <v>1332834.7</v>
      </c>
      <c r="AV69" s="13">
        <v>1005809.55</v>
      </c>
      <c r="AW69" s="13">
        <v>1210400.95</v>
      </c>
    </row>
    <row r="70" spans="1:59" x14ac:dyDescent="0.35">
      <c r="A70" s="294" t="s">
        <v>431</v>
      </c>
      <c r="B70" s="251">
        <v>270710.71041999996</v>
      </c>
      <c r="C70" s="251">
        <v>282385.88663999998</v>
      </c>
      <c r="D70" s="251">
        <v>259001.05175999997</v>
      </c>
      <c r="E70" s="251">
        <v>239873.40871999998</v>
      </c>
      <c r="F70" s="251">
        <v>259272.79117999997</v>
      </c>
      <c r="G70" s="251">
        <v>223691.94466000001</v>
      </c>
      <c r="H70" s="251">
        <v>229840.42825999999</v>
      </c>
      <c r="I70" s="251">
        <v>249890.82388000001</v>
      </c>
      <c r="J70" s="251">
        <v>243380.22783999998</v>
      </c>
      <c r="K70" s="251">
        <v>246660.69342000003</v>
      </c>
      <c r="L70" s="251">
        <v>248573.02275999999</v>
      </c>
      <c r="M70" s="251">
        <v>274811.48707000003</v>
      </c>
      <c r="N70" s="251">
        <v>341146.84788000002</v>
      </c>
      <c r="O70" s="251">
        <v>345027.88683000003</v>
      </c>
      <c r="P70" s="251">
        <v>340030.86777000001</v>
      </c>
      <c r="Q70" s="251">
        <v>347320.55259000004</v>
      </c>
      <c r="R70" s="251">
        <v>336949.44926999998</v>
      </c>
      <c r="S70" s="251">
        <v>304678.86167000001</v>
      </c>
      <c r="T70" s="251">
        <v>320938.35493999999</v>
      </c>
      <c r="U70" s="251">
        <v>327757.2991</v>
      </c>
      <c r="V70" s="251">
        <v>333044.85560000001</v>
      </c>
      <c r="W70" s="251">
        <v>317799.93374999997</v>
      </c>
      <c r="X70" s="251">
        <v>302503.63756</v>
      </c>
      <c r="Y70" s="251">
        <v>378432.03219999996</v>
      </c>
      <c r="Z70" s="251">
        <v>389825.62542999996</v>
      </c>
      <c r="AA70" s="251">
        <v>417759.22954999999</v>
      </c>
      <c r="AB70" s="251">
        <v>390365.40928999998</v>
      </c>
      <c r="AC70" s="251">
        <v>443725.50379999995</v>
      </c>
      <c r="AD70" s="251">
        <v>307767.22193</v>
      </c>
      <c r="AE70" s="251">
        <v>321980.30995000002</v>
      </c>
      <c r="AF70" s="251">
        <v>332232.74659</v>
      </c>
      <c r="AG70" s="251">
        <v>249766.31193999999</v>
      </c>
      <c r="AH70" s="251">
        <v>296710.06815000001</v>
      </c>
      <c r="AI70" s="251">
        <v>280637.74080999999</v>
      </c>
      <c r="AJ70" s="251">
        <v>324579.75991000002</v>
      </c>
      <c r="AK70" s="251">
        <v>322701.84956999996</v>
      </c>
      <c r="AL70" s="13">
        <v>361714.86008000001</v>
      </c>
      <c r="AM70" s="13">
        <v>419070.30346999998</v>
      </c>
      <c r="AN70" s="13">
        <v>376217.45368999999</v>
      </c>
      <c r="AO70" s="13">
        <v>362824.50589000003</v>
      </c>
      <c r="AP70" s="13">
        <v>377765.24604999996</v>
      </c>
      <c r="AQ70" s="13">
        <v>300321.66087000002</v>
      </c>
      <c r="AR70" s="13">
        <v>344476.91277999996</v>
      </c>
      <c r="AS70" s="13">
        <v>324103.43581</v>
      </c>
      <c r="AT70" s="13">
        <v>334632.52823</v>
      </c>
      <c r="AU70" s="13">
        <v>318115.26978000003</v>
      </c>
      <c r="AV70" s="13">
        <v>321770.3027</v>
      </c>
      <c r="AW70" s="13">
        <v>410080.87505000003</v>
      </c>
    </row>
    <row r="71" spans="1:59" x14ac:dyDescent="0.35">
      <c r="A71" s="294" t="s">
        <v>432</v>
      </c>
      <c r="B71" s="251">
        <v>392137.84255999996</v>
      </c>
      <c r="C71" s="251">
        <v>422850.93257999996</v>
      </c>
      <c r="D71" s="251">
        <v>395888.91304000001</v>
      </c>
      <c r="E71" s="251">
        <v>371691.05917999998</v>
      </c>
      <c r="F71" s="251">
        <v>287597.82733</v>
      </c>
      <c r="G71" s="251">
        <v>285141.31140000001</v>
      </c>
      <c r="H71" s="251">
        <v>332056.90429999999</v>
      </c>
      <c r="I71" s="251">
        <v>371660.34950000001</v>
      </c>
      <c r="J71" s="251">
        <v>319848.56969999999</v>
      </c>
      <c r="K71" s="251">
        <v>335601.2671</v>
      </c>
      <c r="L71" s="251">
        <v>340780.95805999998</v>
      </c>
      <c r="M71" s="251">
        <v>301284.48759999999</v>
      </c>
      <c r="N71" s="251">
        <v>362020.36552000005</v>
      </c>
      <c r="O71" s="251">
        <v>402630.07936000003</v>
      </c>
      <c r="P71" s="251">
        <v>377893.70344000001</v>
      </c>
      <c r="Q71" s="251">
        <v>360272.63064000005</v>
      </c>
      <c r="R71" s="251">
        <v>313730.05157000001</v>
      </c>
      <c r="S71" s="251">
        <v>349251.49997</v>
      </c>
      <c r="T71" s="251">
        <v>396983.74903000001</v>
      </c>
      <c r="U71" s="251">
        <v>413955.04689</v>
      </c>
      <c r="V71" s="251">
        <v>437309.22905999998</v>
      </c>
      <c r="W71" s="251">
        <v>396921.41950999998</v>
      </c>
      <c r="X71" s="251">
        <v>342211.06380999996</v>
      </c>
      <c r="Y71" s="251">
        <v>335587.50929000002</v>
      </c>
      <c r="Z71" s="251">
        <v>404643.77139999997</v>
      </c>
      <c r="AA71" s="251">
        <v>445358.98032999999</v>
      </c>
      <c r="AB71" s="251">
        <v>360765.96489999996</v>
      </c>
      <c r="AC71" s="251">
        <v>429144.63910999999</v>
      </c>
      <c r="AD71" s="251">
        <v>287867.05911999999</v>
      </c>
      <c r="AE71" s="251">
        <v>322030.05940000003</v>
      </c>
      <c r="AF71" s="251">
        <v>340877.86379999999</v>
      </c>
      <c r="AG71" s="251">
        <v>291927.82074</v>
      </c>
      <c r="AH71" s="251">
        <v>295270.47836000001</v>
      </c>
      <c r="AI71" s="251">
        <v>275589.79988000001</v>
      </c>
      <c r="AJ71" s="251">
        <v>299119.36050000001</v>
      </c>
      <c r="AK71" s="251">
        <v>255833.50445999997</v>
      </c>
      <c r="AL71" s="13">
        <v>392560.65223999997</v>
      </c>
      <c r="AM71" s="13">
        <v>387511.66080000001</v>
      </c>
      <c r="AN71" s="13">
        <v>297346.27271999995</v>
      </c>
      <c r="AO71" s="13">
        <v>316852.79129999998</v>
      </c>
      <c r="AP71" s="13">
        <v>260508.00690000001</v>
      </c>
      <c r="AQ71" s="13">
        <v>315691.85183</v>
      </c>
      <c r="AR71" s="13">
        <v>330132.89018999995</v>
      </c>
      <c r="AS71" s="13">
        <v>368215.35946999997</v>
      </c>
      <c r="AT71" s="13">
        <v>403690.38744999998</v>
      </c>
      <c r="AU71" s="13">
        <v>279736.27522000001</v>
      </c>
      <c r="AV71" s="13">
        <v>324685.26366999996</v>
      </c>
      <c r="AW71" s="13">
        <v>315009.62777999998</v>
      </c>
    </row>
    <row r="72" spans="1:59" x14ac:dyDescent="0.35">
      <c r="A72" s="143"/>
      <c r="B72" s="13">
        <f t="shared" ref="B72:AV72" si="82">SUM(B67:B71)</f>
        <v>5523661.2929800004</v>
      </c>
      <c r="C72" s="13">
        <f t="shared" si="82"/>
        <v>5627928.2192199994</v>
      </c>
      <c r="D72" s="13">
        <f t="shared" si="82"/>
        <v>6560384.9247999992</v>
      </c>
      <c r="E72" s="13">
        <f t="shared" si="82"/>
        <v>5038266.8878999995</v>
      </c>
      <c r="F72" s="13">
        <f t="shared" si="82"/>
        <v>5318510.6585099995</v>
      </c>
      <c r="G72" s="13">
        <f t="shared" si="82"/>
        <v>4644104.6360599995</v>
      </c>
      <c r="H72" s="13">
        <f t="shared" si="82"/>
        <v>5423088.4125600001</v>
      </c>
      <c r="I72" s="13">
        <f t="shared" si="82"/>
        <v>4940485.1433800012</v>
      </c>
      <c r="J72" s="13">
        <f t="shared" si="82"/>
        <v>5889907.7875399999</v>
      </c>
      <c r="K72" s="13">
        <f t="shared" si="82"/>
        <v>5089376.2005199995</v>
      </c>
      <c r="L72" s="13">
        <f t="shared" si="82"/>
        <v>5500488.32082</v>
      </c>
      <c r="M72" s="13">
        <f t="shared" si="82"/>
        <v>5035141.4646699997</v>
      </c>
      <c r="N72" s="13">
        <f t="shared" si="82"/>
        <v>5841807.6434000004</v>
      </c>
      <c r="O72" s="13">
        <f t="shared" si="82"/>
        <v>5744304.2561900001</v>
      </c>
      <c r="P72" s="13">
        <f t="shared" si="82"/>
        <v>6582859.06121</v>
      </c>
      <c r="Q72" s="13">
        <f t="shared" si="82"/>
        <v>5612241.5132300006</v>
      </c>
      <c r="R72" s="13">
        <f t="shared" si="82"/>
        <v>5839856.2308400003</v>
      </c>
      <c r="S72" s="13">
        <f t="shared" si="82"/>
        <v>5273437.2916400004</v>
      </c>
      <c r="T72" s="13">
        <f t="shared" si="82"/>
        <v>5726982.7639699997</v>
      </c>
      <c r="U72" s="13">
        <f t="shared" si="82"/>
        <v>6269344.7059899997</v>
      </c>
      <c r="V72" s="13">
        <f t="shared" si="82"/>
        <v>7926394.3246599995</v>
      </c>
      <c r="W72" s="13">
        <f t="shared" si="82"/>
        <v>5517288.2732600002</v>
      </c>
      <c r="X72" s="13">
        <f t="shared" si="82"/>
        <v>5929831.7513700007</v>
      </c>
      <c r="Y72" s="13">
        <f t="shared" si="82"/>
        <v>5526355.0314900009</v>
      </c>
      <c r="Z72" s="13">
        <f t="shared" si="82"/>
        <v>6600064.9268300002</v>
      </c>
      <c r="AA72" s="13">
        <f t="shared" si="82"/>
        <v>5751549.8698800001</v>
      </c>
      <c r="AB72" s="13">
        <f t="shared" si="82"/>
        <v>7166225.2341899993</v>
      </c>
      <c r="AC72" s="13">
        <f t="shared" si="82"/>
        <v>7242775.3929099999</v>
      </c>
      <c r="AD72" s="13">
        <f t="shared" si="82"/>
        <v>6002796.9910500003</v>
      </c>
      <c r="AE72" s="13">
        <f t="shared" si="82"/>
        <v>4657715.0393499993</v>
      </c>
      <c r="AF72" s="13">
        <f t="shared" si="82"/>
        <v>4969269.9603899997</v>
      </c>
      <c r="AG72" s="13">
        <f t="shared" si="82"/>
        <v>4800613.0626800004</v>
      </c>
      <c r="AH72" s="13">
        <f t="shared" si="82"/>
        <v>4275068.0565099996</v>
      </c>
      <c r="AI72" s="13">
        <f t="shared" si="82"/>
        <v>4270894.1106899995</v>
      </c>
      <c r="AJ72" s="13">
        <f t="shared" si="82"/>
        <v>4268737.7104099998</v>
      </c>
      <c r="AK72" s="13">
        <f t="shared" si="82"/>
        <v>4075161.7340299999</v>
      </c>
      <c r="AL72" s="13">
        <f t="shared" si="82"/>
        <v>5820757.3023199998</v>
      </c>
      <c r="AM72" s="13">
        <f t="shared" si="82"/>
        <v>4751974.8042699993</v>
      </c>
      <c r="AN72" s="13">
        <f t="shared" si="82"/>
        <v>5278412.3664100002</v>
      </c>
      <c r="AO72" s="13">
        <f t="shared" si="82"/>
        <v>4480684.4571900005</v>
      </c>
      <c r="AP72" s="13">
        <f t="shared" si="82"/>
        <v>4538693.1829500003</v>
      </c>
      <c r="AQ72" s="13">
        <f t="shared" si="82"/>
        <v>4272993.1526999995</v>
      </c>
      <c r="AR72" s="13">
        <f t="shared" si="82"/>
        <v>5007777.5229699994</v>
      </c>
      <c r="AS72" s="13">
        <f t="shared" si="82"/>
        <v>5324894.9152799994</v>
      </c>
      <c r="AT72" s="13">
        <f t="shared" si="82"/>
        <v>4917700.3056800002</v>
      </c>
      <c r="AU72" s="13">
        <f t="shared" si="82"/>
        <v>5035794.1849999996</v>
      </c>
      <c r="AV72" s="13">
        <f t="shared" si="82"/>
        <v>4061185.8063699999</v>
      </c>
      <c r="AW72" s="13">
        <f>SUM(AW67:AW71)</f>
        <v>4677068.9928299999</v>
      </c>
    </row>
    <row r="73" spans="1:59" x14ac:dyDescent="0.35">
      <c r="A73" s="143" t="s">
        <v>518</v>
      </c>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row>
    <row r="74" spans="1:59" x14ac:dyDescent="0.35">
      <c r="A74" s="294" t="s">
        <v>514</v>
      </c>
      <c r="B74" s="248">
        <f t="shared" ref="B74" si="83">B67/B60</f>
        <v>7.6911468276306336E-2</v>
      </c>
      <c r="C74" s="248">
        <f t="shared" ref="C74:AV78" si="84">C67/C60</f>
        <v>7.6999867103107855E-2</v>
      </c>
      <c r="D74" s="248">
        <f t="shared" si="84"/>
        <v>7.7000022643258823E-2</v>
      </c>
      <c r="E74" s="248">
        <f t="shared" si="84"/>
        <v>7.69998931612072E-2</v>
      </c>
      <c r="F74" s="248">
        <f t="shared" si="84"/>
        <v>7.7196664566760234E-2</v>
      </c>
      <c r="G74" s="248">
        <f t="shared" si="84"/>
        <v>7.8530835299476423E-2</v>
      </c>
      <c r="H74" s="248">
        <f t="shared" si="84"/>
        <v>7.9882119746765928E-2</v>
      </c>
      <c r="I74" s="248">
        <f t="shared" si="84"/>
        <v>7.9999983435619926E-2</v>
      </c>
      <c r="J74" s="248">
        <f t="shared" si="84"/>
        <v>7.9999674746651664E-2</v>
      </c>
      <c r="K74" s="248">
        <f t="shared" si="84"/>
        <v>8.0000012496411255E-2</v>
      </c>
      <c r="L74" s="248">
        <f t="shared" si="84"/>
        <v>8.0196008809423167E-2</v>
      </c>
      <c r="M74" s="248">
        <f t="shared" si="84"/>
        <v>8.1590912528501661E-2</v>
      </c>
      <c r="N74" s="248">
        <f t="shared" si="84"/>
        <v>8.2851536731383568E-2</v>
      </c>
      <c r="O74" s="248">
        <f t="shared" si="84"/>
        <v>8.3000002836176867E-2</v>
      </c>
      <c r="P74" s="248">
        <f t="shared" si="84"/>
        <v>8.2999772945003783E-2</v>
      </c>
      <c r="Q74" s="248">
        <f t="shared" si="84"/>
        <v>8.3000011820937414E-2</v>
      </c>
      <c r="R74" s="248">
        <f t="shared" si="84"/>
        <v>8.3227038551884472E-2</v>
      </c>
      <c r="S74" s="248">
        <f t="shared" si="84"/>
        <v>8.5086057871586684E-2</v>
      </c>
      <c r="T74" s="248">
        <f t="shared" si="84"/>
        <v>8.6837183085920644E-2</v>
      </c>
      <c r="U74" s="248">
        <f t="shared" si="84"/>
        <v>8.6999934689594091E-2</v>
      </c>
      <c r="V74" s="248">
        <f t="shared" si="84"/>
        <v>8.7000703088754752E-2</v>
      </c>
      <c r="W74" s="248">
        <f t="shared" si="84"/>
        <v>8.7000020447788401E-2</v>
      </c>
      <c r="X74" s="248">
        <f t="shared" si="84"/>
        <v>8.7000021968279106E-2</v>
      </c>
      <c r="Y74" s="248">
        <f t="shared" si="84"/>
        <v>8.7000003596523046E-2</v>
      </c>
      <c r="Z74" s="248">
        <f t="shared" si="84"/>
        <v>8.6999997196597567E-2</v>
      </c>
      <c r="AA74" s="248">
        <f t="shared" si="84"/>
        <v>8.7000009382821625E-2</v>
      </c>
      <c r="AB74" s="248">
        <f t="shared" si="84"/>
        <v>8.7000021570864769E-2</v>
      </c>
      <c r="AC74" s="248">
        <f t="shared" si="84"/>
        <v>8.7000000140166081E-2</v>
      </c>
      <c r="AD74" s="248">
        <f t="shared" si="84"/>
        <v>8.6056530776773374E-2</v>
      </c>
      <c r="AE74" s="248">
        <f t="shared" si="84"/>
        <v>7.818992513764618E-2</v>
      </c>
      <c r="AF74" s="248">
        <f t="shared" si="84"/>
        <v>7.4868188408604722E-2</v>
      </c>
      <c r="AG74" s="248">
        <f t="shared" si="84"/>
        <v>6.6421994011989186E-2</v>
      </c>
      <c r="AH74" s="248">
        <f t="shared" si="84"/>
        <v>6.5042461646242153E-2</v>
      </c>
      <c r="AI74" s="248">
        <f t="shared" si="84"/>
        <v>6.5016349679836119E-2</v>
      </c>
      <c r="AJ74" s="248">
        <f t="shared" si="84"/>
        <v>6.5012577598462351E-2</v>
      </c>
      <c r="AK74" s="248">
        <f t="shared" si="84"/>
        <v>6.5005027820928332E-2</v>
      </c>
      <c r="AL74" s="248">
        <f t="shared" si="84"/>
        <v>6.5000970877022834E-2</v>
      </c>
      <c r="AM74" s="248">
        <f t="shared" si="84"/>
        <v>6.5000598531418041E-2</v>
      </c>
      <c r="AN74" s="248">
        <f t="shared" si="84"/>
        <v>6.5000268208270623E-2</v>
      </c>
      <c r="AO74" s="248">
        <f t="shared" si="84"/>
        <v>6.5000000036032207E-2</v>
      </c>
      <c r="AP74" s="248">
        <f t="shared" si="84"/>
        <v>6.4999999898536845E-2</v>
      </c>
      <c r="AQ74" s="248">
        <f t="shared" si="84"/>
        <v>6.4999999953031684E-2</v>
      </c>
      <c r="AR74" s="248">
        <f t="shared" si="84"/>
        <v>6.5000000133857441E-2</v>
      </c>
      <c r="AS74" s="248">
        <f t="shared" si="84"/>
        <v>6.5000000088593426E-2</v>
      </c>
      <c r="AT74" s="248">
        <f t="shared" si="84"/>
        <v>6.4999999924251817E-2</v>
      </c>
      <c r="AU74" s="248">
        <f t="shared" si="84"/>
        <v>6.4999999977843184E-2</v>
      </c>
      <c r="AV74" s="248">
        <f t="shared" si="84"/>
        <v>6.5000000143618536E-2</v>
      </c>
      <c r="AW74" s="248">
        <f>AW67/AW60</f>
        <v>6.5000000127110408E-2</v>
      </c>
    </row>
    <row r="75" spans="1:59" x14ac:dyDescent="0.35">
      <c r="A75" s="294" t="s">
        <v>515</v>
      </c>
      <c r="B75" s="248">
        <f t="shared" ref="B75" si="85">B68/B61</f>
        <v>0.1138645461864965</v>
      </c>
      <c r="C75" s="248">
        <f t="shared" si="84"/>
        <v>0.11399978057246442</v>
      </c>
      <c r="D75" s="248">
        <f t="shared" si="84"/>
        <v>0.11400003183751575</v>
      </c>
      <c r="E75" s="248">
        <f t="shared" si="84"/>
        <v>0.11399984150445804</v>
      </c>
      <c r="F75" s="248">
        <f t="shared" si="84"/>
        <v>0.11446699924823843</v>
      </c>
      <c r="G75" s="248">
        <f t="shared" si="84"/>
        <v>0.11799723895643283</v>
      </c>
      <c r="H75" s="248">
        <f t="shared" si="84"/>
        <v>0.12162661756988996</v>
      </c>
      <c r="I75" s="248">
        <f t="shared" si="84"/>
        <v>0.12200008069563127</v>
      </c>
      <c r="J75" s="248">
        <f t="shared" si="84"/>
        <v>0.12199918289093536</v>
      </c>
      <c r="K75" s="248">
        <f t="shared" si="84"/>
        <v>0.12199994850421619</v>
      </c>
      <c r="L75" s="248">
        <f t="shared" si="84"/>
        <v>0.12233947953222045</v>
      </c>
      <c r="M75" s="248">
        <f t="shared" si="84"/>
        <v>0.12521974407781722</v>
      </c>
      <c r="N75" s="248">
        <f t="shared" si="84"/>
        <v>0.1276361921375764</v>
      </c>
      <c r="O75" s="248">
        <f t="shared" si="84"/>
        <v>0.12800007648298864</v>
      </c>
      <c r="P75" s="248">
        <f t="shared" si="84"/>
        <v>0.1279994718093577</v>
      </c>
      <c r="Q75" s="248">
        <f t="shared" si="84"/>
        <v>0.12799998864372231</v>
      </c>
      <c r="R75" s="248">
        <f t="shared" si="84"/>
        <v>0.12823641893031082</v>
      </c>
      <c r="S75" s="248">
        <f t="shared" si="84"/>
        <v>0.13008568981992899</v>
      </c>
      <c r="T75" s="248">
        <f t="shared" si="84"/>
        <v>0.131830039214926</v>
      </c>
      <c r="U75" s="248">
        <f t="shared" si="84"/>
        <v>0.13199987073159411</v>
      </c>
      <c r="V75" s="248">
        <f t="shared" si="84"/>
        <v>0.13200221111334601</v>
      </c>
      <c r="W75" s="248">
        <f t="shared" si="84"/>
        <v>0.13200006092676791</v>
      </c>
      <c r="X75" s="248">
        <f t="shared" si="84"/>
        <v>0.13200027466754308</v>
      </c>
      <c r="Y75" s="248">
        <f t="shared" si="84"/>
        <v>0.13200008474364944</v>
      </c>
      <c r="Z75" s="248">
        <f t="shared" si="84"/>
        <v>0.1320001948253843</v>
      </c>
      <c r="AA75" s="248">
        <f t="shared" si="84"/>
        <v>0.13200013371365527</v>
      </c>
      <c r="AB75" s="248">
        <f t="shared" si="84"/>
        <v>0.13200004638924392</v>
      </c>
      <c r="AC75" s="248">
        <f t="shared" si="84"/>
        <v>0.13200000037146609</v>
      </c>
      <c r="AD75" s="248">
        <f t="shared" si="84"/>
        <v>0.12967290371527199</v>
      </c>
      <c r="AE75" s="248">
        <f t="shared" si="84"/>
        <v>0.11478214768396874</v>
      </c>
      <c r="AF75" s="248">
        <f t="shared" si="84"/>
        <v>0.11071720587933676</v>
      </c>
      <c r="AG75" s="248">
        <f t="shared" si="84"/>
        <v>9.7660342527379915E-2</v>
      </c>
      <c r="AH75" s="248">
        <f t="shared" si="84"/>
        <v>9.5058963378594E-2</v>
      </c>
      <c r="AI75" s="248">
        <f t="shared" si="84"/>
        <v>9.5030913486298496E-2</v>
      </c>
      <c r="AJ75" s="248">
        <f t="shared" si="84"/>
        <v>9.5017911956282508E-2</v>
      </c>
      <c r="AK75" s="248">
        <f t="shared" si="84"/>
        <v>9.5007845462382085E-2</v>
      </c>
      <c r="AL75" s="248">
        <f t="shared" si="84"/>
        <v>9.5001852389095351E-2</v>
      </c>
      <c r="AM75" s="248">
        <f t="shared" si="84"/>
        <v>9.50009210629882E-2</v>
      </c>
      <c r="AN75" s="248">
        <f t="shared" si="84"/>
        <v>9.5000846092084243E-2</v>
      </c>
      <c r="AO75" s="248">
        <f t="shared" si="84"/>
        <v>9.5000000098264606E-2</v>
      </c>
      <c r="AP75" s="248">
        <f t="shared" si="84"/>
        <v>9.4874869272447482E-2</v>
      </c>
      <c r="AQ75" s="248">
        <f t="shared" si="84"/>
        <v>9.4104240349449614E-2</v>
      </c>
      <c r="AR75" s="248">
        <f t="shared" si="84"/>
        <v>9.4000003328818832E-2</v>
      </c>
      <c r="AS75" s="248">
        <f t="shared" si="84"/>
        <v>9.3999999955745067E-2</v>
      </c>
      <c r="AT75" s="248">
        <f t="shared" si="84"/>
        <v>9.4000000972768311E-2</v>
      </c>
      <c r="AU75" s="248">
        <f t="shared" si="84"/>
        <v>9.4000000145433124E-2</v>
      </c>
      <c r="AV75" s="248">
        <f t="shared" si="84"/>
        <v>9.4000000151046009E-2</v>
      </c>
      <c r="AW75" s="248">
        <f t="shared" ref="AW75:AW78" si="86">AW68/AW61</f>
        <v>9.4000000031943545E-2</v>
      </c>
    </row>
    <row r="76" spans="1:59" x14ac:dyDescent="0.35">
      <c r="A76" s="294" t="s">
        <v>516</v>
      </c>
      <c r="B76" s="248">
        <f t="shared" ref="B76" si="87">B69/B62</f>
        <v>0.13971918107384515</v>
      </c>
      <c r="C76" s="248">
        <f t="shared" si="84"/>
        <v>0.13999974694534986</v>
      </c>
      <c r="D76" s="248">
        <f t="shared" si="84"/>
        <v>0.14000022856908545</v>
      </c>
      <c r="E76" s="248">
        <f t="shared" si="84"/>
        <v>0.13999994974789484</v>
      </c>
      <c r="F76" s="248">
        <f t="shared" si="84"/>
        <v>0.14108533557668632</v>
      </c>
      <c r="G76" s="248">
        <f t="shared" si="84"/>
        <v>0.1505508344217881</v>
      </c>
      <c r="H76" s="248">
        <f t="shared" si="84"/>
        <v>0.15997889775855301</v>
      </c>
      <c r="I76" s="248">
        <f t="shared" si="84"/>
        <v>0.16100007449744014</v>
      </c>
      <c r="J76" s="248">
        <f t="shared" si="84"/>
        <v>0.16099812909467717</v>
      </c>
      <c r="K76" s="248">
        <f t="shared" si="84"/>
        <v>0.16099997970520213</v>
      </c>
      <c r="L76" s="248">
        <f t="shared" si="84"/>
        <v>0.16194449349016174</v>
      </c>
      <c r="M76" s="248">
        <f t="shared" si="84"/>
        <v>0.16887779215860821</v>
      </c>
      <c r="N76" s="248">
        <f t="shared" si="84"/>
        <v>0.17430577086236043</v>
      </c>
      <c r="O76" s="248">
        <f t="shared" si="84"/>
        <v>0.17500064345012051</v>
      </c>
      <c r="P76" s="248">
        <f t="shared" si="84"/>
        <v>0.1749997609117164</v>
      </c>
      <c r="Q76" s="248">
        <f t="shared" si="84"/>
        <v>0.17500040093636976</v>
      </c>
      <c r="R76" s="248">
        <f t="shared" si="84"/>
        <v>0.17525036217560594</v>
      </c>
      <c r="S76" s="248">
        <f t="shared" si="84"/>
        <v>0.17759778841911042</v>
      </c>
      <c r="T76" s="248">
        <f t="shared" si="84"/>
        <v>0.17977791733569859</v>
      </c>
      <c r="U76" s="248">
        <f t="shared" si="84"/>
        <v>0.18000009995573724</v>
      </c>
      <c r="V76" s="248">
        <f t="shared" si="84"/>
        <v>0.18000302392377365</v>
      </c>
      <c r="W76" s="248">
        <f t="shared" si="84"/>
        <v>0.18000033959271625</v>
      </c>
      <c r="X76" s="248">
        <f t="shared" si="84"/>
        <v>0.18000048339944097</v>
      </c>
      <c r="Y76" s="248">
        <f t="shared" si="84"/>
        <v>0.18000069080392178</v>
      </c>
      <c r="Z76" s="248">
        <f t="shared" si="84"/>
        <v>0.18000060676001622</v>
      </c>
      <c r="AA76" s="248">
        <f t="shared" si="84"/>
        <v>0.18000049697452317</v>
      </c>
      <c r="AB76" s="248">
        <f t="shared" si="84"/>
        <v>0.18000023063462942</v>
      </c>
      <c r="AC76" s="248">
        <f t="shared" si="84"/>
        <v>0.18000000014871886</v>
      </c>
      <c r="AD76" s="248">
        <f t="shared" si="84"/>
        <v>0.17740307901466604</v>
      </c>
      <c r="AE76" s="248">
        <f t="shared" si="84"/>
        <v>0.15930052091432023</v>
      </c>
      <c r="AF76" s="248">
        <f t="shared" si="84"/>
        <v>0.15368421516257921</v>
      </c>
      <c r="AG76" s="248">
        <f t="shared" si="84"/>
        <v>0.13548205099320398</v>
      </c>
      <c r="AH76" s="248">
        <f t="shared" si="84"/>
        <v>0.13208221082564453</v>
      </c>
      <c r="AI76" s="248">
        <f t="shared" si="84"/>
        <v>0.13203705085153375</v>
      </c>
      <c r="AJ76" s="248">
        <f t="shared" si="84"/>
        <v>0.13202594113494029</v>
      </c>
      <c r="AK76" s="248">
        <f t="shared" si="84"/>
        <v>0.13201291355458977</v>
      </c>
      <c r="AL76" s="248">
        <f t="shared" si="84"/>
        <v>0.1320021115333391</v>
      </c>
      <c r="AM76" s="248">
        <f t="shared" si="84"/>
        <v>0.13200111289370822</v>
      </c>
      <c r="AN76" s="248">
        <f t="shared" si="84"/>
        <v>0.13200094520473396</v>
      </c>
      <c r="AO76" s="248">
        <f t="shared" si="84"/>
        <v>0.13200000022825956</v>
      </c>
      <c r="AP76" s="248">
        <f t="shared" si="84"/>
        <v>0.13200000054660241</v>
      </c>
      <c r="AQ76" s="248">
        <f t="shared" si="84"/>
        <v>0.13200000060362133</v>
      </c>
      <c r="AR76" s="248">
        <f t="shared" si="84"/>
        <v>0.13200000028627532</v>
      </c>
      <c r="AS76" s="248">
        <f t="shared" si="84"/>
        <v>0.13199999968180587</v>
      </c>
      <c r="AT76" s="248">
        <f t="shared" si="84"/>
        <v>0.13199999959086436</v>
      </c>
      <c r="AU76" s="248">
        <f t="shared" si="84"/>
        <v>0.1320000003367259</v>
      </c>
      <c r="AV76" s="248">
        <f t="shared" si="84"/>
        <v>0.1320000001417366</v>
      </c>
      <c r="AW76" s="248">
        <f t="shared" si="86"/>
        <v>0.13200000023992048</v>
      </c>
    </row>
    <row r="77" spans="1:59" x14ac:dyDescent="0.35">
      <c r="A77" s="294" t="s">
        <v>431</v>
      </c>
      <c r="B77" s="248">
        <f t="shared" ref="B77" si="88">B70/B63</f>
        <v>8.7999998940270968E-2</v>
      </c>
      <c r="C77" s="248">
        <f t="shared" ref="C77:AV77" si="89">C70/C63</f>
        <v>8.7999999999999995E-2</v>
      </c>
      <c r="D77" s="248">
        <f t="shared" si="89"/>
        <v>8.7999999999999995E-2</v>
      </c>
      <c r="E77" s="248">
        <f t="shared" si="89"/>
        <v>8.7999999999999995E-2</v>
      </c>
      <c r="F77" s="248">
        <f t="shared" si="89"/>
        <v>8.8196197958523043E-2</v>
      </c>
      <c r="G77" s="248">
        <f t="shared" si="89"/>
        <v>9.3999147144483153E-2</v>
      </c>
      <c r="H77" s="248">
        <f t="shared" si="89"/>
        <v>9.3999999190220798E-2</v>
      </c>
      <c r="I77" s="248">
        <f t="shared" si="89"/>
        <v>9.4E-2</v>
      </c>
      <c r="J77" s="248">
        <f t="shared" si="89"/>
        <v>9.4E-2</v>
      </c>
      <c r="K77" s="248">
        <f t="shared" si="89"/>
        <v>9.4E-2</v>
      </c>
      <c r="L77" s="248">
        <f t="shared" si="89"/>
        <v>9.4180400160027058E-2</v>
      </c>
      <c r="M77" s="248">
        <f t="shared" si="89"/>
        <v>9.899528277296013E-2</v>
      </c>
      <c r="N77" s="248">
        <f t="shared" si="89"/>
        <v>9.8999998171755102E-2</v>
      </c>
      <c r="O77" s="248">
        <f t="shared" si="89"/>
        <v>9.9000000000000005E-2</v>
      </c>
      <c r="P77" s="248">
        <f t="shared" si="89"/>
        <v>9.9000000000000005E-2</v>
      </c>
      <c r="Q77" s="248">
        <f t="shared" si="89"/>
        <v>9.9000000000000005E-2</v>
      </c>
      <c r="R77" s="248">
        <f t="shared" si="89"/>
        <v>9.9135137780752267E-2</v>
      </c>
      <c r="S77" s="248">
        <f t="shared" si="89"/>
        <v>0.1029927116124713</v>
      </c>
      <c r="T77" s="248">
        <f t="shared" si="89"/>
        <v>0.1029999992939454</v>
      </c>
      <c r="U77" s="248">
        <f t="shared" si="89"/>
        <v>0.10299999999999999</v>
      </c>
      <c r="V77" s="248">
        <f t="shared" si="89"/>
        <v>0.10299999999999999</v>
      </c>
      <c r="W77" s="248">
        <f t="shared" si="89"/>
        <v>0.10299999999999999</v>
      </c>
      <c r="X77" s="248">
        <f t="shared" si="89"/>
        <v>0.10299999999999999</v>
      </c>
      <c r="Y77" s="248">
        <f t="shared" si="89"/>
        <v>0.10299999999999999</v>
      </c>
      <c r="Z77" s="248">
        <f t="shared" si="89"/>
        <v>0.10299999999999998</v>
      </c>
      <c r="AA77" s="248">
        <f t="shared" si="89"/>
        <v>0.10299999999999999</v>
      </c>
      <c r="AB77" s="248">
        <f t="shared" si="89"/>
        <v>0.10299999999999999</v>
      </c>
      <c r="AC77" s="248">
        <f t="shared" si="89"/>
        <v>0.10299999999999999</v>
      </c>
      <c r="AD77" s="248">
        <f t="shared" si="89"/>
        <v>0.10277626690073656</v>
      </c>
      <c r="AE77" s="248">
        <f t="shared" si="89"/>
        <v>9.2511602677213908E-2</v>
      </c>
      <c r="AF77" s="248">
        <f t="shared" si="89"/>
        <v>9.1032421242666653E-2</v>
      </c>
      <c r="AG77" s="248">
        <f t="shared" si="89"/>
        <v>7.8029392725729993E-2</v>
      </c>
      <c r="AH77" s="248">
        <f t="shared" si="89"/>
        <v>7.7293420213573355E-2</v>
      </c>
      <c r="AI77" s="248">
        <f t="shared" si="89"/>
        <v>7.7421430046955397E-2</v>
      </c>
      <c r="AJ77" s="248">
        <f t="shared" si="89"/>
        <v>7.7000008900864128E-2</v>
      </c>
      <c r="AK77" s="248">
        <f t="shared" si="89"/>
        <v>7.7005020588798101E-2</v>
      </c>
      <c r="AL77" s="248">
        <f t="shared" si="89"/>
        <v>7.7006713266112359E-2</v>
      </c>
      <c r="AM77" s="248">
        <f t="shared" si="89"/>
        <v>7.7000843280536205E-2</v>
      </c>
      <c r="AN77" s="248">
        <f t="shared" si="89"/>
        <v>7.7003737185190768E-2</v>
      </c>
      <c r="AO77" s="248">
        <f t="shared" si="89"/>
        <v>7.6999999999999999E-2</v>
      </c>
      <c r="AP77" s="248">
        <f t="shared" si="89"/>
        <v>7.7316756852366941E-2</v>
      </c>
      <c r="AQ77" s="248">
        <f t="shared" si="89"/>
        <v>7.6999999999999999E-2</v>
      </c>
      <c r="AR77" s="248">
        <f t="shared" si="89"/>
        <v>7.6999999999999999E-2</v>
      </c>
      <c r="AS77" s="248">
        <f t="shared" si="89"/>
        <v>7.6999999999999999E-2</v>
      </c>
      <c r="AT77" s="248">
        <f t="shared" si="89"/>
        <v>7.6999999999999999E-2</v>
      </c>
      <c r="AU77" s="248">
        <f t="shared" si="89"/>
        <v>7.6999999999999999E-2</v>
      </c>
      <c r="AV77" s="248">
        <f t="shared" si="89"/>
        <v>7.6999999999999999E-2</v>
      </c>
      <c r="AW77" s="248">
        <f>AW70/AW63</f>
        <v>7.6999999999999999E-2</v>
      </c>
    </row>
    <row r="78" spans="1:59" x14ac:dyDescent="0.35">
      <c r="A78" s="294" t="s">
        <v>432</v>
      </c>
      <c r="B78" s="248">
        <f t="shared" ref="B78" si="90">B71/B64</f>
        <v>0.10299999999999999</v>
      </c>
      <c r="C78" s="248">
        <f t="shared" si="84"/>
        <v>0.10299999999999999</v>
      </c>
      <c r="D78" s="248">
        <f t="shared" si="84"/>
        <v>0.10299999999999999</v>
      </c>
      <c r="E78" s="248">
        <f t="shared" si="84"/>
        <v>0.10299999999999999</v>
      </c>
      <c r="F78" s="248">
        <f t="shared" si="84"/>
        <v>0.10334201188690052</v>
      </c>
      <c r="G78" s="248">
        <f t="shared" si="84"/>
        <v>0.10999999999999999</v>
      </c>
      <c r="H78" s="248">
        <f t="shared" si="84"/>
        <v>0.11</v>
      </c>
      <c r="I78" s="248">
        <f t="shared" si="84"/>
        <v>0.11</v>
      </c>
      <c r="J78" s="248">
        <f t="shared" si="84"/>
        <v>0.11</v>
      </c>
      <c r="K78" s="248">
        <f t="shared" si="84"/>
        <v>0.11</v>
      </c>
      <c r="L78" s="248">
        <f t="shared" si="84"/>
        <v>0.1102119539123481</v>
      </c>
      <c r="M78" s="248">
        <f t="shared" si="84"/>
        <v>0.11599929592925887</v>
      </c>
      <c r="N78" s="248">
        <f t="shared" si="84"/>
        <v>0.11600000000000001</v>
      </c>
      <c r="O78" s="248">
        <f t="shared" si="84"/>
        <v>0.11600000000000001</v>
      </c>
      <c r="P78" s="248">
        <f t="shared" si="84"/>
        <v>0.11600000000000001</v>
      </c>
      <c r="Q78" s="248">
        <f t="shared" si="84"/>
        <v>0.11600000000000002</v>
      </c>
      <c r="R78" s="248">
        <f t="shared" si="84"/>
        <v>0.11620172867534546</v>
      </c>
      <c r="S78" s="248">
        <f t="shared" si="84"/>
        <v>0.12093145440697552</v>
      </c>
      <c r="T78" s="248">
        <f t="shared" si="84"/>
        <v>0.121</v>
      </c>
      <c r="U78" s="248">
        <f t="shared" si="84"/>
        <v>0.12100000000000001</v>
      </c>
      <c r="V78" s="248">
        <f t="shared" si="84"/>
        <v>0.121</v>
      </c>
      <c r="W78" s="248">
        <f t="shared" si="84"/>
        <v>0.121</v>
      </c>
      <c r="X78" s="248">
        <f t="shared" si="84"/>
        <v>0.121</v>
      </c>
      <c r="Y78" s="248">
        <f t="shared" si="84"/>
        <v>0.121</v>
      </c>
      <c r="Z78" s="248">
        <f t="shared" si="84"/>
        <v>0.121</v>
      </c>
      <c r="AA78" s="248">
        <f t="shared" si="84"/>
        <v>0.121</v>
      </c>
      <c r="AB78" s="248">
        <f t="shared" si="84"/>
        <v>0.121</v>
      </c>
      <c r="AC78" s="248">
        <f t="shared" si="84"/>
        <v>0.121</v>
      </c>
      <c r="AD78" s="248">
        <f t="shared" si="84"/>
        <v>0.12066447361380694</v>
      </c>
      <c r="AE78" s="248">
        <f t="shared" si="84"/>
        <v>0.10646871441886097</v>
      </c>
      <c r="AF78" s="248">
        <f t="shared" si="84"/>
        <v>0.10480491672928467</v>
      </c>
      <c r="AG78" s="248">
        <f t="shared" si="84"/>
        <v>9.0190712730407074E-2</v>
      </c>
      <c r="AH78" s="248">
        <f t="shared" si="84"/>
        <v>9.0003951352088093E-2</v>
      </c>
      <c r="AI78" s="248">
        <f t="shared" si="84"/>
        <v>9.0150337493026922E-2</v>
      </c>
      <c r="AJ78" s="248">
        <f t="shared" si="84"/>
        <v>0.09</v>
      </c>
      <c r="AK78" s="248">
        <f t="shared" si="84"/>
        <v>9.0040668331159104E-2</v>
      </c>
      <c r="AL78" s="248">
        <f t="shared" si="84"/>
        <v>9.0305027091417092E-2</v>
      </c>
      <c r="AM78" s="248">
        <f t="shared" si="84"/>
        <v>0.09</v>
      </c>
      <c r="AN78" s="248">
        <f t="shared" si="84"/>
        <v>9.0005801464987698E-2</v>
      </c>
      <c r="AO78" s="248">
        <f t="shared" si="84"/>
        <v>0.09</v>
      </c>
      <c r="AP78" s="248">
        <f t="shared" si="84"/>
        <v>0.09</v>
      </c>
      <c r="AQ78" s="248">
        <f t="shared" si="84"/>
        <v>8.9007423235889727E-2</v>
      </c>
      <c r="AR78" s="248">
        <f t="shared" si="84"/>
        <v>8.9007253708182049E-2</v>
      </c>
      <c r="AS78" s="248">
        <f t="shared" si="84"/>
        <v>8.8999999999999996E-2</v>
      </c>
      <c r="AT78" s="248">
        <f t="shared" si="84"/>
        <v>8.8999999999999996E-2</v>
      </c>
      <c r="AU78" s="248">
        <f t="shared" si="84"/>
        <v>8.9002294952855859E-2</v>
      </c>
      <c r="AV78" s="248">
        <f t="shared" si="84"/>
        <v>8.8999999999999996E-2</v>
      </c>
      <c r="AW78" s="248">
        <f t="shared" si="86"/>
        <v>8.8999999999999996E-2</v>
      </c>
    </row>
    <row r="79" spans="1:59" x14ac:dyDescent="0.35">
      <c r="AW79" s="248"/>
    </row>
    <row r="80" spans="1:59" x14ac:dyDescent="0.35">
      <c r="A80" s="143" t="s">
        <v>519</v>
      </c>
    </row>
    <row r="81" spans="1:49" x14ac:dyDescent="0.35">
      <c r="A81" s="294" t="s">
        <v>514</v>
      </c>
      <c r="B81" s="284">
        <f>(B60/B$65)</f>
        <v>0.56217558702020043</v>
      </c>
      <c r="C81" s="284">
        <f t="shared" ref="C81:AW85" si="91">(C60/C$65)</f>
        <v>0.56139258758144195</v>
      </c>
      <c r="D81" s="284">
        <f t="shared" si="91"/>
        <v>0.58603565368499566</v>
      </c>
      <c r="E81" s="284">
        <f t="shared" si="91"/>
        <v>0.562423836742731</v>
      </c>
      <c r="F81" s="284">
        <f t="shared" si="91"/>
        <v>0.57273260872723308</v>
      </c>
      <c r="G81" s="284">
        <f t="shared" si="91"/>
        <v>0.56270225846975519</v>
      </c>
      <c r="H81" s="284">
        <f t="shared" si="91"/>
        <v>0.56505159572209451</v>
      </c>
      <c r="I81" s="284">
        <f t="shared" si="91"/>
        <v>0.54010754105692227</v>
      </c>
      <c r="J81" s="284">
        <f t="shared" si="91"/>
        <v>0.57096949081190107</v>
      </c>
      <c r="K81" s="284">
        <f t="shared" si="91"/>
        <v>0.5498725810899826</v>
      </c>
      <c r="L81" s="284">
        <f t="shared" si="91"/>
        <v>0.56497062649276408</v>
      </c>
      <c r="M81" s="284">
        <f t="shared" si="91"/>
        <v>0.55396533499170597</v>
      </c>
      <c r="N81" s="284">
        <f t="shared" si="91"/>
        <v>0.56417996956761252</v>
      </c>
      <c r="O81" s="284">
        <f t="shared" si="91"/>
        <v>0.5582643247282274</v>
      </c>
      <c r="P81" s="284">
        <f t="shared" si="91"/>
        <v>0.57623063506407035</v>
      </c>
      <c r="Q81" s="284">
        <f t="shared" si="91"/>
        <v>0.55591256312201431</v>
      </c>
      <c r="R81" s="284">
        <f t="shared" si="91"/>
        <v>0.56056887730028071</v>
      </c>
      <c r="S81" s="284">
        <f t="shared" si="91"/>
        <v>0.55018427301952488</v>
      </c>
      <c r="T81" s="284">
        <f t="shared" si="91"/>
        <v>0.55686130607912621</v>
      </c>
      <c r="U81" s="284">
        <f t="shared" si="91"/>
        <v>0.54003136980134236</v>
      </c>
      <c r="V81" s="284">
        <f t="shared" si="91"/>
        <v>0.5521677696039603</v>
      </c>
      <c r="W81" s="284">
        <f t="shared" si="91"/>
        <v>0.53141050126347733</v>
      </c>
      <c r="X81" s="284">
        <f t="shared" si="91"/>
        <v>0.55910153748191127</v>
      </c>
      <c r="Y81" s="284">
        <f t="shared" si="91"/>
        <v>0.5391031148713249</v>
      </c>
      <c r="Z81" s="284">
        <f t="shared" si="91"/>
        <v>0.56698362119234669</v>
      </c>
      <c r="AA81" s="284">
        <f t="shared" si="91"/>
        <v>0.54354849942494565</v>
      </c>
      <c r="AB81" s="284">
        <f t="shared" si="91"/>
        <v>0.57667808719058433</v>
      </c>
      <c r="AC81" s="284">
        <f t="shared" si="91"/>
        <v>0.55335553508868918</v>
      </c>
      <c r="AD81" s="284">
        <f t="shared" si="91"/>
        <v>0.57364190869040099</v>
      </c>
      <c r="AE81" s="284">
        <f t="shared" si="91"/>
        <v>0.54405793799243074</v>
      </c>
      <c r="AF81" s="284">
        <f t="shared" si="91"/>
        <v>0.54607220115260213</v>
      </c>
      <c r="AG81" s="284">
        <f t="shared" si="91"/>
        <v>0.54701188505806597</v>
      </c>
      <c r="AH81" s="284">
        <f t="shared" si="91"/>
        <v>0.53019203412911176</v>
      </c>
      <c r="AI81" s="284">
        <f t="shared" si="91"/>
        <v>0.54496574497857908</v>
      </c>
      <c r="AJ81" s="284">
        <f t="shared" si="91"/>
        <v>0.53722171657961071</v>
      </c>
      <c r="AK81" s="284">
        <f t="shared" si="91"/>
        <v>0.53320452094360615</v>
      </c>
      <c r="AL81" s="284">
        <f t="shared" si="91"/>
        <v>0.57340969889605609</v>
      </c>
      <c r="AM81" s="284">
        <f t="shared" si="91"/>
        <v>0.53580338190397314</v>
      </c>
      <c r="AN81" s="284">
        <f t="shared" si="91"/>
        <v>0.55787988849392778</v>
      </c>
      <c r="AO81" s="284">
        <f t="shared" si="91"/>
        <v>0.53863134518248645</v>
      </c>
      <c r="AP81" s="284">
        <f t="shared" si="91"/>
        <v>0.54704979912019303</v>
      </c>
      <c r="AQ81" s="284">
        <f t="shared" si="91"/>
        <v>0.53710182515174942</v>
      </c>
      <c r="AR81" s="284">
        <f t="shared" si="91"/>
        <v>0.53947074399132988</v>
      </c>
      <c r="AS81" s="284">
        <f t="shared" si="91"/>
        <v>0.53979201664842025</v>
      </c>
      <c r="AT81" s="284">
        <f t="shared" si="91"/>
        <v>0.52687233282077373</v>
      </c>
      <c r="AU81" s="284">
        <f t="shared" si="91"/>
        <v>0.55630103744755366</v>
      </c>
      <c r="AV81" s="284">
        <f t="shared" si="91"/>
        <v>0.52553717993210836</v>
      </c>
      <c r="AW81" s="284">
        <f t="shared" si="91"/>
        <v>0.52399180981365456</v>
      </c>
    </row>
    <row r="82" spans="1:49" x14ac:dyDescent="0.35">
      <c r="A82" s="294" t="s">
        <v>515</v>
      </c>
      <c r="B82" s="284">
        <f t="shared" ref="B82:Q85" si="92">(B61/B$65)</f>
        <v>0.15161003781073276</v>
      </c>
      <c r="C82" s="284">
        <f t="shared" si="92"/>
        <v>0.15224049589254987</v>
      </c>
      <c r="D82" s="284">
        <f t="shared" si="92"/>
        <v>0.14883339929317768</v>
      </c>
      <c r="E82" s="284">
        <f t="shared" si="92"/>
        <v>0.15450067138510765</v>
      </c>
      <c r="F82" s="284">
        <f t="shared" si="92"/>
        <v>0.15643343411962035</v>
      </c>
      <c r="G82" s="284">
        <f t="shared" si="92"/>
        <v>0.16190536078771262</v>
      </c>
      <c r="H82" s="284">
        <f t="shared" si="92"/>
        <v>0.16577654644583115</v>
      </c>
      <c r="I82" s="284">
        <f t="shared" si="92"/>
        <v>0.15998867439377909</v>
      </c>
      <c r="J82" s="284">
        <f t="shared" si="92"/>
        <v>0.1615418246077642</v>
      </c>
      <c r="K82" s="284">
        <f t="shared" si="92"/>
        <v>0.16044791292327687</v>
      </c>
      <c r="L82" s="284">
        <f t="shared" si="92"/>
        <v>0.16517305559637002</v>
      </c>
      <c r="M82" s="284">
        <f t="shared" si="92"/>
        <v>0.16604912033726599</v>
      </c>
      <c r="N82" s="284">
        <f t="shared" si="92"/>
        <v>0.14866919098909859</v>
      </c>
      <c r="O82" s="284">
        <f t="shared" si="92"/>
        <v>0.15064423958792644</v>
      </c>
      <c r="P82" s="284">
        <f t="shared" si="92"/>
        <v>0.14845357928403546</v>
      </c>
      <c r="Q82" s="284">
        <f t="shared" si="92"/>
        <v>0.15458896019318122</v>
      </c>
      <c r="R82" s="284">
        <f t="shared" si="91"/>
        <v>0.15826040615397369</v>
      </c>
      <c r="S82" s="284">
        <f t="shared" si="91"/>
        <v>0.1607651792879202</v>
      </c>
      <c r="T82" s="284">
        <f t="shared" si="91"/>
        <v>0.15882422098359472</v>
      </c>
      <c r="U82" s="284">
        <f t="shared" si="91"/>
        <v>0.16178886883189572</v>
      </c>
      <c r="V82" s="284">
        <f t="shared" si="91"/>
        <v>0.16545729781269197</v>
      </c>
      <c r="W82" s="284">
        <f t="shared" si="91"/>
        <v>0.15974948573984998</v>
      </c>
      <c r="X82" s="284">
        <f t="shared" si="91"/>
        <v>0.16547288213449207</v>
      </c>
      <c r="Y82" s="284">
        <f t="shared" si="91"/>
        <v>0.16369533977614703</v>
      </c>
      <c r="Z82" s="284">
        <f t="shared" si="91"/>
        <v>0.14757881410036189</v>
      </c>
      <c r="AA82" s="284">
        <f t="shared" si="91"/>
        <v>0.14911731017107449</v>
      </c>
      <c r="AB82" s="284">
        <f t="shared" si="91"/>
        <v>0.1508393710057801</v>
      </c>
      <c r="AC82" s="284">
        <f t="shared" si="91"/>
        <v>0.15733136777604134</v>
      </c>
      <c r="AD82" s="284">
        <f t="shared" si="91"/>
        <v>0.16147328445080941</v>
      </c>
      <c r="AE82" s="284">
        <f t="shared" si="91"/>
        <v>0.15943295415660313</v>
      </c>
      <c r="AF82" s="284">
        <f t="shared" si="91"/>
        <v>0.15794669219129784</v>
      </c>
      <c r="AG82" s="284">
        <f t="shared" si="91"/>
        <v>0.16314530074044678</v>
      </c>
      <c r="AH82" s="284">
        <f t="shared" si="91"/>
        <v>0.15918065225878442</v>
      </c>
      <c r="AI82" s="284">
        <f t="shared" si="91"/>
        <v>0.15883282070390287</v>
      </c>
      <c r="AJ82" s="284">
        <f t="shared" si="91"/>
        <v>0.15869675784436674</v>
      </c>
      <c r="AK82" s="284">
        <f t="shared" si="91"/>
        <v>0.15587738408536986</v>
      </c>
      <c r="AL82" s="284">
        <f t="shared" si="91"/>
        <v>0.14347552919896545</v>
      </c>
      <c r="AM82" s="284">
        <f t="shared" si="91"/>
        <v>0.14178055104576867</v>
      </c>
      <c r="AN82" s="284">
        <f t="shared" si="91"/>
        <v>0.15062119139101046</v>
      </c>
      <c r="AO82" s="284">
        <f t="shared" si="91"/>
        <v>0.15048252387461886</v>
      </c>
      <c r="AP82" s="284">
        <f t="shared" si="91"/>
        <v>0.15287861187274016</v>
      </c>
      <c r="AQ82" s="284">
        <f t="shared" si="91"/>
        <v>0.15764604500829998</v>
      </c>
      <c r="AR82" s="284">
        <f t="shared" si="91"/>
        <v>0.15768589368094971</v>
      </c>
      <c r="AS82" s="284">
        <f t="shared" si="91"/>
        <v>0.15589031282638491</v>
      </c>
      <c r="AT82" s="284">
        <f t="shared" si="91"/>
        <v>0.15293414866237731</v>
      </c>
      <c r="AU82" s="284">
        <f t="shared" si="91"/>
        <v>0.15820523377239948</v>
      </c>
      <c r="AV82" s="284">
        <f t="shared" si="91"/>
        <v>0.15936207086191082</v>
      </c>
      <c r="AW82" s="284">
        <f t="shared" si="91"/>
        <v>0.15568584994789936</v>
      </c>
    </row>
    <row r="83" spans="1:49" x14ac:dyDescent="0.35">
      <c r="A83" s="294" t="s">
        <v>516</v>
      </c>
      <c r="B83" s="284">
        <f t="shared" si="92"/>
        <v>0.16741475579160628</v>
      </c>
      <c r="C83" s="284">
        <f t="shared" si="91"/>
        <v>0.16254060108773929</v>
      </c>
      <c r="D83" s="284">
        <f t="shared" si="91"/>
        <v>0.16691741664789486</v>
      </c>
      <c r="E83" s="284">
        <f t="shared" si="91"/>
        <v>0.16320534141801554</v>
      </c>
      <c r="F83" s="284">
        <f t="shared" si="91"/>
        <v>0.16792006720297564</v>
      </c>
      <c r="G83" s="284">
        <f t="shared" si="91"/>
        <v>0.16874786093807972</v>
      </c>
      <c r="H83" s="284">
        <f t="shared" si="91"/>
        <v>0.16593892083542489</v>
      </c>
      <c r="I83" s="284">
        <f t="shared" si="91"/>
        <v>0.17323496338188338</v>
      </c>
      <c r="J83" s="284">
        <f t="shared" si="91"/>
        <v>0.17151795280528634</v>
      </c>
      <c r="K83" s="284">
        <f t="shared" si="91"/>
        <v>0.17430913611361915</v>
      </c>
      <c r="L83" s="284">
        <f t="shared" si="91"/>
        <v>0.16265752207508044</v>
      </c>
      <c r="M83" s="284">
        <f t="shared" si="91"/>
        <v>0.16656698009730911</v>
      </c>
      <c r="N83" s="284">
        <f t="shared" si="91"/>
        <v>0.1661560691653183</v>
      </c>
      <c r="O83" s="284">
        <f t="shared" si="91"/>
        <v>0.1606114805931102</v>
      </c>
      <c r="P83" s="284">
        <f t="shared" si="91"/>
        <v>0.1659251715865421</v>
      </c>
      <c r="Q83" s="284">
        <f t="shared" si="91"/>
        <v>0.16229213929515277</v>
      </c>
      <c r="R83" s="284">
        <f t="shared" si="91"/>
        <v>0.16790333002085769</v>
      </c>
      <c r="S83" s="284">
        <f t="shared" si="91"/>
        <v>0.16602328535651809</v>
      </c>
      <c r="T83" s="284">
        <f t="shared" si="91"/>
        <v>0.15925985974036633</v>
      </c>
      <c r="U83" s="284">
        <f t="shared" si="91"/>
        <v>0.17822118344403237</v>
      </c>
      <c r="V83" s="284">
        <f t="shared" si="91"/>
        <v>0.18384184651878072</v>
      </c>
      <c r="W83" s="284">
        <f t="shared" si="91"/>
        <v>0.17730500743269917</v>
      </c>
      <c r="X83" s="284">
        <f t="shared" si="91"/>
        <v>0.16595481829753586</v>
      </c>
      <c r="Y83" s="284">
        <f t="shared" si="91"/>
        <v>0.16549979881270116</v>
      </c>
      <c r="Z83" s="284">
        <f t="shared" si="91"/>
        <v>0.16457108362451978</v>
      </c>
      <c r="AA83" s="284">
        <f t="shared" si="91"/>
        <v>0.15670183709319355</v>
      </c>
      <c r="AB83" s="284">
        <f t="shared" si="91"/>
        <v>0.16681276400628675</v>
      </c>
      <c r="AC83" s="284">
        <f t="shared" si="91"/>
        <v>0.16722473338342903</v>
      </c>
      <c r="AD83" s="284">
        <f t="shared" si="91"/>
        <v>0.16568435808557833</v>
      </c>
      <c r="AE83" s="284">
        <f t="shared" si="91"/>
        <v>0.15729444914230661</v>
      </c>
      <c r="AF83" s="284">
        <f t="shared" si="91"/>
        <v>0.1621645672528006</v>
      </c>
      <c r="AG83" s="284">
        <f t="shared" si="91"/>
        <v>0.17499923315082433</v>
      </c>
      <c r="AH83" s="284">
        <f t="shared" si="91"/>
        <v>0.17104785480248941</v>
      </c>
      <c r="AI83" s="284">
        <f t="shared" si="91"/>
        <v>0.16591273211527577</v>
      </c>
      <c r="AJ83" s="284">
        <f t="shared" si="91"/>
        <v>0.15761824861080254</v>
      </c>
      <c r="AK83" s="284">
        <f t="shared" si="91"/>
        <v>0.16707332206865699</v>
      </c>
      <c r="AL83" s="284">
        <f t="shared" si="91"/>
        <v>0.15558584643759529</v>
      </c>
      <c r="AM83" s="284">
        <f t="shared" si="91"/>
        <v>0.15314078181179427</v>
      </c>
      <c r="AN83" s="284">
        <f t="shared" si="91"/>
        <v>0.16324060201117005</v>
      </c>
      <c r="AO83" s="284">
        <f t="shared" si="91"/>
        <v>0.15871584783656223</v>
      </c>
      <c r="AP83" s="284">
        <f t="shared" si="91"/>
        <v>0.15847866092597296</v>
      </c>
      <c r="AQ83" s="284">
        <f t="shared" si="91"/>
        <v>0.16073990411527775</v>
      </c>
      <c r="AR83" s="284">
        <f t="shared" si="91"/>
        <v>0.16700509649923104</v>
      </c>
      <c r="AS83" s="284">
        <f t="shared" si="91"/>
        <v>0.17345172325321487</v>
      </c>
      <c r="AT83" s="284">
        <f t="shared" si="91"/>
        <v>0.1693568060912008</v>
      </c>
      <c r="AU83" s="284">
        <f t="shared" si="91"/>
        <v>0.16594284795903982</v>
      </c>
      <c r="AV83" s="284">
        <f t="shared" si="91"/>
        <v>0.1554368707757233</v>
      </c>
      <c r="AW83" s="284">
        <f t="shared" si="91"/>
        <v>0.16286572063631977</v>
      </c>
    </row>
    <row r="84" spans="1:49" x14ac:dyDescent="0.35">
      <c r="A84" s="294" t="s">
        <v>431</v>
      </c>
      <c r="B84" s="284">
        <f t="shared" si="92"/>
        <v>5.3092533367714932E-2</v>
      </c>
      <c r="C84" s="284">
        <f t="shared" si="91"/>
        <v>5.4325248304094596E-2</v>
      </c>
      <c r="D84" s="284">
        <f t="shared" si="91"/>
        <v>4.2591868974574933E-2</v>
      </c>
      <c r="E84" s="284">
        <f t="shared" si="91"/>
        <v>5.1582116237204066E-2</v>
      </c>
      <c r="F84" s="284">
        <f t="shared" si="91"/>
        <v>5.286645649366141E-2</v>
      </c>
      <c r="G84" s="284">
        <f t="shared" si="91"/>
        <v>5.1043578785016634E-2</v>
      </c>
      <c r="H84" s="284">
        <f t="shared" si="91"/>
        <v>4.6197796322656776E-2</v>
      </c>
      <c r="I84" s="284">
        <f t="shared" si="91"/>
        <v>5.5777710947708829E-2</v>
      </c>
      <c r="J84" s="284">
        <f t="shared" si="91"/>
        <v>4.5204443299364745E-2</v>
      </c>
      <c r="K84" s="284">
        <f t="shared" si="91"/>
        <v>5.3346111465388875E-2</v>
      </c>
      <c r="L84" s="284">
        <f t="shared" si="91"/>
        <v>4.9365576486513643E-2</v>
      </c>
      <c r="M84" s="284">
        <f t="shared" si="91"/>
        <v>5.8595370063037701E-2</v>
      </c>
      <c r="N84" s="284">
        <f t="shared" si="91"/>
        <v>6.3492064153032587E-2</v>
      </c>
      <c r="O84" s="284">
        <f t="shared" si="91"/>
        <v>6.5372980894622013E-2</v>
      </c>
      <c r="P84" s="284">
        <f t="shared" si="91"/>
        <v>5.6141491021599967E-2</v>
      </c>
      <c r="Q84" s="284">
        <f t="shared" si="91"/>
        <v>6.7473639599289703E-2</v>
      </c>
      <c r="R84" s="284">
        <f t="shared" si="91"/>
        <v>6.3124820705974902E-2</v>
      </c>
      <c r="S84" s="284">
        <f t="shared" si="91"/>
        <v>6.2252733679325635E-2</v>
      </c>
      <c r="T84" s="284">
        <f t="shared" si="91"/>
        <v>6.0914937409373107E-2</v>
      </c>
      <c r="U84" s="284">
        <f t="shared" si="91"/>
        <v>5.7808314685256747E-2</v>
      </c>
      <c r="V84" s="284">
        <f t="shared" si="91"/>
        <v>4.6527641901778355E-2</v>
      </c>
      <c r="W84" s="284">
        <f t="shared" si="91"/>
        <v>6.3753847308040096E-2</v>
      </c>
      <c r="X84" s="284">
        <f t="shared" si="91"/>
        <v>5.5767764035205031E-2</v>
      </c>
      <c r="Y84" s="284">
        <f t="shared" si="91"/>
        <v>7.5049468851240586E-2</v>
      </c>
      <c r="Z84" s="284">
        <f t="shared" si="91"/>
        <v>6.4167902369950944E-2</v>
      </c>
      <c r="AA84" s="284">
        <f t="shared" si="91"/>
        <v>7.8969386923349927E-2</v>
      </c>
      <c r="AB84" s="284">
        <f t="shared" si="91"/>
        <v>5.9142612681650344E-2</v>
      </c>
      <c r="AC84" s="284">
        <f t="shared" si="91"/>
        <v>6.6961288144570197E-2</v>
      </c>
      <c r="AD84" s="284">
        <f t="shared" si="91"/>
        <v>5.5213248378613397E-2</v>
      </c>
      <c r="AE84" s="284">
        <f t="shared" si="91"/>
        <v>7.4484457925302019E-2</v>
      </c>
      <c r="AF84" s="284">
        <f t="shared" si="91"/>
        <v>7.0757812542721274E-2</v>
      </c>
      <c r="AG84" s="284">
        <f t="shared" si="91"/>
        <v>5.7101955010079211E-2</v>
      </c>
      <c r="AH84" s="284">
        <f t="shared" si="91"/>
        <v>7.5260756571804061E-2</v>
      </c>
      <c r="AI84" s="284">
        <f t="shared" si="91"/>
        <v>7.0680166027171448E-2</v>
      </c>
      <c r="AJ84" s="284">
        <f t="shared" si="91"/>
        <v>8.1894206516620674E-2</v>
      </c>
      <c r="AK84" s="284">
        <f t="shared" si="91"/>
        <v>8.5723414331750833E-2</v>
      </c>
      <c r="AL84" s="284">
        <f t="shared" si="91"/>
        <v>6.6233007615331421E-2</v>
      </c>
      <c r="AM84" s="284">
        <f t="shared" si="91"/>
        <v>9.4507248196701879E-2</v>
      </c>
      <c r="AN84" s="284">
        <f t="shared" si="91"/>
        <v>7.6518044463206425E-2</v>
      </c>
      <c r="AO84" s="284">
        <f t="shared" si="91"/>
        <v>8.7096175113033525E-2</v>
      </c>
      <c r="AP84" s="284">
        <f t="shared" si="91"/>
        <v>8.8916786727300981E-2</v>
      </c>
      <c r="AQ84" s="284">
        <f t="shared" si="91"/>
        <v>7.5685766659248352E-2</v>
      </c>
      <c r="AR84" s="284">
        <f t="shared" si="91"/>
        <v>7.4266085637697266E-2</v>
      </c>
      <c r="AS84" s="284">
        <f t="shared" si="91"/>
        <v>6.5996523306283722E-2</v>
      </c>
      <c r="AT84" s="284">
        <f t="shared" si="91"/>
        <v>7.3805242633711868E-2</v>
      </c>
      <c r="AU84" s="284">
        <f t="shared" si="91"/>
        <v>6.7896904006236158E-2</v>
      </c>
      <c r="AV84" s="284">
        <f t="shared" si="91"/>
        <v>8.5244713455997892E-2</v>
      </c>
      <c r="AW84" s="284">
        <f t="shared" si="91"/>
        <v>9.4591726375226906E-2</v>
      </c>
    </row>
    <row r="85" spans="1:49" x14ac:dyDescent="0.35">
      <c r="A85" s="294" t="s">
        <v>432</v>
      </c>
      <c r="B85" s="284">
        <f t="shared" si="92"/>
        <v>6.5707086009745466E-2</v>
      </c>
      <c r="C85" s="284">
        <f t="shared" si="91"/>
        <v>6.9501067134174352E-2</v>
      </c>
      <c r="D85" s="284">
        <f t="shared" si="91"/>
        <v>5.5621661399356856E-2</v>
      </c>
      <c r="E85" s="284">
        <f t="shared" si="91"/>
        <v>6.828803421694174E-2</v>
      </c>
      <c r="F85" s="284">
        <f t="shared" si="91"/>
        <v>5.0047433456509562E-2</v>
      </c>
      <c r="G85" s="284">
        <f t="shared" si="91"/>
        <v>5.5600941019435711E-2</v>
      </c>
      <c r="H85" s="284">
        <f t="shared" si="91"/>
        <v>5.7035140673992651E-2</v>
      </c>
      <c r="I85" s="284">
        <f t="shared" si="91"/>
        <v>7.089111021970626E-2</v>
      </c>
      <c r="J85" s="284">
        <f t="shared" si="91"/>
        <v>5.0766288475683694E-2</v>
      </c>
      <c r="K85" s="284">
        <f t="shared" si="91"/>
        <v>6.202425840773243E-2</v>
      </c>
      <c r="L85" s="284">
        <f t="shared" si="91"/>
        <v>5.7833219349271762E-2</v>
      </c>
      <c r="M85" s="284">
        <f t="shared" si="91"/>
        <v>5.482319451068117E-2</v>
      </c>
      <c r="N85" s="284">
        <f t="shared" si="91"/>
        <v>5.7502706124937984E-2</v>
      </c>
      <c r="O85" s="284">
        <f t="shared" si="91"/>
        <v>6.5106974196113929E-2</v>
      </c>
      <c r="P85" s="284">
        <f t="shared" si="91"/>
        <v>5.3249123043752268E-2</v>
      </c>
      <c r="Q85" s="284">
        <f t="shared" si="91"/>
        <v>5.9732697790362145E-2</v>
      </c>
      <c r="R85" s="284">
        <f t="shared" si="91"/>
        <v>5.0142565818912944E-2</v>
      </c>
      <c r="S85" s="284">
        <f t="shared" si="91"/>
        <v>6.077452865671118E-2</v>
      </c>
      <c r="T85" s="284">
        <f t="shared" si="91"/>
        <v>6.4139675787539777E-2</v>
      </c>
      <c r="U85" s="284">
        <f t="shared" si="91"/>
        <v>6.215026323747265E-2</v>
      </c>
      <c r="V85" s="284">
        <f t="shared" si="91"/>
        <v>5.2005444162788565E-2</v>
      </c>
      <c r="W85" s="284">
        <f t="shared" si="91"/>
        <v>6.7781158255933338E-2</v>
      </c>
      <c r="X85" s="284">
        <f t="shared" si="91"/>
        <v>5.3702998050855717E-2</v>
      </c>
      <c r="Y85" s="284">
        <f t="shared" si="91"/>
        <v>5.6652277688586307E-2</v>
      </c>
      <c r="Z85" s="284">
        <f t="shared" si="91"/>
        <v>5.6698578712820684E-2</v>
      </c>
      <c r="AA85" s="284">
        <f t="shared" si="91"/>
        <v>7.1662966387436411E-2</v>
      </c>
      <c r="AB85" s="284">
        <f t="shared" si="91"/>
        <v>4.6527165115698585E-2</v>
      </c>
      <c r="AC85" s="284">
        <f t="shared" si="91"/>
        <v>5.5127075607270218E-2</v>
      </c>
      <c r="AD85" s="284">
        <f t="shared" si="91"/>
        <v>4.3987200394597956E-2</v>
      </c>
      <c r="AE85" s="284">
        <f t="shared" si="91"/>
        <v>6.4730200783357505E-2</v>
      </c>
      <c r="AF85" s="284">
        <f t="shared" si="91"/>
        <v>6.3058726860578174E-2</v>
      </c>
      <c r="AG85" s="284">
        <f t="shared" si="91"/>
        <v>5.7741626040583818E-2</v>
      </c>
      <c r="AH85" s="284">
        <f t="shared" si="91"/>
        <v>6.431870223781036E-2</v>
      </c>
      <c r="AI85" s="284">
        <f t="shared" si="91"/>
        <v>5.9608536175070913E-2</v>
      </c>
      <c r="AJ85" s="284">
        <f t="shared" si="91"/>
        <v>6.4569070448599206E-2</v>
      </c>
      <c r="AK85" s="284">
        <f t="shared" si="91"/>
        <v>5.8121358570616087E-2</v>
      </c>
      <c r="AL85" s="284">
        <f t="shared" si="91"/>
        <v>6.1295917852051622E-2</v>
      </c>
      <c r="AM85" s="284">
        <f t="shared" si="91"/>
        <v>7.4768037041762173E-2</v>
      </c>
      <c r="AN85" s="284">
        <f t="shared" si="91"/>
        <v>5.1740273640685182E-2</v>
      </c>
      <c r="AO85" s="284">
        <f t="shared" si="91"/>
        <v>6.5074107993298921E-2</v>
      </c>
      <c r="AP85" s="284">
        <f t="shared" si="91"/>
        <v>5.2676141353792998E-2</v>
      </c>
      <c r="AQ85" s="284">
        <f t="shared" si="91"/>
        <v>6.8826459065424436E-2</v>
      </c>
      <c r="AR85" s="284">
        <f t="shared" si="91"/>
        <v>6.1572180190792053E-2</v>
      </c>
      <c r="AS85" s="284">
        <f t="shared" si="91"/>
        <v>6.4869423965696338E-2</v>
      </c>
      <c r="AT85" s="284">
        <f t="shared" si="91"/>
        <v>7.7031469791936327E-2</v>
      </c>
      <c r="AU85" s="284">
        <f t="shared" si="91"/>
        <v>5.1653976814770831E-2</v>
      </c>
      <c r="AV85" s="284">
        <f t="shared" si="91"/>
        <v>7.44191649742596E-2</v>
      </c>
      <c r="AW85" s="284">
        <f t="shared" si="91"/>
        <v>6.2864893226899393E-2</v>
      </c>
    </row>
    <row r="86" spans="1:49" x14ac:dyDescent="0.35">
      <c r="A86" s="294"/>
      <c r="B86" s="284">
        <f>SUM(B81:B85)</f>
        <v>0.99999999999999989</v>
      </c>
      <c r="C86" s="284">
        <f t="shared" ref="C86:AW86" si="93">SUM(C81:C85)</f>
        <v>1</v>
      </c>
      <c r="D86" s="284">
        <f t="shared" si="93"/>
        <v>1</v>
      </c>
      <c r="E86" s="284">
        <f t="shared" si="93"/>
        <v>1</v>
      </c>
      <c r="F86" s="284">
        <f t="shared" si="93"/>
        <v>1</v>
      </c>
      <c r="G86" s="284">
        <f t="shared" si="93"/>
        <v>0.99999999999999978</v>
      </c>
      <c r="H86" s="284">
        <f t="shared" si="93"/>
        <v>1</v>
      </c>
      <c r="I86" s="284">
        <f t="shared" si="93"/>
        <v>0.99999999999999978</v>
      </c>
      <c r="J86" s="284">
        <f t="shared" si="93"/>
        <v>1.0000000000000002</v>
      </c>
      <c r="K86" s="284">
        <f t="shared" si="93"/>
        <v>0.99999999999999989</v>
      </c>
      <c r="L86" s="284">
        <f t="shared" si="93"/>
        <v>0.99999999999999989</v>
      </c>
      <c r="M86" s="284">
        <f t="shared" si="93"/>
        <v>1</v>
      </c>
      <c r="N86" s="284">
        <f t="shared" si="93"/>
        <v>1</v>
      </c>
      <c r="O86" s="284">
        <f t="shared" si="93"/>
        <v>1</v>
      </c>
      <c r="P86" s="284">
        <f t="shared" si="93"/>
        <v>1</v>
      </c>
      <c r="Q86" s="284">
        <f t="shared" si="93"/>
        <v>1</v>
      </c>
      <c r="R86" s="284">
        <f t="shared" si="93"/>
        <v>1</v>
      </c>
      <c r="S86" s="284">
        <f t="shared" si="93"/>
        <v>1</v>
      </c>
      <c r="T86" s="284">
        <f t="shared" si="93"/>
        <v>1.0000000000000002</v>
      </c>
      <c r="U86" s="284">
        <f t="shared" si="93"/>
        <v>0.99999999999999978</v>
      </c>
      <c r="V86" s="284">
        <f t="shared" si="93"/>
        <v>0.99999999999999989</v>
      </c>
      <c r="W86" s="284">
        <f t="shared" si="93"/>
        <v>1</v>
      </c>
      <c r="X86" s="284">
        <f t="shared" si="93"/>
        <v>1</v>
      </c>
      <c r="Y86" s="284">
        <f t="shared" si="93"/>
        <v>1</v>
      </c>
      <c r="Z86" s="284">
        <f t="shared" si="93"/>
        <v>1</v>
      </c>
      <c r="AA86" s="284">
        <f t="shared" si="93"/>
        <v>1</v>
      </c>
      <c r="AB86" s="284">
        <f t="shared" si="93"/>
        <v>1</v>
      </c>
      <c r="AC86" s="284">
        <f t="shared" si="93"/>
        <v>0.99999999999999989</v>
      </c>
      <c r="AD86" s="284">
        <f t="shared" si="93"/>
        <v>1.0000000000000002</v>
      </c>
      <c r="AE86" s="284">
        <f t="shared" si="93"/>
        <v>1</v>
      </c>
      <c r="AF86" s="284">
        <f t="shared" si="93"/>
        <v>1</v>
      </c>
      <c r="AG86" s="284">
        <f t="shared" si="93"/>
        <v>1</v>
      </c>
      <c r="AH86" s="284">
        <f t="shared" si="93"/>
        <v>1</v>
      </c>
      <c r="AI86" s="284">
        <f t="shared" si="93"/>
        <v>1</v>
      </c>
      <c r="AJ86" s="284">
        <f t="shared" si="93"/>
        <v>0.99999999999999989</v>
      </c>
      <c r="AK86" s="284">
        <f t="shared" si="93"/>
        <v>0.99999999999999989</v>
      </c>
      <c r="AL86" s="284">
        <f t="shared" si="93"/>
        <v>0.99999999999999989</v>
      </c>
      <c r="AM86" s="284">
        <f t="shared" si="93"/>
        <v>1.0000000000000002</v>
      </c>
      <c r="AN86" s="284">
        <f t="shared" si="93"/>
        <v>1</v>
      </c>
      <c r="AO86" s="284">
        <f t="shared" si="93"/>
        <v>0.99999999999999989</v>
      </c>
      <c r="AP86" s="284">
        <f t="shared" si="93"/>
        <v>1</v>
      </c>
      <c r="AQ86" s="284">
        <f t="shared" si="93"/>
        <v>0.99999999999999978</v>
      </c>
      <c r="AR86" s="284">
        <f t="shared" si="93"/>
        <v>0.99999999999999978</v>
      </c>
      <c r="AS86" s="284">
        <f t="shared" si="93"/>
        <v>1</v>
      </c>
      <c r="AT86" s="284">
        <f t="shared" si="93"/>
        <v>1</v>
      </c>
      <c r="AU86" s="284">
        <f t="shared" si="93"/>
        <v>0.99999999999999989</v>
      </c>
      <c r="AV86" s="284">
        <f t="shared" si="93"/>
        <v>1</v>
      </c>
      <c r="AW86" s="284">
        <f t="shared" si="93"/>
        <v>1</v>
      </c>
    </row>
    <row r="88" spans="1:49" x14ac:dyDescent="0.35">
      <c r="A88" s="143" t="s">
        <v>519</v>
      </c>
    </row>
    <row r="89" spans="1:49" x14ac:dyDescent="0.35">
      <c r="A89" s="294" t="s">
        <v>514</v>
      </c>
      <c r="B89" s="284">
        <f t="shared" ref="B89:AV89" si="94">(B60/B$65)-(B4/B$8)</f>
        <v>0</v>
      </c>
      <c r="C89" s="284">
        <f t="shared" si="94"/>
        <v>0</v>
      </c>
      <c r="D89" s="284">
        <f t="shared" si="94"/>
        <v>0</v>
      </c>
      <c r="E89" s="284">
        <f t="shared" si="94"/>
        <v>0</v>
      </c>
      <c r="F89" s="284">
        <f t="shared" si="94"/>
        <v>0</v>
      </c>
      <c r="G89" s="284">
        <f t="shared" si="94"/>
        <v>0</v>
      </c>
      <c r="H89" s="284">
        <f t="shared" si="94"/>
        <v>0</v>
      </c>
      <c r="I89" s="284">
        <f t="shared" si="94"/>
        <v>0</v>
      </c>
      <c r="J89" s="284">
        <f t="shared" si="94"/>
        <v>0</v>
      </c>
      <c r="K89" s="284">
        <f t="shared" si="94"/>
        <v>0</v>
      </c>
      <c r="L89" s="284">
        <f t="shared" si="94"/>
        <v>0</v>
      </c>
      <c r="M89" s="284">
        <f t="shared" si="94"/>
        <v>0</v>
      </c>
      <c r="N89" s="284">
        <f t="shared" si="94"/>
        <v>0</v>
      </c>
      <c r="O89" s="284">
        <f t="shared" si="94"/>
        <v>0</v>
      </c>
      <c r="P89" s="284">
        <f t="shared" si="94"/>
        <v>0</v>
      </c>
      <c r="Q89" s="284">
        <f t="shared" si="94"/>
        <v>0</v>
      </c>
      <c r="R89" s="284">
        <f t="shared" si="94"/>
        <v>0</v>
      </c>
      <c r="S89" s="284">
        <f t="shared" si="94"/>
        <v>0</v>
      </c>
      <c r="T89" s="284">
        <f t="shared" si="94"/>
        <v>0</v>
      </c>
      <c r="U89" s="284">
        <f t="shared" si="94"/>
        <v>0</v>
      </c>
      <c r="V89" s="284">
        <f t="shared" si="94"/>
        <v>0</v>
      </c>
      <c r="W89" s="284">
        <f t="shared" si="94"/>
        <v>0</v>
      </c>
      <c r="X89" s="284">
        <f t="shared" si="94"/>
        <v>0</v>
      </c>
      <c r="Y89" s="284">
        <f t="shared" si="94"/>
        <v>0</v>
      </c>
      <c r="Z89" s="284">
        <f t="shared" si="94"/>
        <v>0</v>
      </c>
      <c r="AA89" s="284">
        <f t="shared" si="94"/>
        <v>0</v>
      </c>
      <c r="AB89" s="284">
        <f t="shared" si="94"/>
        <v>0</v>
      </c>
      <c r="AC89" s="284">
        <f t="shared" si="94"/>
        <v>-2.0745069556987406E-2</v>
      </c>
      <c r="AD89" s="284">
        <f t="shared" si="94"/>
        <v>3.8045770137457025E-2</v>
      </c>
      <c r="AE89" s="284">
        <f t="shared" si="94"/>
        <v>1.1473687720865988E-2</v>
      </c>
      <c r="AF89" s="284">
        <f t="shared" si="94"/>
        <v>-1.2227309852121837E-2</v>
      </c>
      <c r="AG89" s="284">
        <f t="shared" si="94"/>
        <v>2.6266470252802376E-2</v>
      </c>
      <c r="AH89" s="284">
        <f t="shared" si="94"/>
        <v>-1.8460698852385549E-2</v>
      </c>
      <c r="AI89" s="284">
        <f t="shared" si="94"/>
        <v>-2.222936685192467E-3</v>
      </c>
      <c r="AJ89" s="284">
        <f t="shared" si="94"/>
        <v>8.3825270972562871E-3</v>
      </c>
      <c r="AK89" s="284">
        <f t="shared" si="94"/>
        <v>-5.5325582448999322E-2</v>
      </c>
      <c r="AL89" s="284">
        <f t="shared" si="94"/>
        <v>3.5331839448921598E-2</v>
      </c>
      <c r="AM89" s="284">
        <f t="shared" si="94"/>
        <v>-1.6113875616849183E-2</v>
      </c>
      <c r="AN89" s="284">
        <f t="shared" si="94"/>
        <v>4.1137671628576067E-3</v>
      </c>
      <c r="AO89" s="284">
        <f t="shared" si="94"/>
        <v>-2.6495829593752296E-3</v>
      </c>
      <c r="AP89" s="284">
        <f t="shared" si="94"/>
        <v>2.194941054780708E-2</v>
      </c>
      <c r="AQ89" s="284">
        <f t="shared" si="94"/>
        <v>5.4239267576046135E-3</v>
      </c>
      <c r="AR89" s="284">
        <f t="shared" si="94"/>
        <v>-8.1660817210504888E-5</v>
      </c>
      <c r="AS89" s="284">
        <f t="shared" si="94"/>
        <v>8.5216373500496267E-3</v>
      </c>
      <c r="AT89" s="284">
        <f t="shared" si="94"/>
        <v>-3.9367266713250859E-2</v>
      </c>
      <c r="AU89" s="284">
        <f t="shared" si="94"/>
        <v>2.7032961394124255E-2</v>
      </c>
      <c r="AV89" s="284">
        <f t="shared" si="94"/>
        <v>1.1337278802829531E-2</v>
      </c>
      <c r="AW89" s="284">
        <f>(AW60/AW$65)-(AW4/AW$8)</f>
        <v>-4.912739585417969E-2</v>
      </c>
    </row>
    <row r="90" spans="1:49" x14ac:dyDescent="0.35">
      <c r="A90" s="294" t="s">
        <v>515</v>
      </c>
      <c r="B90" s="284">
        <f t="shared" ref="B90:AV90" si="95">(B61/B$65)-(B3/B$8)</f>
        <v>0</v>
      </c>
      <c r="C90" s="284">
        <f t="shared" si="95"/>
        <v>0</v>
      </c>
      <c r="D90" s="284">
        <f t="shared" si="95"/>
        <v>0</v>
      </c>
      <c r="E90" s="284">
        <f t="shared" si="95"/>
        <v>0</v>
      </c>
      <c r="F90" s="284">
        <f t="shared" si="95"/>
        <v>0</v>
      </c>
      <c r="G90" s="284">
        <f t="shared" si="95"/>
        <v>0</v>
      </c>
      <c r="H90" s="284">
        <f t="shared" si="95"/>
        <v>0</v>
      </c>
      <c r="I90" s="284">
        <f t="shared" si="95"/>
        <v>0</v>
      </c>
      <c r="J90" s="284">
        <f t="shared" si="95"/>
        <v>0</v>
      </c>
      <c r="K90" s="284">
        <f t="shared" si="95"/>
        <v>0</v>
      </c>
      <c r="L90" s="284">
        <f t="shared" si="95"/>
        <v>0</v>
      </c>
      <c r="M90" s="284">
        <f t="shared" si="95"/>
        <v>0</v>
      </c>
      <c r="N90" s="284">
        <f t="shared" si="95"/>
        <v>0</v>
      </c>
      <c r="O90" s="284">
        <f t="shared" si="95"/>
        <v>0</v>
      </c>
      <c r="P90" s="284">
        <f t="shared" si="95"/>
        <v>0</v>
      </c>
      <c r="Q90" s="284">
        <f t="shared" si="95"/>
        <v>0</v>
      </c>
      <c r="R90" s="284">
        <f t="shared" si="95"/>
        <v>0</v>
      </c>
      <c r="S90" s="284">
        <f t="shared" si="95"/>
        <v>0</v>
      </c>
      <c r="T90" s="284">
        <f t="shared" si="95"/>
        <v>0</v>
      </c>
      <c r="U90" s="284">
        <f t="shared" si="95"/>
        <v>0</v>
      </c>
      <c r="V90" s="284">
        <f t="shared" si="95"/>
        <v>0</v>
      </c>
      <c r="W90" s="284">
        <f t="shared" si="95"/>
        <v>0</v>
      </c>
      <c r="X90" s="284">
        <f t="shared" si="95"/>
        <v>0</v>
      </c>
      <c r="Y90" s="284">
        <f t="shared" si="95"/>
        <v>0</v>
      </c>
      <c r="Z90" s="284">
        <f t="shared" si="95"/>
        <v>0</v>
      </c>
      <c r="AA90" s="284">
        <f t="shared" si="95"/>
        <v>0</v>
      </c>
      <c r="AB90" s="284">
        <f t="shared" si="95"/>
        <v>0</v>
      </c>
      <c r="AC90" s="284">
        <f t="shared" si="95"/>
        <v>1.4510411261246747E-2</v>
      </c>
      <c r="AD90" s="284">
        <f t="shared" si="95"/>
        <v>-5.6587516157758089E-3</v>
      </c>
      <c r="AE90" s="284">
        <f t="shared" si="95"/>
        <v>-7.2212274332394966E-3</v>
      </c>
      <c r="AF90" s="284">
        <f t="shared" si="95"/>
        <v>6.4092721139983877E-3</v>
      </c>
      <c r="AG90" s="284">
        <f t="shared" si="95"/>
        <v>-5.1194456667386923E-3</v>
      </c>
      <c r="AH90" s="284">
        <f t="shared" si="95"/>
        <v>4.9634554174436962E-3</v>
      </c>
      <c r="AI90" s="284">
        <f t="shared" si="95"/>
        <v>3.7538769504344427E-4</v>
      </c>
      <c r="AJ90" s="284">
        <f t="shared" si="95"/>
        <v>-5.3676139943728551E-4</v>
      </c>
      <c r="AK90" s="284">
        <f t="shared" si="95"/>
        <v>2.1333917812688286E-2</v>
      </c>
      <c r="AL90" s="284">
        <f t="shared" si="95"/>
        <v>-9.7884264407336607E-3</v>
      </c>
      <c r="AM90" s="284">
        <f t="shared" si="95"/>
        <v>-2.5573567151644383E-3</v>
      </c>
      <c r="AN90" s="284">
        <f t="shared" si="95"/>
        <v>2.4103176556719841E-3</v>
      </c>
      <c r="AO90" s="284">
        <f t="shared" si="95"/>
        <v>-1.2922369116027954E-3</v>
      </c>
      <c r="AP90" s="284">
        <f t="shared" si="95"/>
        <v>-1.153318745804266E-2</v>
      </c>
      <c r="AQ90" s="284">
        <f t="shared" si="95"/>
        <v>-7.3238146970913687E-4</v>
      </c>
      <c r="AR90" s="284">
        <f t="shared" si="95"/>
        <v>1.3396136945274251E-3</v>
      </c>
      <c r="AS90" s="284">
        <f t="shared" si="95"/>
        <v>-4.0026521966155804E-3</v>
      </c>
      <c r="AT90" s="284">
        <f t="shared" si="95"/>
        <v>9.0610819460358594E-3</v>
      </c>
      <c r="AU90" s="284">
        <f t="shared" si="95"/>
        <v>-7.4857942181293657E-3</v>
      </c>
      <c r="AV90" s="284">
        <f t="shared" si="95"/>
        <v>-5.0559313078255008E-4</v>
      </c>
      <c r="AW90" s="284">
        <f>(AW61/AW$65)-(AW3/AW$8)</f>
        <v>1.9921750951349959E-2</v>
      </c>
    </row>
    <row r="91" spans="1:49" x14ac:dyDescent="0.35">
      <c r="A91" s="294" t="s">
        <v>516</v>
      </c>
      <c r="B91" s="284">
        <f t="shared" ref="B91:AV93" si="96">(B62/B$65)-(B5/B$8)</f>
        <v>0</v>
      </c>
      <c r="C91" s="284">
        <f t="shared" si="96"/>
        <v>0</v>
      </c>
      <c r="D91" s="284">
        <f t="shared" si="96"/>
        <v>0</v>
      </c>
      <c r="E91" s="284">
        <f t="shared" si="96"/>
        <v>0</v>
      </c>
      <c r="F91" s="284">
        <f t="shared" si="96"/>
        <v>0</v>
      </c>
      <c r="G91" s="284">
        <f t="shared" si="96"/>
        <v>0</v>
      </c>
      <c r="H91" s="284">
        <f t="shared" si="96"/>
        <v>0</v>
      </c>
      <c r="I91" s="284">
        <f t="shared" si="96"/>
        <v>0</v>
      </c>
      <c r="J91" s="284">
        <f t="shared" si="96"/>
        <v>0</v>
      </c>
      <c r="K91" s="284">
        <f t="shared" si="96"/>
        <v>0</v>
      </c>
      <c r="L91" s="284">
        <f t="shared" si="96"/>
        <v>0</v>
      </c>
      <c r="M91" s="284">
        <f t="shared" si="96"/>
        <v>0</v>
      </c>
      <c r="N91" s="284">
        <f t="shared" si="96"/>
        <v>0</v>
      </c>
      <c r="O91" s="284">
        <f t="shared" si="96"/>
        <v>0</v>
      </c>
      <c r="P91" s="284">
        <f t="shared" si="96"/>
        <v>0</v>
      </c>
      <c r="Q91" s="284">
        <f t="shared" si="96"/>
        <v>0</v>
      </c>
      <c r="R91" s="284">
        <f t="shared" si="96"/>
        <v>0</v>
      </c>
      <c r="S91" s="284">
        <f t="shared" si="96"/>
        <v>0</v>
      </c>
      <c r="T91" s="284">
        <f t="shared" si="96"/>
        <v>0</v>
      </c>
      <c r="U91" s="284">
        <f t="shared" si="96"/>
        <v>0</v>
      </c>
      <c r="V91" s="284">
        <f t="shared" si="96"/>
        <v>0</v>
      </c>
      <c r="W91" s="284">
        <f t="shared" si="96"/>
        <v>0</v>
      </c>
      <c r="X91" s="284">
        <f t="shared" si="96"/>
        <v>0</v>
      </c>
      <c r="Y91" s="284">
        <f t="shared" si="96"/>
        <v>0</v>
      </c>
      <c r="Z91" s="284">
        <f t="shared" si="96"/>
        <v>0</v>
      </c>
      <c r="AA91" s="284">
        <f t="shared" si="96"/>
        <v>0</v>
      </c>
      <c r="AB91" s="284">
        <f t="shared" si="96"/>
        <v>0</v>
      </c>
      <c r="AC91" s="284">
        <f t="shared" si="96"/>
        <v>1.9025414004617769E-2</v>
      </c>
      <c r="AD91" s="284">
        <f t="shared" si="96"/>
        <v>2.8847253840779685E-3</v>
      </c>
      <c r="AE91" s="284">
        <f t="shared" si="96"/>
        <v>-1.2620123996379934E-2</v>
      </c>
      <c r="AF91" s="284">
        <f t="shared" si="96"/>
        <v>-5.9786937747158264E-4</v>
      </c>
      <c r="AG91" s="284">
        <f t="shared" si="96"/>
        <v>-7.8322737605593107E-3</v>
      </c>
      <c r="AH91" s="284">
        <f t="shared" si="96"/>
        <v>8.4055257442274267E-3</v>
      </c>
      <c r="AI91" s="284">
        <f t="shared" si="96"/>
        <v>1.5536066294158879E-2</v>
      </c>
      <c r="AJ91" s="284">
        <f t="shared" si="96"/>
        <v>-1.6820305966500498E-2</v>
      </c>
      <c r="AK91" s="284">
        <f t="shared" si="96"/>
        <v>2.1366467377546799E-2</v>
      </c>
      <c r="AL91" s="284">
        <f t="shared" si="96"/>
        <v>-1.0004977746133042E-2</v>
      </c>
      <c r="AM91" s="284">
        <f t="shared" si="96"/>
        <v>-3.8592984765348781E-3</v>
      </c>
      <c r="AN91" s="284">
        <f t="shared" si="96"/>
        <v>6.656283050440831E-3</v>
      </c>
      <c r="AO91" s="284">
        <f t="shared" si="96"/>
        <v>9.1567725060220928E-5</v>
      </c>
      <c r="AP91" s="284">
        <f t="shared" si="96"/>
        <v>-8.7395008928573548E-3</v>
      </c>
      <c r="AQ91" s="284">
        <f t="shared" si="96"/>
        <v>-3.8588147124244965E-3</v>
      </c>
      <c r="AR91" s="284">
        <f t="shared" si="96"/>
        <v>-7.5616269357602073E-3</v>
      </c>
      <c r="AS91" s="284">
        <f t="shared" si="96"/>
        <v>-4.5637626098796735E-3</v>
      </c>
      <c r="AT91" s="284">
        <f t="shared" si="96"/>
        <v>1.8882685101824448E-2</v>
      </c>
      <c r="AU91" s="284">
        <f t="shared" si="96"/>
        <v>8.5471001349899656E-3</v>
      </c>
      <c r="AV91" s="284">
        <f t="shared" si="96"/>
        <v>-1.5868988821746477E-2</v>
      </c>
      <c r="AW91" s="284">
        <f>(AW62/AW$65)-(AW5/AW$8)</f>
        <v>1.9552119740921137E-2</v>
      </c>
    </row>
    <row r="92" spans="1:49" x14ac:dyDescent="0.35">
      <c r="A92" s="294" t="s">
        <v>431</v>
      </c>
      <c r="B92" s="284">
        <f t="shared" si="96"/>
        <v>0</v>
      </c>
      <c r="C92" s="284">
        <f t="shared" si="96"/>
        <v>0</v>
      </c>
      <c r="D92" s="284">
        <f t="shared" si="96"/>
        <v>0</v>
      </c>
      <c r="E92" s="284">
        <f t="shared" si="96"/>
        <v>0</v>
      </c>
      <c r="F92" s="284">
        <f t="shared" si="96"/>
        <v>0</v>
      </c>
      <c r="G92" s="284">
        <f t="shared" si="96"/>
        <v>0</v>
      </c>
      <c r="H92" s="284">
        <f t="shared" si="96"/>
        <v>0</v>
      </c>
      <c r="I92" s="284">
        <f t="shared" si="96"/>
        <v>0</v>
      </c>
      <c r="J92" s="284">
        <f t="shared" si="96"/>
        <v>0</v>
      </c>
      <c r="K92" s="284">
        <f t="shared" si="96"/>
        <v>0</v>
      </c>
      <c r="L92" s="284">
        <f t="shared" si="96"/>
        <v>0</v>
      </c>
      <c r="M92" s="284">
        <f t="shared" si="96"/>
        <v>0</v>
      </c>
      <c r="N92" s="284">
        <f t="shared" si="96"/>
        <v>0</v>
      </c>
      <c r="O92" s="284">
        <f t="shared" si="96"/>
        <v>0</v>
      </c>
      <c r="P92" s="284">
        <f t="shared" si="96"/>
        <v>0</v>
      </c>
      <c r="Q92" s="284">
        <f t="shared" si="96"/>
        <v>0</v>
      </c>
      <c r="R92" s="284">
        <f t="shared" si="96"/>
        <v>0</v>
      </c>
      <c r="S92" s="284">
        <f t="shared" si="96"/>
        <v>0</v>
      </c>
      <c r="T92" s="284">
        <f t="shared" si="96"/>
        <v>0</v>
      </c>
      <c r="U92" s="284">
        <f t="shared" si="96"/>
        <v>0</v>
      </c>
      <c r="V92" s="284">
        <f t="shared" si="96"/>
        <v>0</v>
      </c>
      <c r="W92" s="284">
        <f t="shared" si="96"/>
        <v>0</v>
      </c>
      <c r="X92" s="284">
        <f t="shared" si="96"/>
        <v>0</v>
      </c>
      <c r="Y92" s="284">
        <f t="shared" si="96"/>
        <v>0</v>
      </c>
      <c r="Z92" s="284">
        <f t="shared" si="96"/>
        <v>0</v>
      </c>
      <c r="AA92" s="284">
        <f t="shared" si="96"/>
        <v>0</v>
      </c>
      <c r="AB92" s="284">
        <f t="shared" si="96"/>
        <v>0</v>
      </c>
      <c r="AC92" s="284">
        <f t="shared" si="96"/>
        <v>-1.3434681831840614E-2</v>
      </c>
      <c r="AD92" s="284">
        <f t="shared" si="96"/>
        <v>-1.5976161216135695E-2</v>
      </c>
      <c r="AE92" s="284">
        <f t="shared" si="96"/>
        <v>6.4785075441914086E-3</v>
      </c>
      <c r="AF92" s="284">
        <f t="shared" si="96"/>
        <v>5.2300792929304424E-3</v>
      </c>
      <c r="AG92" s="284">
        <f t="shared" si="96"/>
        <v>-8.8911207940546716E-3</v>
      </c>
      <c r="AH92" s="284">
        <f t="shared" si="96"/>
        <v>3.6800603785269032E-3</v>
      </c>
      <c r="AI92" s="284">
        <f t="shared" si="96"/>
        <v>-6.6120819159288802E-3</v>
      </c>
      <c r="AJ92" s="284">
        <f t="shared" si="96"/>
        <v>1.8291139848216204E-3</v>
      </c>
      <c r="AK92" s="284">
        <f t="shared" si="96"/>
        <v>1.3825431915149775E-2</v>
      </c>
      <c r="AL92" s="284">
        <f t="shared" si="96"/>
        <v>-1.2666941734453374E-2</v>
      </c>
      <c r="AM92" s="284">
        <f t="shared" si="96"/>
        <v>7.0401816331404216E-3</v>
      </c>
      <c r="AN92" s="284">
        <f t="shared" si="96"/>
        <v>-4.6275164564560656E-3</v>
      </c>
      <c r="AO92" s="284">
        <f t="shared" si="96"/>
        <v>-3.7484378260711632E-3</v>
      </c>
      <c r="AP92" s="284">
        <f t="shared" si="96"/>
        <v>1.3284170377263663E-2</v>
      </c>
      <c r="AQ92" s="284">
        <f t="shared" si="96"/>
        <v>-3.0479601824470182E-3</v>
      </c>
      <c r="AR92" s="284">
        <f t="shared" si="96"/>
        <v>8.8718202559481402E-3</v>
      </c>
      <c r="AS92" s="284">
        <f t="shared" si="96"/>
        <v>9.4991390628493266E-4</v>
      </c>
      <c r="AT92" s="284">
        <f t="shared" si="96"/>
        <v>-3.4161492616906902E-3</v>
      </c>
      <c r="AU92" s="284">
        <f t="shared" si="96"/>
        <v>-1.0135313077891089E-2</v>
      </c>
      <c r="AV92" s="284">
        <f t="shared" si="96"/>
        <v>-8.8019454249591844E-3</v>
      </c>
      <c r="AW92" s="284">
        <f t="shared" ref="AW92:AW93" si="97">(AW63/AW$65)-(AW6/AW$8)</f>
        <v>5.5911180909669622E-3</v>
      </c>
    </row>
    <row r="93" spans="1:49" x14ac:dyDescent="0.35">
      <c r="A93" s="294" t="s">
        <v>432</v>
      </c>
      <c r="B93" s="284">
        <f t="shared" si="96"/>
        <v>0</v>
      </c>
      <c r="C93" s="284">
        <f t="shared" si="96"/>
        <v>0</v>
      </c>
      <c r="D93" s="284">
        <f t="shared" si="96"/>
        <v>0</v>
      </c>
      <c r="E93" s="284">
        <f t="shared" si="96"/>
        <v>0</v>
      </c>
      <c r="F93" s="284">
        <f t="shared" si="96"/>
        <v>0</v>
      </c>
      <c r="G93" s="284">
        <f t="shared" si="96"/>
        <v>0</v>
      </c>
      <c r="H93" s="284">
        <f t="shared" si="96"/>
        <v>0</v>
      </c>
      <c r="I93" s="284">
        <f t="shared" si="96"/>
        <v>0</v>
      </c>
      <c r="J93" s="284">
        <f t="shared" si="96"/>
        <v>0</v>
      </c>
      <c r="K93" s="284">
        <f t="shared" si="96"/>
        <v>0</v>
      </c>
      <c r="L93" s="284">
        <f t="shared" si="96"/>
        <v>0</v>
      </c>
      <c r="M93" s="284">
        <f t="shared" si="96"/>
        <v>0</v>
      </c>
      <c r="N93" s="284">
        <f t="shared" si="96"/>
        <v>0</v>
      </c>
      <c r="O93" s="284">
        <f t="shared" si="96"/>
        <v>0</v>
      </c>
      <c r="P93" s="284">
        <f t="shared" si="96"/>
        <v>0</v>
      </c>
      <c r="Q93" s="284">
        <f t="shared" si="96"/>
        <v>0</v>
      </c>
      <c r="R93" s="284">
        <f t="shared" si="96"/>
        <v>0</v>
      </c>
      <c r="S93" s="284">
        <f t="shared" si="96"/>
        <v>0</v>
      </c>
      <c r="T93" s="284">
        <f t="shared" si="96"/>
        <v>0</v>
      </c>
      <c r="U93" s="284">
        <f t="shared" si="96"/>
        <v>0</v>
      </c>
      <c r="V93" s="284">
        <f t="shared" si="96"/>
        <v>0</v>
      </c>
      <c r="W93" s="284">
        <f t="shared" si="96"/>
        <v>0</v>
      </c>
      <c r="X93" s="284">
        <f t="shared" si="96"/>
        <v>0</v>
      </c>
      <c r="Y93" s="284">
        <f t="shared" si="96"/>
        <v>0</v>
      </c>
      <c r="Z93" s="284">
        <f t="shared" si="96"/>
        <v>0</v>
      </c>
      <c r="AA93" s="284">
        <f t="shared" si="96"/>
        <v>0</v>
      </c>
      <c r="AB93" s="284">
        <f t="shared" si="96"/>
        <v>0</v>
      </c>
      <c r="AC93" s="284">
        <f t="shared" si="96"/>
        <v>6.4392612296345492E-4</v>
      </c>
      <c r="AD93" s="284">
        <f t="shared" si="96"/>
        <v>-1.9295582689623225E-2</v>
      </c>
      <c r="AE93" s="284">
        <f t="shared" si="96"/>
        <v>1.8891561645620891E-3</v>
      </c>
      <c r="AF93" s="284">
        <f t="shared" si="96"/>
        <v>1.1858278226646035E-3</v>
      </c>
      <c r="AG93" s="284">
        <f t="shared" si="96"/>
        <v>-4.4236300314495838E-3</v>
      </c>
      <c r="AH93" s="284">
        <f t="shared" si="96"/>
        <v>1.4116573121874393E-3</v>
      </c>
      <c r="AI93" s="284">
        <f t="shared" si="96"/>
        <v>-7.0764353880808303E-3</v>
      </c>
      <c r="AJ93" s="284">
        <f t="shared" si="96"/>
        <v>7.1454262838598001E-3</v>
      </c>
      <c r="AK93" s="284">
        <f t="shared" si="96"/>
        <v>-1.2002346563856001E-3</v>
      </c>
      <c r="AL93" s="284">
        <f t="shared" si="96"/>
        <v>-2.8714935276015971E-3</v>
      </c>
      <c r="AM93" s="284">
        <f t="shared" si="96"/>
        <v>1.5490349175408202E-2</v>
      </c>
      <c r="AN93" s="284">
        <f t="shared" si="96"/>
        <v>-8.5528514125145019E-3</v>
      </c>
      <c r="AO93" s="284">
        <f t="shared" si="96"/>
        <v>7.598689971988988E-3</v>
      </c>
      <c r="AP93" s="284">
        <f t="shared" si="96"/>
        <v>-1.4960892574170513E-2</v>
      </c>
      <c r="AQ93" s="284">
        <f t="shared" si="96"/>
        <v>2.2152296069758437E-3</v>
      </c>
      <c r="AR93" s="284">
        <f t="shared" si="96"/>
        <v>-2.568146197504978E-3</v>
      </c>
      <c r="AS93" s="284">
        <f t="shared" si="96"/>
        <v>-9.0513644983923613E-4</v>
      </c>
      <c r="AT93" s="284">
        <f t="shared" si="96"/>
        <v>1.4839648927081221E-2</v>
      </c>
      <c r="AU93" s="284">
        <f t="shared" si="96"/>
        <v>-1.7958954233093773E-2</v>
      </c>
      <c r="AV93" s="284">
        <f t="shared" si="96"/>
        <v>1.3839248574658632E-2</v>
      </c>
      <c r="AW93" s="284">
        <f t="shared" si="97"/>
        <v>4.0624070709416038E-3</v>
      </c>
    </row>
  </sheetData>
  <conditionalFormatting sqref="B89:AW93">
    <cfRule type="cellIs" dxfId="1" priority="3" operator="lessThan">
      <formula>-0.02</formula>
    </cfRule>
    <cfRule type="cellIs" dxfId="0" priority="4" operator="greaterThan">
      <formula>0.02</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C76"/>
  <sheetViews>
    <sheetView tabSelected="1" topLeftCell="A10" zoomScale="80" zoomScaleNormal="80" workbookViewId="0">
      <selection activeCell="AB5" sqref="AB5"/>
    </sheetView>
  </sheetViews>
  <sheetFormatPr defaultRowHeight="14.5" x14ac:dyDescent="0.35"/>
  <cols>
    <col min="1" max="1" width="8.7265625" style="1"/>
    <col min="2" max="26" width="15.1796875" customWidth="1"/>
    <col min="27" max="28" width="42.7265625" customWidth="1"/>
    <col min="29" max="29" width="36.54296875" customWidth="1"/>
  </cols>
  <sheetData>
    <row r="1" spans="1:29" x14ac:dyDescent="0.35">
      <c r="A1" s="1" t="s">
        <v>459</v>
      </c>
      <c r="H1" s="1" t="s">
        <v>452</v>
      </c>
      <c r="N1" s="1" t="s">
        <v>452</v>
      </c>
      <c r="O1" s="1" t="s">
        <v>456</v>
      </c>
      <c r="S1" s="1" t="s">
        <v>460</v>
      </c>
      <c r="T1" s="159" t="s">
        <v>35</v>
      </c>
      <c r="U1" s="159" t="s">
        <v>36</v>
      </c>
      <c r="V1" s="159" t="s">
        <v>38</v>
      </c>
      <c r="W1" s="159" t="s">
        <v>40</v>
      </c>
      <c r="X1" s="159" t="s">
        <v>464</v>
      </c>
    </row>
    <row r="2" spans="1:29" s="242" customFormat="1" ht="29" x14ac:dyDescent="0.35">
      <c r="A2" s="241" t="s">
        <v>4</v>
      </c>
      <c r="B2" s="242" t="s">
        <v>421</v>
      </c>
      <c r="C2" s="242" t="s">
        <v>422</v>
      </c>
      <c r="D2" s="242" t="s">
        <v>423</v>
      </c>
      <c r="E2" s="242" t="s">
        <v>424</v>
      </c>
      <c r="F2" s="242" t="s">
        <v>425</v>
      </c>
      <c r="H2" s="242" t="s">
        <v>450</v>
      </c>
      <c r="I2" s="242" t="s">
        <v>451</v>
      </c>
      <c r="J2" s="242" t="s">
        <v>5</v>
      </c>
      <c r="K2" s="242" t="s">
        <v>6</v>
      </c>
      <c r="N2" s="242" t="s">
        <v>457</v>
      </c>
      <c r="O2" s="242" t="s">
        <v>457</v>
      </c>
      <c r="P2" s="242" t="s">
        <v>6</v>
      </c>
      <c r="S2" s="241" t="s">
        <v>4</v>
      </c>
      <c r="T2" s="242" t="s">
        <v>421</v>
      </c>
      <c r="U2" s="242" t="s">
        <v>422</v>
      </c>
      <c r="V2" s="242" t="s">
        <v>423</v>
      </c>
      <c r="W2" s="242" t="s">
        <v>424</v>
      </c>
      <c r="X2" s="242" t="s">
        <v>425</v>
      </c>
      <c r="Z2" s="242" t="s">
        <v>465</v>
      </c>
      <c r="AA2" s="242" t="s">
        <v>470</v>
      </c>
    </row>
    <row r="3" spans="1:29" x14ac:dyDescent="0.35">
      <c r="A3" s="1" t="s">
        <v>30</v>
      </c>
      <c r="B3" s="244">
        <f>G72</f>
        <v>647810084.51397562</v>
      </c>
      <c r="C3" s="244">
        <f>B72</f>
        <v>654110365.73953295</v>
      </c>
      <c r="D3" s="13">
        <f>B3-C3</f>
        <v>-6300281.2255573273</v>
      </c>
      <c r="E3" s="247">
        <f>SUMPRODUCT(B23:B34, I23:I34)/C3</f>
        <v>0.10899052801075444</v>
      </c>
      <c r="F3" s="13">
        <f>D3*E3</f>
        <v>-686670.97738973622</v>
      </c>
      <c r="S3" s="1" t="s">
        <v>30</v>
      </c>
      <c r="T3" s="281">
        <f>T6*(U3/U5)</f>
        <v>647810084.51397574</v>
      </c>
      <c r="U3" s="279">
        <f>U6-U4</f>
        <v>654110365.73953307</v>
      </c>
      <c r="V3" s="13">
        <f>T3-U3</f>
        <v>-6300281.2255573273</v>
      </c>
      <c r="W3" s="296">
        <f>SUMPRODUCT(B23:B34, I23:I34)/C3</f>
        <v>0.10899052801075444</v>
      </c>
      <c r="X3" s="13">
        <f>V3*W3</f>
        <v>-686670.97738973622</v>
      </c>
      <c r="Z3" s="159" t="s">
        <v>35</v>
      </c>
      <c r="AA3" t="s">
        <v>30</v>
      </c>
      <c r="AB3" s="282" t="s">
        <v>489</v>
      </c>
      <c r="AC3" s="260"/>
    </row>
    <row r="4" spans="1:29" x14ac:dyDescent="0.35">
      <c r="A4" s="1" t="s">
        <v>426</v>
      </c>
      <c r="B4" s="244">
        <f>H72</f>
        <v>739541754.0299542</v>
      </c>
      <c r="C4" s="244">
        <f>C72</f>
        <v>746734172.209005</v>
      </c>
      <c r="D4" s="13">
        <f>B4-C4</f>
        <v>-7192418.1790508032</v>
      </c>
      <c r="E4" s="247">
        <f>SUMPRODUCT(C23:C34, J23:J34)/C4</f>
        <v>2.3223632382210219E-2</v>
      </c>
      <c r="F4" s="13">
        <f>D4*E4</f>
        <v>-167034.07572940169</v>
      </c>
      <c r="S4" s="1" t="s">
        <v>426</v>
      </c>
      <c r="T4" s="281">
        <f>T6*(U4/U5)</f>
        <v>739541754.02995431</v>
      </c>
      <c r="U4" s="257">
        <f>C72</f>
        <v>746734172.209005</v>
      </c>
      <c r="V4" s="13">
        <f>T4-U4</f>
        <v>-7192418.179050684</v>
      </c>
      <c r="W4" s="255">
        <f>SUMPRODUCT(C23:C34, J23:J34)/C4</f>
        <v>2.3223632382210219E-2</v>
      </c>
      <c r="X4" s="13">
        <f>V4*W4</f>
        <v>-167034.07572939893</v>
      </c>
      <c r="AB4" s="260"/>
      <c r="AC4" s="260"/>
    </row>
    <row r="5" spans="1:29" x14ac:dyDescent="0.35">
      <c r="A5" s="1" t="s">
        <v>5</v>
      </c>
      <c r="B5" s="13">
        <f>SUM(B3:B4)</f>
        <v>1387351838.5439298</v>
      </c>
      <c r="C5" s="13">
        <f t="shared" ref="C5" si="0">SUM(C3:C4)</f>
        <v>1400844537.9485378</v>
      </c>
      <c r="D5" s="13">
        <f t="shared" ref="D5" si="1">SUM(D3:D4)</f>
        <v>-13492699.40460813</v>
      </c>
      <c r="E5" s="13"/>
      <c r="F5" s="246">
        <f t="shared" ref="F5" si="2">SUM(F3:F4)</f>
        <v>-853705.05311913788</v>
      </c>
      <c r="H5" s="13">
        <v>-1145964.9300000072</v>
      </c>
      <c r="I5" s="13">
        <v>0</v>
      </c>
      <c r="J5" s="13">
        <f>H5+I5</f>
        <v>-1145964.9300000072</v>
      </c>
      <c r="K5" s="13">
        <f>F5-J5</f>
        <v>292259.87688086927</v>
      </c>
      <c r="N5" s="13">
        <v>1654466</v>
      </c>
      <c r="O5" s="13">
        <f>N72+O72</f>
        <v>652915.20625051146</v>
      </c>
      <c r="P5" s="13">
        <f>N5-O5</f>
        <v>1001550.7937494885</v>
      </c>
      <c r="Q5" s="13"/>
      <c r="R5" s="13"/>
      <c r="S5" s="1" t="s">
        <v>5</v>
      </c>
      <c r="T5" s="13">
        <f>SUM(T3:T4)</f>
        <v>1387351838.5439301</v>
      </c>
      <c r="U5" s="13">
        <f t="shared" ref="U5:V5" si="3">SUM(U3:U4)</f>
        <v>1400844537.9485381</v>
      </c>
      <c r="V5" s="13">
        <f t="shared" si="3"/>
        <v>-13492699.404608011</v>
      </c>
      <c r="W5" s="13"/>
      <c r="X5" s="13">
        <f t="shared" ref="X5" si="4">SUM(X3:X4)</f>
        <v>-853705.05311913509</v>
      </c>
      <c r="Z5" s="159" t="s">
        <v>36</v>
      </c>
      <c r="AA5" t="s">
        <v>30</v>
      </c>
      <c r="AB5" s="280" t="s">
        <v>494</v>
      </c>
      <c r="AC5" s="260" t="s">
        <v>502</v>
      </c>
    </row>
    <row r="6" spans="1:29" x14ac:dyDescent="0.35">
      <c r="S6" s="1"/>
      <c r="T6" s="244">
        <f>F72</f>
        <v>1387351838.5439301</v>
      </c>
      <c r="U6" s="13">
        <f>'App 2-R'!C21</f>
        <v>1400844537.9485381</v>
      </c>
      <c r="Z6" s="242"/>
      <c r="AA6" t="s">
        <v>426</v>
      </c>
      <c r="AB6" s="260" t="s">
        <v>466</v>
      </c>
      <c r="AC6" s="260"/>
    </row>
    <row r="7" spans="1:29" s="242" customFormat="1" ht="29" x14ac:dyDescent="0.35">
      <c r="A7" s="241" t="s">
        <v>0</v>
      </c>
      <c r="B7" s="242" t="s">
        <v>421</v>
      </c>
      <c r="C7" s="242" t="s">
        <v>422</v>
      </c>
      <c r="D7" s="242" t="s">
        <v>423</v>
      </c>
      <c r="E7" s="242" t="s">
        <v>424</v>
      </c>
      <c r="F7" s="242" t="s">
        <v>425</v>
      </c>
      <c r="H7" s="242" t="s">
        <v>450</v>
      </c>
      <c r="I7" s="242" t="s">
        <v>451</v>
      </c>
      <c r="J7" s="242" t="s">
        <v>5</v>
      </c>
      <c r="K7" s="242" t="s">
        <v>6</v>
      </c>
      <c r="N7" s="242" t="s">
        <v>457</v>
      </c>
      <c r="O7" s="242" t="s">
        <v>457</v>
      </c>
      <c r="S7" s="241" t="s">
        <v>0</v>
      </c>
      <c r="T7" s="242" t="s">
        <v>421</v>
      </c>
      <c r="U7" s="242" t="s">
        <v>422</v>
      </c>
      <c r="V7" s="242" t="s">
        <v>423</v>
      </c>
      <c r="W7" s="242" t="s">
        <v>424</v>
      </c>
      <c r="X7" s="242" t="s">
        <v>425</v>
      </c>
      <c r="Z7"/>
      <c r="AA7"/>
      <c r="AB7" s="260"/>
      <c r="AC7" s="260"/>
    </row>
    <row r="8" spans="1:29" x14ac:dyDescent="0.35">
      <c r="A8" s="1" t="s">
        <v>30</v>
      </c>
      <c r="B8" s="244">
        <f>G73</f>
        <v>657558039.87955832</v>
      </c>
      <c r="C8" s="244">
        <f>B73</f>
        <v>658997489.58326995</v>
      </c>
      <c r="D8" s="13">
        <f>B8-C8</f>
        <v>-1439449.7037116289</v>
      </c>
      <c r="E8" s="247">
        <f>SUMPRODUCT(B35:B46, I35:I46)/C8</f>
        <v>0.13011280609876044</v>
      </c>
      <c r="F8" s="13">
        <f>D8*E8</f>
        <v>-187290.84018794933</v>
      </c>
      <c r="S8" s="1" t="s">
        <v>30</v>
      </c>
      <c r="T8" s="281">
        <f>T11*(U8/U10)</f>
        <v>657558039.87955832</v>
      </c>
      <c r="U8" s="279">
        <f>U11-U9</f>
        <v>658997489.58326995</v>
      </c>
      <c r="V8" s="13">
        <f>T8-U8</f>
        <v>-1439449.7037116289</v>
      </c>
      <c r="W8" s="296">
        <f>SUMPRODUCT(B35:B46, I35:I46)/C8</f>
        <v>0.13011280609876044</v>
      </c>
      <c r="X8" s="13">
        <f>V8*W8</f>
        <v>-187290.84018794933</v>
      </c>
      <c r="Z8" s="159" t="s">
        <v>38</v>
      </c>
      <c r="AA8" t="s">
        <v>16</v>
      </c>
      <c r="AB8" t="s">
        <v>467</v>
      </c>
    </row>
    <row r="9" spans="1:29" x14ac:dyDescent="0.35">
      <c r="A9" s="1" t="s">
        <v>426</v>
      </c>
      <c r="B9" s="244">
        <f>H73</f>
        <v>736547171.13255358</v>
      </c>
      <c r="C9" s="244">
        <f>C73</f>
        <v>738159534.66999996</v>
      </c>
      <c r="D9" s="13">
        <f>B9-C9</f>
        <v>-1612363.5374463797</v>
      </c>
      <c r="E9" s="247">
        <f>SUMPRODUCT(C35:C46, J35:J46)/C9</f>
        <v>1.6462072881353349E-2</v>
      </c>
      <c r="F9" s="13">
        <f>D9*E9</f>
        <v>-26542.846064679001</v>
      </c>
      <c r="S9" s="1" t="s">
        <v>426</v>
      </c>
      <c r="T9" s="281">
        <f>T11*(U9/U10)</f>
        <v>736547171.13255358</v>
      </c>
      <c r="U9" s="244">
        <f>C73</f>
        <v>738159534.66999996</v>
      </c>
      <c r="V9" s="13">
        <f>T9-U9</f>
        <v>-1612363.5374463797</v>
      </c>
      <c r="W9" s="255">
        <f>SUMPRODUCT(C35:C46, J35:J46)/C9</f>
        <v>1.6462072881353349E-2</v>
      </c>
      <c r="X9" s="13">
        <f>V9*W9</f>
        <v>-26542.846064679001</v>
      </c>
      <c r="AB9" s="260"/>
      <c r="AC9" s="260"/>
    </row>
    <row r="10" spans="1:29" x14ac:dyDescent="0.35">
      <c r="A10" s="1" t="s">
        <v>5</v>
      </c>
      <c r="B10" s="13">
        <f>SUM(B8:B9)</f>
        <v>1394105211.0121119</v>
      </c>
      <c r="C10" s="13">
        <f t="shared" ref="C10" si="5">SUM(C8:C9)</f>
        <v>1397157024.2532699</v>
      </c>
      <c r="D10" s="13">
        <f t="shared" ref="D10" si="6">SUM(D8:D9)</f>
        <v>-3051813.2411580086</v>
      </c>
      <c r="E10" s="13"/>
      <c r="F10" s="246">
        <f t="shared" ref="F10" si="7">SUM(F8:F9)</f>
        <v>-213833.68625262834</v>
      </c>
      <c r="H10" s="13">
        <v>770633.1099999845</v>
      </c>
      <c r="I10" s="13">
        <v>0</v>
      </c>
      <c r="J10" s="13">
        <f>H10+I10</f>
        <v>770633.1099999845</v>
      </c>
      <c r="K10" s="13">
        <f>F10-J10</f>
        <v>-984466.79625261284</v>
      </c>
      <c r="N10" s="13">
        <v>357678</v>
      </c>
      <c r="O10" s="13">
        <f>N73+O73</f>
        <v>-591875.33884538931</v>
      </c>
      <c r="P10" s="13">
        <f>N10-O10</f>
        <v>949553.33884538931</v>
      </c>
      <c r="Q10" s="13"/>
      <c r="R10" s="13"/>
      <c r="S10" s="1" t="s">
        <v>5</v>
      </c>
      <c r="T10" s="13">
        <f>SUM(T8:T9)</f>
        <v>1394105211.0121119</v>
      </c>
      <c r="U10" s="13">
        <f t="shared" ref="U10:V10" si="8">SUM(U8:U9)</f>
        <v>1397157024.2532699</v>
      </c>
      <c r="V10" s="13">
        <f t="shared" si="8"/>
        <v>-3051813.2411580086</v>
      </c>
      <c r="X10" s="13">
        <f t="shared" ref="X10" si="9">SUM(X8:X9)</f>
        <v>-213833.68625262834</v>
      </c>
      <c r="Z10" s="159" t="s">
        <v>40</v>
      </c>
      <c r="AA10" t="s">
        <v>30</v>
      </c>
      <c r="AB10" s="260"/>
      <c r="AC10" s="260"/>
    </row>
    <row r="11" spans="1:29" x14ac:dyDescent="0.35">
      <c r="S11" s="1"/>
      <c r="T11" s="244">
        <f>F73</f>
        <v>1394105211.0121119</v>
      </c>
      <c r="U11" s="13">
        <f>'App 2-R'!D21</f>
        <v>1397157024.2532699</v>
      </c>
      <c r="Z11" s="242"/>
      <c r="AA11" t="s">
        <v>426</v>
      </c>
      <c r="AB11" s="260" t="s">
        <v>468</v>
      </c>
      <c r="AC11" s="260" t="s">
        <v>471</v>
      </c>
    </row>
    <row r="12" spans="1:29" s="242" customFormat="1" ht="29" x14ac:dyDescent="0.35">
      <c r="A12" s="241" t="s">
        <v>1</v>
      </c>
      <c r="B12" s="242" t="s">
        <v>421</v>
      </c>
      <c r="C12" s="242" t="s">
        <v>422</v>
      </c>
      <c r="D12" s="242" t="s">
        <v>423</v>
      </c>
      <c r="E12" s="242" t="s">
        <v>424</v>
      </c>
      <c r="F12" s="242" t="s">
        <v>425</v>
      </c>
      <c r="H12" s="242" t="s">
        <v>450</v>
      </c>
      <c r="I12" s="242" t="s">
        <v>451</v>
      </c>
      <c r="J12" s="242" t="s">
        <v>5</v>
      </c>
      <c r="K12" s="242" t="s">
        <v>6</v>
      </c>
      <c r="N12" s="242" t="s">
        <v>457</v>
      </c>
      <c r="O12" s="242" t="s">
        <v>457</v>
      </c>
      <c r="S12" s="241" t="s">
        <v>1</v>
      </c>
      <c r="T12" s="242" t="s">
        <v>421</v>
      </c>
      <c r="U12" s="242" t="s">
        <v>422</v>
      </c>
      <c r="V12" s="242" t="s">
        <v>423</v>
      </c>
      <c r="W12" s="242" t="s">
        <v>424</v>
      </c>
      <c r="X12" s="242" t="s">
        <v>425</v>
      </c>
      <c r="Z12"/>
      <c r="AA12"/>
      <c r="AB12" s="260"/>
      <c r="AC12" s="260"/>
    </row>
    <row r="13" spans="1:29" x14ac:dyDescent="0.35">
      <c r="A13" s="1" t="s">
        <v>30</v>
      </c>
      <c r="B13" s="244">
        <f>G74</f>
        <v>638037805.7811054</v>
      </c>
      <c r="C13" s="244">
        <f>B74</f>
        <v>640165900.48099983</v>
      </c>
      <c r="D13" s="13">
        <f>B13-C13</f>
        <v>-2128094.6998944283</v>
      </c>
      <c r="E13" s="247">
        <f>SUMPRODUCT(B47:B58, I47:I58)/C13</f>
        <v>0.12050307693545773</v>
      </c>
      <c r="F13" s="13">
        <f>D13*E13</f>
        <v>-256441.9593473181</v>
      </c>
      <c r="S13" s="1" t="s">
        <v>30</v>
      </c>
      <c r="T13" s="281">
        <f>T16*(U13/U15)</f>
        <v>639182108.88584876</v>
      </c>
      <c r="U13" s="279">
        <f>U16-U14</f>
        <v>642552746.03562176</v>
      </c>
      <c r="V13" s="13">
        <f>T13-U13</f>
        <v>-3370637.1497730017</v>
      </c>
      <c r="W13" s="296">
        <f>SUMPRODUCT(B47:B58, I47:I58)/C13</f>
        <v>0.12050307693545773</v>
      </c>
      <c r="X13" s="13">
        <f>V13*W13</f>
        <v>-406172.14778060798</v>
      </c>
      <c r="Z13" s="159" t="s">
        <v>464</v>
      </c>
      <c r="AA13" t="s">
        <v>16</v>
      </c>
      <c r="AB13" t="s">
        <v>469</v>
      </c>
    </row>
    <row r="14" spans="1:29" x14ac:dyDescent="0.35">
      <c r="A14" s="1" t="s">
        <v>426</v>
      </c>
      <c r="B14" s="244">
        <f>H74</f>
        <v>615054521.849666</v>
      </c>
      <c r="C14" s="244">
        <f>C74</f>
        <v>617147588.12864006</v>
      </c>
      <c r="D14" s="13">
        <f>B14-C14</f>
        <v>-2093066.2789740562</v>
      </c>
      <c r="E14" s="247">
        <f>SUMPRODUCT(C47:C58, J47:J58)/C14</f>
        <v>1.5517470807240618E-2</v>
      </c>
      <c r="F14" s="13">
        <f>D14*E14</f>
        <v>-32479.094881599667</v>
      </c>
      <c r="S14" s="1" t="s">
        <v>426</v>
      </c>
      <c r="T14" s="281">
        <f>T16*(U14/U15)</f>
        <v>613910218.74492264</v>
      </c>
      <c r="U14" s="244">
        <f>C74</f>
        <v>617147588.12864006</v>
      </c>
      <c r="V14" s="13">
        <f>T14-U14</f>
        <v>-3237369.3837174177</v>
      </c>
      <c r="W14" s="255">
        <f>SUMPRODUCT(C47:C58, J47:J58)/C14</f>
        <v>1.5517470807240618E-2</v>
      </c>
      <c r="X14" s="13">
        <f>V14*W14</f>
        <v>-50235.784904089582</v>
      </c>
    </row>
    <row r="15" spans="1:29" x14ac:dyDescent="0.35">
      <c r="A15" s="1" t="s">
        <v>5</v>
      </c>
      <c r="B15" s="13">
        <f>SUM(B13:B14)</f>
        <v>1253092327.6307714</v>
      </c>
      <c r="C15" s="13">
        <f t="shared" ref="C15" si="10">SUM(C13:C14)</f>
        <v>1257313488.6096399</v>
      </c>
      <c r="D15" s="13">
        <f t="shared" ref="D15" si="11">SUM(D13:D14)</f>
        <v>-4221160.9788684845</v>
      </c>
      <c r="E15" s="13"/>
      <c r="F15" s="246">
        <f t="shared" ref="F15" si="12">SUM(F13:F14)</f>
        <v>-288921.05422891775</v>
      </c>
      <c r="H15" s="13">
        <v>-1078443</v>
      </c>
      <c r="I15" s="13">
        <f>794379+398902</f>
        <v>1193281</v>
      </c>
      <c r="J15" s="13">
        <f>H15+I15</f>
        <v>114838</v>
      </c>
      <c r="K15" s="13">
        <f>F15-J15</f>
        <v>-403759.05422891775</v>
      </c>
      <c r="N15" s="13">
        <v>995825</v>
      </c>
      <c r="O15" s="13">
        <f>N74+O74</f>
        <v>647347.77666472713</v>
      </c>
      <c r="P15" s="13">
        <f>N15-O15</f>
        <v>348477.22333527287</v>
      </c>
      <c r="Q15" s="13"/>
      <c r="R15" s="13"/>
      <c r="S15" s="1" t="s">
        <v>5</v>
      </c>
      <c r="T15" s="13">
        <f>SUM(T13:T14)</f>
        <v>1253092327.6307714</v>
      </c>
      <c r="U15" s="13">
        <f t="shared" ref="U15:V15" si="13">SUM(U13:U14)</f>
        <v>1259700334.1642618</v>
      </c>
      <c r="V15" s="13">
        <f t="shared" si="13"/>
        <v>-6608006.5334904194</v>
      </c>
      <c r="X15" s="13">
        <f t="shared" ref="X15" si="14">SUM(X13:X14)</f>
        <v>-456407.93268469756</v>
      </c>
      <c r="AB15" s="260"/>
      <c r="AC15" s="260"/>
    </row>
    <row r="16" spans="1:29" x14ac:dyDescent="0.35">
      <c r="S16" s="1"/>
      <c r="T16" s="244">
        <f>F74</f>
        <v>1253092327.6307714</v>
      </c>
      <c r="U16" s="13">
        <f>'App 2-R'!E21</f>
        <v>1259700334.1642618</v>
      </c>
      <c r="AB16" s="260"/>
      <c r="AC16" s="260"/>
    </row>
    <row r="17" spans="1:27" s="242" customFormat="1" ht="29" x14ac:dyDescent="0.35">
      <c r="A17" s="241" t="s">
        <v>2</v>
      </c>
      <c r="B17" s="242" t="s">
        <v>421</v>
      </c>
      <c r="C17" s="242" t="s">
        <v>422</v>
      </c>
      <c r="D17" s="242" t="s">
        <v>423</v>
      </c>
      <c r="E17" s="242" t="s">
        <v>424</v>
      </c>
      <c r="F17" s="242" t="s">
        <v>425</v>
      </c>
      <c r="H17" s="242" t="s">
        <v>450</v>
      </c>
      <c r="I17" s="242" t="s">
        <v>451</v>
      </c>
      <c r="J17" s="242" t="s">
        <v>5</v>
      </c>
      <c r="K17" s="242" t="s">
        <v>6</v>
      </c>
      <c r="N17" s="242" t="s">
        <v>457</v>
      </c>
      <c r="O17" s="242" t="s">
        <v>457</v>
      </c>
      <c r="S17" s="241" t="s">
        <v>2</v>
      </c>
      <c r="T17" s="242" t="s">
        <v>421</v>
      </c>
      <c r="U17" s="242" t="s">
        <v>422</v>
      </c>
      <c r="V17" s="242" t="s">
        <v>423</v>
      </c>
      <c r="W17" s="242" t="s">
        <v>424</v>
      </c>
      <c r="X17" s="242" t="s">
        <v>425</v>
      </c>
      <c r="AA17"/>
    </row>
    <row r="18" spans="1:27" x14ac:dyDescent="0.35">
      <c r="A18" s="1" t="s">
        <v>30</v>
      </c>
      <c r="B18" s="13">
        <f>G75</f>
        <v>695581881.16643083</v>
      </c>
      <c r="C18" s="13">
        <f>B75</f>
        <v>697287702.58126998</v>
      </c>
      <c r="D18" s="13">
        <f>B18-C18</f>
        <v>-1705821.4148391485</v>
      </c>
      <c r="E18" s="247">
        <f>SUMPRODUCT(B59:B70, I59:I70)/C18</f>
        <v>9.9297733244885764E-2</v>
      </c>
      <c r="F18" s="13">
        <f>D18*E18</f>
        <v>-169384.1998141114</v>
      </c>
      <c r="H18" s="13"/>
      <c r="I18" s="13"/>
      <c r="J18" s="13"/>
      <c r="K18" s="13"/>
      <c r="N18" s="13"/>
      <c r="O18" s="13"/>
      <c r="P18" s="13"/>
      <c r="Q18" s="13"/>
      <c r="R18" s="13"/>
      <c r="S18" s="1" t="s">
        <v>30</v>
      </c>
      <c r="T18" s="281">
        <f>T21*(U18/U20)</f>
        <v>695760722.5806495</v>
      </c>
      <c r="U18" s="279">
        <f>U21-U19</f>
        <v>697715546.86426663</v>
      </c>
      <c r="V18" s="13">
        <f>T18-U18</f>
        <v>-1954824.2836171389</v>
      </c>
      <c r="W18" s="296">
        <f>SUMPRODUCT(B59:B70, I59:I70)/C18</f>
        <v>9.9297733244885764E-2</v>
      </c>
      <c r="X18" s="13">
        <f>V18*W18</f>
        <v>-194109.62025523957</v>
      </c>
    </row>
    <row r="19" spans="1:27" x14ac:dyDescent="0.35">
      <c r="A19" s="1" t="s">
        <v>426</v>
      </c>
      <c r="B19" s="13">
        <f>H75</f>
        <v>510693964.31617618</v>
      </c>
      <c r="C19" s="13">
        <f>C75</f>
        <v>511949477.16631007</v>
      </c>
      <c r="D19" s="13">
        <f>B19-C19</f>
        <v>-1255512.8501338959</v>
      </c>
      <c r="E19" s="247">
        <f>SUMPRODUCT(C59:C70, J59:J70)/C19</f>
        <v>2.406338897221821E-2</v>
      </c>
      <c r="F19" s="13">
        <f>D19*E19</f>
        <v>-30211.894072390245</v>
      </c>
      <c r="H19" s="13"/>
      <c r="I19" s="13"/>
      <c r="J19" s="13"/>
      <c r="K19" s="13"/>
      <c r="N19" s="13"/>
      <c r="O19" s="13"/>
      <c r="P19" s="13"/>
      <c r="Q19" s="13"/>
      <c r="R19" s="13"/>
      <c r="S19" s="1" t="s">
        <v>426</v>
      </c>
      <c r="T19" s="281">
        <f>T21*(U19/U20)</f>
        <v>510515122.90195763</v>
      </c>
      <c r="U19" s="13">
        <f>C75</f>
        <v>511949477.16631007</v>
      </c>
      <c r="V19" s="13">
        <f>T19-U19</f>
        <v>-1434354.2643524408</v>
      </c>
      <c r="W19" s="255">
        <f>SUMPRODUCT(C59:C70, J59:J70)/C19</f>
        <v>2.406338897221821E-2</v>
      </c>
      <c r="X19" s="13">
        <f>V19*W19</f>
        <v>-34515.424587072688</v>
      </c>
    </row>
    <row r="20" spans="1:27" x14ac:dyDescent="0.35">
      <c r="A20" s="1" t="s">
        <v>5</v>
      </c>
      <c r="B20" s="13">
        <f>SUM(B18:B19)</f>
        <v>1206275845.4826069</v>
      </c>
      <c r="C20" s="13">
        <f t="shared" ref="C20:F20" si="15">SUM(C18:C19)</f>
        <v>1209237179.7475801</v>
      </c>
      <c r="D20" s="13">
        <f t="shared" si="15"/>
        <v>-2961334.2649730444</v>
      </c>
      <c r="E20" s="13"/>
      <c r="F20" s="246">
        <f t="shared" si="15"/>
        <v>-199596.09388650165</v>
      </c>
      <c r="H20" s="13">
        <v>865538</v>
      </c>
      <c r="I20" s="13">
        <v>-298382.23514329025</v>
      </c>
      <c r="J20" s="13">
        <f>H20+I20</f>
        <v>567155.76485670975</v>
      </c>
      <c r="K20" s="13">
        <f>F20-J20</f>
        <v>-766751.85874321137</v>
      </c>
      <c r="L20" s="287">
        <f>K5+K10+K15+K20</f>
        <v>-1862717.8323438726</v>
      </c>
      <c r="M20" s="13"/>
      <c r="N20" s="13">
        <f>-348978-355687.87</f>
        <v>-704665.87</v>
      </c>
      <c r="O20" s="13">
        <f>N75+O75</f>
        <v>-814744.81074145937</v>
      </c>
      <c r="P20" s="13">
        <f>N20-O20</f>
        <v>110078.94074145937</v>
      </c>
      <c r="Q20" s="287">
        <f>P5+P10+P15+P20</f>
        <v>2409660.2966716099</v>
      </c>
      <c r="R20" s="287">
        <f>L20+Q20</f>
        <v>546942.46432773722</v>
      </c>
      <c r="S20" s="1" t="s">
        <v>5</v>
      </c>
      <c r="T20" s="13">
        <f>SUM(T18:T19)</f>
        <v>1206275845.4826071</v>
      </c>
      <c r="U20" s="13">
        <f t="shared" ref="U20:V20" si="16">SUM(U18:U19)</f>
        <v>1209665024.0305767</v>
      </c>
      <c r="V20" s="13">
        <f t="shared" si="16"/>
        <v>-3389178.5479695797</v>
      </c>
      <c r="X20" s="13">
        <f t="shared" ref="X20" si="17">SUM(X18:X19)</f>
        <v>-228625.04484231226</v>
      </c>
    </row>
    <row r="21" spans="1:27" x14ac:dyDescent="0.35">
      <c r="T21" s="244">
        <f>F75</f>
        <v>1206275845.4826071</v>
      </c>
      <c r="U21" s="13">
        <f>'App 2-R'!F21</f>
        <v>1209665024.0305767</v>
      </c>
    </row>
    <row r="22" spans="1:27" s="242" customFormat="1" ht="43.5" x14ac:dyDescent="0.35">
      <c r="B22" s="242" t="s">
        <v>440</v>
      </c>
      <c r="C22" s="242" t="s">
        <v>441</v>
      </c>
      <c r="D22" s="242" t="s">
        <v>447</v>
      </c>
      <c r="E22" s="242" t="s">
        <v>434</v>
      </c>
      <c r="F22" s="297" t="s">
        <v>435</v>
      </c>
      <c r="G22" s="242" t="s">
        <v>442</v>
      </c>
      <c r="H22" s="242" t="s">
        <v>443</v>
      </c>
      <c r="I22" s="242" t="s">
        <v>439</v>
      </c>
      <c r="J22" s="254" t="s">
        <v>449</v>
      </c>
      <c r="K22" s="242" t="s">
        <v>444</v>
      </c>
      <c r="L22" s="258" t="s">
        <v>448</v>
      </c>
      <c r="M22" s="258" t="s">
        <v>445</v>
      </c>
      <c r="N22" s="258" t="s">
        <v>446</v>
      </c>
      <c r="O22" s="258" t="s">
        <v>461</v>
      </c>
      <c r="P22" s="242" t="s">
        <v>462</v>
      </c>
      <c r="Q22" s="242" t="s">
        <v>458</v>
      </c>
    </row>
    <row r="23" spans="1:27" x14ac:dyDescent="0.35">
      <c r="A23" s="243">
        <v>42005</v>
      </c>
      <c r="B23" s="253">
        <f t="array" ref="B23:B70">TRANSPOSE('RPP kWh'!B8:AW8)</f>
        <v>66399463.70912724</v>
      </c>
      <c r="C23" s="253">
        <f t="array" ref="C23:C70">TRANSPOSE('Cl B Non-RPP kWh'!C57:AX57)</f>
        <v>65522771.193451315</v>
      </c>
      <c r="D23" s="245">
        <v>5.5490000000000005E-2</v>
      </c>
      <c r="E23" s="245">
        <v>5.0680000000000003E-2</v>
      </c>
      <c r="F23" s="295">
        <f t="array" ref="F23:F70">TRANSPOSE('RPP kWh'!B50:AW50)</f>
        <v>130651582.08414999</v>
      </c>
      <c r="G23" s="13">
        <f t="shared" ref="G23:G70" si="18">(B23/(C23+B23))*F23</f>
        <v>65759915.222350508</v>
      </c>
      <c r="H23" s="13">
        <f t="shared" ref="H23:H70" si="19">(C23/(C23+B23))*F23</f>
        <v>64891666.861799471</v>
      </c>
      <c r="I23" s="255">
        <f t="array" ref="I23:I70">TRANSPOSE('RPP kWh'!B26:AW26)</f>
        <v>9.5449103117166562E-2</v>
      </c>
      <c r="J23" s="255">
        <v>2.9600000000000001E-2</v>
      </c>
      <c r="K23" s="247">
        <f>J23+E23</f>
        <v>8.0280000000000004E-2</v>
      </c>
      <c r="L23" s="13">
        <f t="shared" ref="L23:L70" si="20">(G23-B23)*I23</f>
        <v>-61044.329462780122</v>
      </c>
      <c r="M23" s="13">
        <f t="shared" ref="M23:M70" si="21">(H23-C23)*J23</f>
        <v>-18680.688216894585</v>
      </c>
      <c r="N23" s="13">
        <f>(H23-C23)*D23</f>
        <v>-35019.979363360828</v>
      </c>
      <c r="O23" s="13">
        <f t="shared" ref="O23:O70" si="22">H23*(E23-D23)</f>
        <v>-312128.91760525556</v>
      </c>
      <c r="P23" s="13">
        <f t="array" ref="P23:P70">TRANSPOSE('Cl B Non-RPP GA'!E131:AZ131)</f>
        <v>-343227.69000000041</v>
      </c>
      <c r="Q23" s="13">
        <f>C23*(E23-D23)</f>
        <v>-315164.52944050095</v>
      </c>
      <c r="R23" s="244">
        <f t="shared" ref="R23:R69" si="23">P23-Q23</f>
        <v>-28063.160559499462</v>
      </c>
    </row>
    <row r="24" spans="1:27" x14ac:dyDescent="0.35">
      <c r="A24" s="243">
        <f>EOMONTH(A23, 1)</f>
        <v>42063</v>
      </c>
      <c r="B24" s="253">
        <v>60977927.169316366</v>
      </c>
      <c r="C24" s="253">
        <v>60674187.181810051</v>
      </c>
      <c r="D24" s="245">
        <v>6.9809999999999997E-2</v>
      </c>
      <c r="E24" s="245">
        <v>3.9609999999999999E-2</v>
      </c>
      <c r="F24" s="295">
        <v>120480381.60961999</v>
      </c>
      <c r="G24" s="13">
        <f t="shared" si="18"/>
        <v>60390598.012280457</v>
      </c>
      <c r="H24" s="13">
        <f t="shared" si="19"/>
        <v>60089783.597339533</v>
      </c>
      <c r="I24" s="255">
        <v>9.5277561693385512E-2</v>
      </c>
      <c r="J24" s="255">
        <v>5.1200000000000002E-2</v>
      </c>
      <c r="K24" s="247">
        <f t="shared" ref="K24:K69" si="24">J24+E24</f>
        <v>9.0810000000000002E-2</v>
      </c>
      <c r="L24" s="13">
        <f t="shared" si="20"/>
        <v>-55959.289993812985</v>
      </c>
      <c r="M24" s="13">
        <f t="shared" si="21"/>
        <v>-29921.463524890518</v>
      </c>
      <c r="N24" s="13">
        <f t="shared" ref="N24:N70" si="25">(H24-C24)*D24</f>
        <v>-40797.214231886857</v>
      </c>
      <c r="O24" s="13">
        <f t="shared" si="22"/>
        <v>-1814711.4646396537</v>
      </c>
      <c r="P24" s="13">
        <v>-1719088.3000000003</v>
      </c>
      <c r="Q24" s="13">
        <f t="shared" ref="Q24:Q70" si="26">C24*(E24-D24)</f>
        <v>-1832360.4528906634</v>
      </c>
      <c r="R24" s="244">
        <f t="shared" si="23"/>
        <v>113272.15289066313</v>
      </c>
    </row>
    <row r="25" spans="1:27" x14ac:dyDescent="0.35">
      <c r="A25" s="243">
        <f t="shared" ref="A25:A70" si="27">EOMONTH(A24, 1)</f>
        <v>42094</v>
      </c>
      <c r="B25" s="253">
        <v>58825932.555270925</v>
      </c>
      <c r="C25" s="253">
        <v>64682682.135765485</v>
      </c>
      <c r="D25" s="245">
        <v>3.6040000000000003E-2</v>
      </c>
      <c r="E25" s="245">
        <v>6.2899999999999998E-2</v>
      </c>
      <c r="F25" s="295">
        <v>122319000.44994</v>
      </c>
      <c r="G25" s="13">
        <f t="shared" si="18"/>
        <v>58259331.049063556</v>
      </c>
      <c r="H25" s="13">
        <f t="shared" si="19"/>
        <v>64059669.40087644</v>
      </c>
      <c r="I25" s="255">
        <v>9.4937306777768557E-2</v>
      </c>
      <c r="J25" s="255">
        <v>2.5600000000000001E-2</v>
      </c>
      <c r="K25" s="247">
        <f t="shared" si="24"/>
        <v>8.8499999999999995E-2</v>
      </c>
      <c r="L25" s="13">
        <f t="shared" si="20"/>
        <v>-53791.621015554752</v>
      </c>
      <c r="M25" s="13">
        <f t="shared" si="21"/>
        <v>-15949.126013159563</v>
      </c>
      <c r="N25" s="13">
        <f t="shared" si="25"/>
        <v>-22453.378965401196</v>
      </c>
      <c r="O25" s="13">
        <f t="shared" si="22"/>
        <v>1720642.720107541</v>
      </c>
      <c r="P25" s="13">
        <v>1662122.0699999998</v>
      </c>
      <c r="Q25" s="13">
        <f t="shared" si="26"/>
        <v>1737376.8421666606</v>
      </c>
      <c r="R25" s="244">
        <f t="shared" si="23"/>
        <v>-75254.772166660754</v>
      </c>
    </row>
    <row r="26" spans="1:27" x14ac:dyDescent="0.35">
      <c r="A26" s="243">
        <f t="shared" si="27"/>
        <v>42124</v>
      </c>
      <c r="B26" s="253">
        <v>47536390.336857691</v>
      </c>
      <c r="C26" s="253">
        <v>59077698.120341726</v>
      </c>
      <c r="D26" s="245">
        <v>6.7049999999999998E-2</v>
      </c>
      <c r="E26" s="245">
        <v>9.5590000000000008E-2</v>
      </c>
      <c r="F26" s="295">
        <v>105587199.45640001</v>
      </c>
      <c r="G26" s="13">
        <f t="shared" si="18"/>
        <v>47078527.805920012</v>
      </c>
      <c r="H26" s="13">
        <f t="shared" si="19"/>
        <v>58508671.650479987</v>
      </c>
      <c r="I26" s="255">
        <v>9.5341353518833702E-2</v>
      </c>
      <c r="J26" s="255">
        <v>1.6500000000000001E-2</v>
      </c>
      <c r="K26" s="247">
        <f t="shared" si="24"/>
        <v>0.11209000000000001</v>
      </c>
      <c r="L26" s="13">
        <f t="shared" si="20"/>
        <v>-43653.233425157196</v>
      </c>
      <c r="M26" s="13">
        <f t="shared" si="21"/>
        <v>-9388.9367527186841</v>
      </c>
      <c r="N26" s="13">
        <f t="shared" si="25"/>
        <v>-38153.224804229554</v>
      </c>
      <c r="O26" s="13">
        <f t="shared" si="22"/>
        <v>1669837.4889046995</v>
      </c>
      <c r="P26" s="13">
        <v>1769880.9399999995</v>
      </c>
      <c r="Q26" s="13">
        <f t="shared" si="26"/>
        <v>1686077.5043545535</v>
      </c>
      <c r="R26" s="244">
        <f t="shared" si="23"/>
        <v>83803.435645445948</v>
      </c>
    </row>
    <row r="27" spans="1:27" x14ac:dyDescent="0.35">
      <c r="A27" s="243">
        <f t="shared" si="27"/>
        <v>42155</v>
      </c>
      <c r="B27" s="253">
        <v>49106189.40055643</v>
      </c>
      <c r="C27" s="253">
        <v>61516694.447893083</v>
      </c>
      <c r="D27" s="245">
        <v>9.4159999999999994E-2</v>
      </c>
      <c r="E27" s="245">
        <v>9.6680000000000002E-2</v>
      </c>
      <c r="F27" s="295">
        <v>109557382.80347</v>
      </c>
      <c r="G27" s="13">
        <f t="shared" si="18"/>
        <v>48633206.828587547</v>
      </c>
      <c r="H27" s="13">
        <f t="shared" si="19"/>
        <v>60924175.974882446</v>
      </c>
      <c r="I27" s="255">
        <v>0.10241328307107163</v>
      </c>
      <c r="J27" s="255">
        <v>1.54E-2</v>
      </c>
      <c r="K27" s="247">
        <f t="shared" si="24"/>
        <v>0.11208</v>
      </c>
      <c r="L27" s="13">
        <f t="shared" si="20"/>
        <v>-48439.698030732754</v>
      </c>
      <c r="M27" s="13">
        <f t="shared" si="21"/>
        <v>-9124.7844843638086</v>
      </c>
      <c r="N27" s="13">
        <f t="shared" si="25"/>
        <v>-55791.539418681561</v>
      </c>
      <c r="O27" s="13">
        <f t="shared" si="22"/>
        <v>153528.92345670427</v>
      </c>
      <c r="P27" s="13">
        <v>268348.58999999985</v>
      </c>
      <c r="Q27" s="13">
        <f t="shared" si="26"/>
        <v>155022.07000869108</v>
      </c>
      <c r="R27" s="244">
        <f t="shared" si="23"/>
        <v>113326.51999130877</v>
      </c>
    </row>
    <row r="28" spans="1:27" x14ac:dyDescent="0.35">
      <c r="A28" s="243">
        <f t="shared" si="27"/>
        <v>42185</v>
      </c>
      <c r="B28" s="253">
        <v>49540470.988052122</v>
      </c>
      <c r="C28" s="253">
        <v>62183858.705205068</v>
      </c>
      <c r="D28" s="245">
        <v>9.2280000000000001E-2</v>
      </c>
      <c r="E28" s="245">
        <v>9.5400000000000013E-2</v>
      </c>
      <c r="F28" s="295">
        <v>110648219.70682</v>
      </c>
      <c r="G28" s="13">
        <f t="shared" si="18"/>
        <v>49063305.488743141</v>
      </c>
      <c r="H28" s="13">
        <f t="shared" si="19"/>
        <v>61584914.21807687</v>
      </c>
      <c r="I28" s="255">
        <v>0.10285124022264169</v>
      </c>
      <c r="J28" s="255">
        <v>1.5300000000000001E-2</v>
      </c>
      <c r="K28" s="247">
        <f t="shared" si="24"/>
        <v>0.11070000000000002</v>
      </c>
      <c r="L28" s="13">
        <f t="shared" si="20"/>
        <v>-49077.063395384772</v>
      </c>
      <c r="M28" s="13">
        <f t="shared" si="21"/>
        <v>-9163.8506530614322</v>
      </c>
      <c r="N28" s="13">
        <f t="shared" si="25"/>
        <v>-55270.597272190127</v>
      </c>
      <c r="O28" s="13">
        <f t="shared" si="22"/>
        <v>192144.93236040056</v>
      </c>
      <c r="P28" s="13">
        <v>228866.85000000056</v>
      </c>
      <c r="Q28" s="13">
        <f t="shared" si="26"/>
        <v>194013.63916024053</v>
      </c>
      <c r="R28" s="244">
        <f t="shared" si="23"/>
        <v>34853.210839760024</v>
      </c>
    </row>
    <row r="29" spans="1:27" x14ac:dyDescent="0.35">
      <c r="A29" s="243">
        <f t="shared" si="27"/>
        <v>42216</v>
      </c>
      <c r="B29" s="253">
        <v>59273914.339328215</v>
      </c>
      <c r="C29" s="253">
        <v>65304741.291250877</v>
      </c>
      <c r="D29" s="245">
        <v>8.8880000000000001E-2</v>
      </c>
      <c r="E29" s="245">
        <v>7.8829999999999997E-2</v>
      </c>
      <c r="F29" s="295">
        <v>123378734.9348</v>
      </c>
      <c r="G29" s="13">
        <f t="shared" si="18"/>
        <v>58702997.947787553</v>
      </c>
      <c r="H29" s="13">
        <f t="shared" si="19"/>
        <v>64675736.987012446</v>
      </c>
      <c r="I29" s="255">
        <v>0.10276149090713131</v>
      </c>
      <c r="J29" s="255">
        <v>2.2200000000000001E-2</v>
      </c>
      <c r="K29" s="247">
        <f t="shared" si="24"/>
        <v>0.10102999999999999</v>
      </c>
      <c r="L29" s="13">
        <f t="shared" si="20"/>
        <v>-58668.219578037904</v>
      </c>
      <c r="M29" s="13">
        <f t="shared" si="21"/>
        <v>-13963.895554093173</v>
      </c>
      <c r="N29" s="13">
        <f t="shared" si="25"/>
        <v>-55905.902560711758</v>
      </c>
      <c r="O29" s="13">
        <f t="shared" si="22"/>
        <v>-649991.15671947529</v>
      </c>
      <c r="P29" s="13">
        <v>-627712.90999999922</v>
      </c>
      <c r="Q29" s="13">
        <f t="shared" si="26"/>
        <v>-656312.64997707156</v>
      </c>
      <c r="R29" s="244">
        <f t="shared" si="23"/>
        <v>28599.739977072342</v>
      </c>
    </row>
    <row r="30" spans="1:27" x14ac:dyDescent="0.35">
      <c r="A30" s="243">
        <f t="shared" si="27"/>
        <v>42247</v>
      </c>
      <c r="B30" s="253">
        <v>53651800.022120245</v>
      </c>
      <c r="C30" s="253">
        <v>63461323.310851187</v>
      </c>
      <c r="D30" s="245">
        <v>8.8050000000000003E-2</v>
      </c>
      <c r="E30" s="245">
        <v>8.0099999999999991E-2</v>
      </c>
      <c r="F30" s="295">
        <v>115985109.39091</v>
      </c>
      <c r="G30" s="13">
        <f t="shared" si="18"/>
        <v>53135034.891797699</v>
      </c>
      <c r="H30" s="13">
        <f t="shared" si="19"/>
        <v>62850074.499112301</v>
      </c>
      <c r="I30" s="255">
        <v>0.10365917761833039</v>
      </c>
      <c r="J30" s="255">
        <v>2.3399999999999997E-2</v>
      </c>
      <c r="K30" s="247">
        <f t="shared" si="24"/>
        <v>0.10349999999999998</v>
      </c>
      <c r="L30" s="13">
        <f t="shared" si="20"/>
        <v>-53567.448431064426</v>
      </c>
      <c r="M30" s="13">
        <f t="shared" si="21"/>
        <v>-14303.22219468993</v>
      </c>
      <c r="N30" s="13">
        <f t="shared" si="25"/>
        <v>-53820.45787360891</v>
      </c>
      <c r="O30" s="13">
        <f t="shared" si="22"/>
        <v>-499658.0922679436</v>
      </c>
      <c r="P30" s="13">
        <v>-482682.95000000019</v>
      </c>
      <c r="Q30" s="13">
        <f t="shared" si="26"/>
        <v>-504517.52032126772</v>
      </c>
      <c r="R30" s="244">
        <f t="shared" si="23"/>
        <v>21834.570321267529</v>
      </c>
    </row>
    <row r="31" spans="1:27" x14ac:dyDescent="0.35">
      <c r="A31" s="243">
        <f t="shared" si="27"/>
        <v>42277</v>
      </c>
      <c r="B31" s="253">
        <v>53729684.331717044</v>
      </c>
      <c r="C31" s="253">
        <v>63637741.580866888</v>
      </c>
      <c r="D31" s="245">
        <v>8.270000000000001E-2</v>
      </c>
      <c r="E31" s="245">
        <v>6.7030000000000006E-2</v>
      </c>
      <c r="F31" s="295">
        <v>116236962.57077</v>
      </c>
      <c r="G31" s="13">
        <f t="shared" si="18"/>
        <v>53212169.032800287</v>
      </c>
      <c r="H31" s="13">
        <f t="shared" si="19"/>
        <v>63024793.537969708</v>
      </c>
      <c r="I31" s="255">
        <v>0.10283356167121589</v>
      </c>
      <c r="J31" s="255">
        <v>3.1899999999999998E-2</v>
      </c>
      <c r="K31" s="247">
        <f t="shared" si="24"/>
        <v>9.8930000000000004E-2</v>
      </c>
      <c r="L31" s="13">
        <f t="shared" si="20"/>
        <v>-53217.941406954073</v>
      </c>
      <c r="M31" s="13">
        <f t="shared" si="21"/>
        <v>-19553.042568420031</v>
      </c>
      <c r="N31" s="13">
        <f t="shared" si="25"/>
        <v>-50690.803147596765</v>
      </c>
      <c r="O31" s="13">
        <f t="shared" si="22"/>
        <v>-987598.51473998558</v>
      </c>
      <c r="P31" s="13">
        <v>-971916.57999999914</v>
      </c>
      <c r="Q31" s="13">
        <f t="shared" si="26"/>
        <v>-997203.41057218437</v>
      </c>
      <c r="R31" s="244">
        <f t="shared" si="23"/>
        <v>25286.830572185223</v>
      </c>
    </row>
    <row r="32" spans="1:27" x14ac:dyDescent="0.35">
      <c r="A32" s="243">
        <f t="shared" si="27"/>
        <v>42308</v>
      </c>
      <c r="B32" s="253">
        <v>48276487.601465322</v>
      </c>
      <c r="C32" s="253">
        <v>60741056.241569251</v>
      </c>
      <c r="D32" s="245">
        <v>6.3710000000000003E-2</v>
      </c>
      <c r="E32" s="245">
        <v>7.5439999999999993E-2</v>
      </c>
      <c r="F32" s="295">
        <v>107967505.16347</v>
      </c>
      <c r="G32" s="13">
        <f t="shared" si="18"/>
        <v>47811496.577928364</v>
      </c>
      <c r="H32" s="13">
        <f t="shared" si="19"/>
        <v>60156008.585541643</v>
      </c>
      <c r="I32" s="255">
        <v>0.1034654256807282</v>
      </c>
      <c r="J32" s="255">
        <v>2.5099999999999997E-2</v>
      </c>
      <c r="K32" s="247">
        <f t="shared" si="24"/>
        <v>0.10053999999999999</v>
      </c>
      <c r="L32" s="13">
        <f t="shared" si="20"/>
        <v>-48110.494187968841</v>
      </c>
      <c r="M32" s="13">
        <f t="shared" si="21"/>
        <v>-14684.69616629295</v>
      </c>
      <c r="N32" s="13">
        <f t="shared" si="25"/>
        <v>-37273.386165518881</v>
      </c>
      <c r="O32" s="13">
        <f t="shared" si="22"/>
        <v>705629.98070840293</v>
      </c>
      <c r="P32" s="13">
        <v>678027.66000000108</v>
      </c>
      <c r="Q32" s="13">
        <f t="shared" si="26"/>
        <v>712492.58971360675</v>
      </c>
      <c r="R32" s="244">
        <f t="shared" si="23"/>
        <v>-34464.92971360567</v>
      </c>
    </row>
    <row r="33" spans="1:18" x14ac:dyDescent="0.35">
      <c r="A33" s="243">
        <f t="shared" si="27"/>
        <v>42338</v>
      </c>
      <c r="B33" s="253">
        <v>50383236.143190429</v>
      </c>
      <c r="C33" s="253">
        <v>60273730</v>
      </c>
      <c r="D33" s="245">
        <v>7.6230000000000006E-2</v>
      </c>
      <c r="E33" s="245">
        <v>0.11320000000000001</v>
      </c>
      <c r="F33" s="295">
        <v>109591136.82326999</v>
      </c>
      <c r="G33" s="13">
        <f t="shared" si="18"/>
        <v>49897953.271397255</v>
      </c>
      <c r="H33" s="13">
        <f t="shared" si="19"/>
        <v>59693183.551872738</v>
      </c>
      <c r="I33" s="255">
        <v>0.1520803536445379</v>
      </c>
      <c r="J33" s="255">
        <v>1.03E-2</v>
      </c>
      <c r="K33" s="247">
        <f t="shared" si="24"/>
        <v>0.12350000000000001</v>
      </c>
      <c r="L33" s="13">
        <f t="shared" si="20"/>
        <v>-73801.990759942739</v>
      </c>
      <c r="M33" s="13">
        <f t="shared" si="21"/>
        <v>-5979.6284157108021</v>
      </c>
      <c r="N33" s="13">
        <f t="shared" si="25"/>
        <v>-44255.055740741205</v>
      </c>
      <c r="O33" s="13">
        <f t="shared" si="22"/>
        <v>2206856.9959127354</v>
      </c>
      <c r="P33" s="13">
        <v>2212250.2399999974</v>
      </c>
      <c r="Q33" s="13">
        <f t="shared" si="26"/>
        <v>2228319.7981000002</v>
      </c>
      <c r="R33" s="244">
        <f t="shared" si="23"/>
        <v>-16069.558100002818</v>
      </c>
    </row>
    <row r="34" spans="1:18" x14ac:dyDescent="0.35">
      <c r="A34" s="243">
        <f t="shared" si="27"/>
        <v>42369</v>
      </c>
      <c r="B34" s="253">
        <v>56408869.142530963</v>
      </c>
      <c r="C34" s="253">
        <v>59657688</v>
      </c>
      <c r="D34" s="245">
        <v>0.11462</v>
      </c>
      <c r="E34" s="245">
        <v>9.4709999999999989E-2</v>
      </c>
      <c r="F34" s="295">
        <v>114948623.55031</v>
      </c>
      <c r="G34" s="13">
        <f t="shared" si="18"/>
        <v>55865548.385319293</v>
      </c>
      <c r="H34" s="13">
        <f t="shared" si="19"/>
        <v>59083075.164990708</v>
      </c>
      <c r="I34" s="255">
        <v>0.16075153865015704</v>
      </c>
      <c r="J34" s="255">
        <v>1.1000000000000001E-2</v>
      </c>
      <c r="K34" s="247">
        <f t="shared" si="24"/>
        <v>0.10570999999999998</v>
      </c>
      <c r="L34" s="13">
        <f t="shared" si="20"/>
        <v>-87339.647702344402</v>
      </c>
      <c r="M34" s="13">
        <f t="shared" si="21"/>
        <v>-6320.7411851022098</v>
      </c>
      <c r="N34" s="13">
        <f t="shared" si="25"/>
        <v>-65862.123148765022</v>
      </c>
      <c r="O34" s="13">
        <f t="shared" si="22"/>
        <v>-1176344.0265349657</v>
      </c>
      <c r="P34" s="13">
        <v>-1022357.1200000001</v>
      </c>
      <c r="Q34" s="13">
        <f t="shared" si="26"/>
        <v>-1187784.5680800006</v>
      </c>
      <c r="R34" s="244">
        <f t="shared" si="23"/>
        <v>165427.44808000047</v>
      </c>
    </row>
    <row r="35" spans="1:18" x14ac:dyDescent="0.35">
      <c r="A35" s="243">
        <f t="shared" si="27"/>
        <v>42400</v>
      </c>
      <c r="B35" s="253">
        <v>61660789.659618847</v>
      </c>
      <c r="C35" s="253">
        <v>62530733</v>
      </c>
      <c r="D35" s="245">
        <v>8.4229999999999999E-2</v>
      </c>
      <c r="E35" s="245">
        <v>9.179000000000001E-2</v>
      </c>
      <c r="F35" s="295">
        <v>123920250.83639999</v>
      </c>
      <c r="G35" s="13">
        <f t="shared" si="18"/>
        <v>61526103.857610248</v>
      </c>
      <c r="H35" s="13">
        <f t="shared" si="19"/>
        <v>62394146.978789732</v>
      </c>
      <c r="I35" s="255">
        <v>0.16446136344664222</v>
      </c>
      <c r="J35" s="255">
        <v>1.37E-2</v>
      </c>
      <c r="K35" s="247">
        <f t="shared" si="24"/>
        <v>0.10549000000000001</v>
      </c>
      <c r="L35" s="13">
        <f t="shared" si="20"/>
        <v>-22150.610635238703</v>
      </c>
      <c r="M35" s="13">
        <f t="shared" si="21"/>
        <v>-1871.2284905806737</v>
      </c>
      <c r="N35" s="13">
        <f t="shared" si="25"/>
        <v>-11504.640566540886</v>
      </c>
      <c r="O35" s="13">
        <f t="shared" si="22"/>
        <v>471699.75115965109</v>
      </c>
      <c r="P35" s="13">
        <v>426967.78999999911</v>
      </c>
      <c r="Q35" s="13">
        <f t="shared" si="26"/>
        <v>472732.3414800007</v>
      </c>
      <c r="R35" s="244">
        <f t="shared" si="23"/>
        <v>-45764.551480001595</v>
      </c>
    </row>
    <row r="36" spans="1:18" x14ac:dyDescent="0.35">
      <c r="A36" s="243">
        <f t="shared" si="27"/>
        <v>42429</v>
      </c>
      <c r="B36" s="253">
        <v>55659047.541091777</v>
      </c>
      <c r="C36" s="253">
        <v>59168013</v>
      </c>
      <c r="D36" s="245">
        <v>0.10384</v>
      </c>
      <c r="E36" s="245">
        <v>9.851E-2</v>
      </c>
      <c r="F36" s="295">
        <v>114576243.533612</v>
      </c>
      <c r="G36" s="13">
        <f t="shared" si="18"/>
        <v>55537471.357937321</v>
      </c>
      <c r="H36" s="13">
        <f t="shared" si="19"/>
        <v>59038772.175674677</v>
      </c>
      <c r="I36" s="255">
        <v>0.16599707081591678</v>
      </c>
      <c r="J36" s="255">
        <v>1.26E-2</v>
      </c>
      <c r="K36" s="247">
        <f t="shared" si="24"/>
        <v>0.11111</v>
      </c>
      <c r="L36" s="13">
        <f t="shared" si="20"/>
        <v>-20181.290284619154</v>
      </c>
      <c r="M36" s="13">
        <f t="shared" si="21"/>
        <v>-1628.434386499071</v>
      </c>
      <c r="N36" s="13">
        <f t="shared" si="25"/>
        <v>-13420.367197941552</v>
      </c>
      <c r="O36" s="13">
        <f t="shared" si="22"/>
        <v>-314676.65569634613</v>
      </c>
      <c r="P36" s="13">
        <v>-210467.49060444068</v>
      </c>
      <c r="Q36" s="13">
        <f t="shared" si="26"/>
        <v>-315365.50929000007</v>
      </c>
      <c r="R36" s="244">
        <f t="shared" si="23"/>
        <v>104898.01868555939</v>
      </c>
    </row>
    <row r="37" spans="1:18" x14ac:dyDescent="0.35">
      <c r="A37" s="243">
        <f t="shared" si="27"/>
        <v>42460</v>
      </c>
      <c r="B37" s="253">
        <v>53743762.373834796</v>
      </c>
      <c r="C37" s="253">
        <v>61557042</v>
      </c>
      <c r="D37" s="245">
        <v>9.0219999999999995E-2</v>
      </c>
      <c r="E37" s="245">
        <v>0.1061</v>
      </c>
      <c r="F37" s="295">
        <v>115048952.566632</v>
      </c>
      <c r="G37" s="13">
        <f t="shared" si="18"/>
        <v>53626369.752393559</v>
      </c>
      <c r="H37" s="13">
        <f t="shared" si="19"/>
        <v>61422582.814238451</v>
      </c>
      <c r="I37" s="255">
        <v>0.15762308027077848</v>
      </c>
      <c r="J37" s="255">
        <v>5.8999999999999999E-3</v>
      </c>
      <c r="K37" s="247">
        <f t="shared" si="24"/>
        <v>0.112</v>
      </c>
      <c r="L37" s="13">
        <f t="shared" si="20"/>
        <v>-18503.786592629309</v>
      </c>
      <c r="M37" s="13">
        <f t="shared" si="21"/>
        <v>-793.30919599313654</v>
      </c>
      <c r="N37" s="13">
        <f t="shared" si="25"/>
        <v>-12130.907739406912</v>
      </c>
      <c r="O37" s="13">
        <f t="shared" si="22"/>
        <v>975390.61509010696</v>
      </c>
      <c r="P37" s="13">
        <v>964166.75469482318</v>
      </c>
      <c r="Q37" s="13">
        <f t="shared" si="26"/>
        <v>977525.82696000033</v>
      </c>
      <c r="R37" s="244">
        <f t="shared" si="23"/>
        <v>-13359.07226517715</v>
      </c>
    </row>
    <row r="38" spans="1:18" x14ac:dyDescent="0.35">
      <c r="A38" s="243">
        <f t="shared" si="27"/>
        <v>42490</v>
      </c>
      <c r="B38" s="253">
        <v>49375582.266192593</v>
      </c>
      <c r="C38" s="253">
        <v>58128027</v>
      </c>
      <c r="D38" s="245">
        <v>0.12115000000000001</v>
      </c>
      <c r="E38" s="245">
        <v>0.11131999999999999</v>
      </c>
      <c r="F38" s="295">
        <v>107268788.88986</v>
      </c>
      <c r="G38" s="13">
        <f t="shared" si="18"/>
        <v>49267731.070418522</v>
      </c>
      <c r="H38" s="13">
        <f t="shared" si="19"/>
        <v>58001057.819441497</v>
      </c>
      <c r="I38" s="255">
        <v>0.1680571501674849</v>
      </c>
      <c r="J38" s="255">
        <v>6.0999999999999995E-3</v>
      </c>
      <c r="K38" s="247">
        <f t="shared" si="24"/>
        <v>0.11741999999999998</v>
      </c>
      <c r="L38" s="13">
        <f t="shared" si="20"/>
        <v>-18125.16460394585</v>
      </c>
      <c r="M38" s="13">
        <f t="shared" si="21"/>
        <v>-774.51200140686626</v>
      </c>
      <c r="N38" s="13">
        <f t="shared" si="25"/>
        <v>-15382.3162246626</v>
      </c>
      <c r="O38" s="13">
        <f t="shared" si="22"/>
        <v>-570150.39836511109</v>
      </c>
      <c r="P38" s="13">
        <v>-409152.9519468043</v>
      </c>
      <c r="Q38" s="13">
        <f t="shared" si="26"/>
        <v>-571398.50541000115</v>
      </c>
      <c r="R38" s="244">
        <f t="shared" si="23"/>
        <v>162245.55346319685</v>
      </c>
    </row>
    <row r="39" spans="1:18" x14ac:dyDescent="0.35">
      <c r="A39" s="243">
        <f t="shared" si="27"/>
        <v>42521</v>
      </c>
      <c r="B39" s="253">
        <v>48671307.921687007</v>
      </c>
      <c r="C39" s="253">
        <v>60043334</v>
      </c>
      <c r="D39" s="245">
        <v>0.10405</v>
      </c>
      <c r="E39" s="245">
        <v>0.10748999999999999</v>
      </c>
      <c r="F39" s="295">
        <v>108477176.28399199</v>
      </c>
      <c r="G39" s="13">
        <f t="shared" si="18"/>
        <v>48564995.073953032</v>
      </c>
      <c r="H39" s="13">
        <f t="shared" si="19"/>
        <v>59912181.210038967</v>
      </c>
      <c r="I39" s="255">
        <v>0.11245157233800719</v>
      </c>
      <c r="J39" s="255">
        <v>1.34E-2</v>
      </c>
      <c r="K39" s="247">
        <f t="shared" si="24"/>
        <v>0.12088999999999998</v>
      </c>
      <c r="L39" s="13">
        <f t="shared" si="20"/>
        <v>-11955.046887416573</v>
      </c>
      <c r="M39" s="13">
        <f t="shared" si="21"/>
        <v>-1757.4473854778364</v>
      </c>
      <c r="N39" s="13">
        <f t="shared" si="25"/>
        <v>-13646.44779544544</v>
      </c>
      <c r="O39" s="13">
        <f t="shared" si="22"/>
        <v>206097.90336253314</v>
      </c>
      <c r="P39" s="13">
        <v>242145.06563310698</v>
      </c>
      <c r="Q39" s="13">
        <f t="shared" si="26"/>
        <v>206549.06895999907</v>
      </c>
      <c r="R39" s="244">
        <f t="shared" si="23"/>
        <v>35595.996673107904</v>
      </c>
    </row>
    <row r="40" spans="1:18" x14ac:dyDescent="0.35">
      <c r="A40" s="243">
        <f t="shared" si="27"/>
        <v>42551</v>
      </c>
      <c r="B40" s="253">
        <v>52512367.470322862</v>
      </c>
      <c r="C40" s="253">
        <v>61047359.361574821</v>
      </c>
      <c r="D40" s="245">
        <v>0.11650000000000001</v>
      </c>
      <c r="E40" s="245">
        <v>9.5450000000000007E-2</v>
      </c>
      <c r="F40" s="295">
        <v>113311678.06429899</v>
      </c>
      <c r="G40" s="13">
        <f t="shared" si="18"/>
        <v>52397664.58754836</v>
      </c>
      <c r="H40" s="13">
        <f t="shared" si="19"/>
        <v>60914013.476750627</v>
      </c>
      <c r="I40" s="255">
        <v>0.11273697631930996</v>
      </c>
      <c r="J40" s="255">
        <v>2.0199999999999999E-2</v>
      </c>
      <c r="K40" s="247">
        <f t="shared" si="24"/>
        <v>0.11565</v>
      </c>
      <c r="L40" s="13">
        <f t="shared" si="20"/>
        <v>-12931.256179105621</v>
      </c>
      <c r="M40" s="13">
        <f t="shared" si="21"/>
        <v>-2693.586873448719</v>
      </c>
      <c r="N40" s="13">
        <f t="shared" si="25"/>
        <v>-15534.795582018603</v>
      </c>
      <c r="O40" s="13">
        <f t="shared" si="22"/>
        <v>-1282239.9836856006</v>
      </c>
      <c r="P40" s="13">
        <v>-1119285.7199999988</v>
      </c>
      <c r="Q40" s="13">
        <f t="shared" si="26"/>
        <v>-1285046.9145611499</v>
      </c>
      <c r="R40" s="244">
        <f t="shared" si="23"/>
        <v>165761.19456115109</v>
      </c>
    </row>
    <row r="41" spans="1:18" x14ac:dyDescent="0.35">
      <c r="A41" s="243">
        <f t="shared" si="27"/>
        <v>42582</v>
      </c>
      <c r="B41" s="253">
        <v>62506425.300419487</v>
      </c>
      <c r="C41" s="253">
        <v>64545876.62621145</v>
      </c>
      <c r="D41" s="245">
        <v>7.6670000000000002E-2</v>
      </c>
      <c r="E41" s="245">
        <v>8.3060000000000009E-2</v>
      </c>
      <c r="F41" s="295">
        <v>126774781.29680298</v>
      </c>
      <c r="G41" s="13">
        <f t="shared" si="18"/>
        <v>62369892.37457227</v>
      </c>
      <c r="H41" s="13">
        <f t="shared" si="19"/>
        <v>64404888.922230713</v>
      </c>
      <c r="I41" s="255">
        <v>0.11211364487544216</v>
      </c>
      <c r="J41" s="255">
        <v>2.3399999999999997E-2</v>
      </c>
      <c r="K41" s="247">
        <f t="shared" si="24"/>
        <v>0.10646</v>
      </c>
      <c r="L41" s="13">
        <f t="shared" si="20"/>
        <v>-15307.203962240013</v>
      </c>
      <c r="M41" s="13">
        <f t="shared" si="21"/>
        <v>-3299.1122731492324</v>
      </c>
      <c r="N41" s="13">
        <f t="shared" si="25"/>
        <v>-10809.527264203063</v>
      </c>
      <c r="O41" s="13">
        <f t="shared" si="22"/>
        <v>411547.2402130547</v>
      </c>
      <c r="P41" s="13">
        <v>378281.10000000056</v>
      </c>
      <c r="Q41" s="13">
        <f t="shared" si="26"/>
        <v>412448.15164149163</v>
      </c>
      <c r="R41" s="244">
        <f t="shared" si="23"/>
        <v>-34167.051641491067</v>
      </c>
    </row>
    <row r="42" spans="1:18" x14ac:dyDescent="0.35">
      <c r="A42" s="243">
        <f t="shared" si="27"/>
        <v>42613</v>
      </c>
      <c r="B42" s="253">
        <v>64226755.874153815</v>
      </c>
      <c r="C42" s="253">
        <v>66870686.721332088</v>
      </c>
      <c r="D42" s="245">
        <v>8.5690000000000002E-2</v>
      </c>
      <c r="E42" s="245">
        <v>7.1029999999999996E-2</v>
      </c>
      <c r="F42" s="295">
        <v>130811086.15576598</v>
      </c>
      <c r="G42" s="13">
        <f t="shared" si="18"/>
        <v>64086465.226351991</v>
      </c>
      <c r="H42" s="13">
        <f t="shared" si="19"/>
        <v>66724620.929413997</v>
      </c>
      <c r="I42" s="255">
        <v>0.11389311114276847</v>
      </c>
      <c r="J42" s="255">
        <v>3.2899999999999999E-2</v>
      </c>
      <c r="K42" s="247">
        <f t="shared" si="24"/>
        <v>0.10392999999999999</v>
      </c>
      <c r="L42" s="13">
        <f t="shared" si="20"/>
        <v>-15978.138342384118</v>
      </c>
      <c r="M42" s="13">
        <f t="shared" si="21"/>
        <v>-4805.564554105209</v>
      </c>
      <c r="N42" s="13">
        <f t="shared" si="25"/>
        <v>-12516.37770946126</v>
      </c>
      <c r="O42" s="13">
        <f t="shared" si="22"/>
        <v>-978182.94282520958</v>
      </c>
      <c r="P42" s="13">
        <v>-871207.16700000037</v>
      </c>
      <c r="Q42" s="13">
        <f t="shared" si="26"/>
        <v>-980324.26733472885</v>
      </c>
      <c r="R42" s="244">
        <f t="shared" si="23"/>
        <v>109117.10033472849</v>
      </c>
    </row>
    <row r="43" spans="1:18" x14ac:dyDescent="0.35">
      <c r="A43" s="243">
        <f t="shared" si="27"/>
        <v>42643</v>
      </c>
      <c r="B43" s="253">
        <v>52119377.021173216</v>
      </c>
      <c r="C43" s="253">
        <v>63088383.150881618</v>
      </c>
      <c r="D43" s="245">
        <v>7.0599999999999996E-2</v>
      </c>
      <c r="E43" s="245">
        <v>9.5310000000000006E-2</v>
      </c>
      <c r="F43" s="295">
        <v>114956111.60151199</v>
      </c>
      <c r="G43" s="13">
        <f t="shared" si="18"/>
        <v>52005532.548323691</v>
      </c>
      <c r="H43" s="13">
        <f t="shared" si="19"/>
        <v>62950579.053188294</v>
      </c>
      <c r="I43" s="255">
        <v>0.11405549749978101</v>
      </c>
      <c r="J43" s="255">
        <v>1.7500000000000002E-2</v>
      </c>
      <c r="K43" s="247">
        <f t="shared" si="24"/>
        <v>0.11281000000000001</v>
      </c>
      <c r="L43" s="13">
        <f t="shared" si="20"/>
        <v>-12984.587988452944</v>
      </c>
      <c r="M43" s="13">
        <f t="shared" si="21"/>
        <v>-2411.5717096331718</v>
      </c>
      <c r="N43" s="13">
        <f t="shared" si="25"/>
        <v>-9728.9692971486802</v>
      </c>
      <c r="O43" s="13">
        <f t="shared" si="22"/>
        <v>1555508.8084042834</v>
      </c>
      <c r="P43" s="13">
        <v>1529722.8100000005</v>
      </c>
      <c r="Q43" s="13">
        <f t="shared" si="26"/>
        <v>1558913.9476582855</v>
      </c>
      <c r="R43" s="244">
        <f t="shared" si="23"/>
        <v>-29191.137658284977</v>
      </c>
    </row>
    <row r="44" spans="1:18" x14ac:dyDescent="0.35">
      <c r="A44" s="243">
        <f t="shared" si="27"/>
        <v>42674</v>
      </c>
      <c r="B44" s="253">
        <v>48122198.673777446</v>
      </c>
      <c r="C44" s="253">
        <v>61060424.030000001</v>
      </c>
      <c r="D44" s="245">
        <v>9.7200000000000009E-2</v>
      </c>
      <c r="E44" s="245">
        <v>0.11226</v>
      </c>
      <c r="F44" s="295">
        <v>108944134.85460399</v>
      </c>
      <c r="G44" s="13">
        <f t="shared" si="18"/>
        <v>48017085.246612906</v>
      </c>
      <c r="H44" s="13">
        <f t="shared" si="19"/>
        <v>60927049.607991084</v>
      </c>
      <c r="I44" s="255">
        <v>0.11400271348716463</v>
      </c>
      <c r="J44" s="255">
        <v>1.24E-2</v>
      </c>
      <c r="K44" s="247">
        <f t="shared" si="24"/>
        <v>0.12465999999999999</v>
      </c>
      <c r="L44" s="13">
        <f t="shared" si="20"/>
        <v>-11983.215920692966</v>
      </c>
      <c r="M44" s="13">
        <f t="shared" si="21"/>
        <v>-1653.8428329105675</v>
      </c>
      <c r="N44" s="13">
        <f t="shared" si="25"/>
        <v>-12963.993819266709</v>
      </c>
      <c r="O44" s="13">
        <f t="shared" si="22"/>
        <v>917561.36709634517</v>
      </c>
      <c r="P44" s="13">
        <v>994857.03000000026</v>
      </c>
      <c r="Q44" s="13">
        <f t="shared" si="26"/>
        <v>919569.98589179944</v>
      </c>
      <c r="R44" s="244">
        <f t="shared" si="23"/>
        <v>75287.044108200818</v>
      </c>
    </row>
    <row r="45" spans="1:18" x14ac:dyDescent="0.35">
      <c r="A45" s="243">
        <f t="shared" si="27"/>
        <v>42704</v>
      </c>
      <c r="B45" s="253">
        <v>49929644.902260557</v>
      </c>
      <c r="C45" s="253">
        <v>60035973</v>
      </c>
      <c r="D45" s="245">
        <v>0.12271</v>
      </c>
      <c r="E45" s="245">
        <v>0.11109000000000001</v>
      </c>
      <c r="F45" s="295">
        <v>109725419.754908</v>
      </c>
      <c r="G45" s="13">
        <f t="shared" si="18"/>
        <v>49820583.466220118</v>
      </c>
      <c r="H45" s="13">
        <f t="shared" si="19"/>
        <v>59904836.288687877</v>
      </c>
      <c r="I45" s="255">
        <v>0.11259826395601537</v>
      </c>
      <c r="J45" s="255">
        <v>1.61E-2</v>
      </c>
      <c r="K45" s="247">
        <f t="shared" si="24"/>
        <v>0.12719</v>
      </c>
      <c r="L45" s="13">
        <f t="shared" si="20"/>
        <v>-12280.128362703406</v>
      </c>
      <c r="M45" s="13">
        <f t="shared" si="21"/>
        <v>-2111.3010521251745</v>
      </c>
      <c r="N45" s="13">
        <f t="shared" si="25"/>
        <v>-16091.785845110569</v>
      </c>
      <c r="O45" s="13">
        <f t="shared" si="22"/>
        <v>-696094.19767455268</v>
      </c>
      <c r="P45" s="13">
        <v>-555230.3599999994</v>
      </c>
      <c r="Q45" s="13">
        <f t="shared" si="26"/>
        <v>-697618.00625999947</v>
      </c>
      <c r="R45" s="244">
        <f t="shared" si="23"/>
        <v>142387.64626000007</v>
      </c>
    </row>
    <row r="46" spans="1:18" x14ac:dyDescent="0.35">
      <c r="A46" s="243">
        <f t="shared" si="27"/>
        <v>42735</v>
      </c>
      <c r="B46" s="253">
        <v>60470230.578737639</v>
      </c>
      <c r="C46" s="253">
        <v>60083682.780000001</v>
      </c>
      <c r="D46" s="245">
        <v>0.10593999999999999</v>
      </c>
      <c r="E46" s="245">
        <v>8.7080000000000005E-2</v>
      </c>
      <c r="F46" s="295">
        <v>120290587.173724</v>
      </c>
      <c r="G46" s="13">
        <f t="shared" si="18"/>
        <v>60338145.317616239</v>
      </c>
      <c r="H46" s="13">
        <f t="shared" si="19"/>
        <v>59952441.856107742</v>
      </c>
      <c r="I46" s="255">
        <v>0.11288474052253958</v>
      </c>
      <c r="J46" s="255">
        <v>2.0899999999999998E-2</v>
      </c>
      <c r="K46" s="247">
        <f t="shared" si="24"/>
        <v>0.10798000000000001</v>
      </c>
      <c r="L46" s="13">
        <f t="shared" si="20"/>
        <v>-14910.41042854109</v>
      </c>
      <c r="M46" s="13">
        <f t="shared" si="21"/>
        <v>-2742.9353093482255</v>
      </c>
      <c r="N46" s="13">
        <f t="shared" si="25"/>
        <v>-13903.663477145981</v>
      </c>
      <c r="O46" s="13">
        <f t="shared" si="22"/>
        <v>-1130703.0534061913</v>
      </c>
      <c r="P46" s="13">
        <v>-1035359.5099999998</v>
      </c>
      <c r="Q46" s="13">
        <f t="shared" si="26"/>
        <v>-1133178.2572307992</v>
      </c>
      <c r="R46" s="244">
        <f t="shared" si="23"/>
        <v>97818.747230799403</v>
      </c>
    </row>
    <row r="47" spans="1:18" x14ac:dyDescent="0.35">
      <c r="A47" s="243">
        <f t="shared" si="27"/>
        <v>42766</v>
      </c>
      <c r="B47" s="253">
        <v>60839087.308647051</v>
      </c>
      <c r="C47" s="253">
        <v>62707860.443230011</v>
      </c>
      <c r="D47" s="245">
        <v>6.6869999999999999E-2</v>
      </c>
      <c r="E47" s="245">
        <v>8.2269999999999996E-2</v>
      </c>
      <c r="F47" s="295">
        <v>122898857.87224801</v>
      </c>
      <c r="G47" s="13">
        <f t="shared" si="18"/>
        <v>60519943.877845429</v>
      </c>
      <c r="H47" s="13">
        <f t="shared" si="19"/>
        <v>62378913.994402573</v>
      </c>
      <c r="I47" s="255">
        <v>0.11190059552575175</v>
      </c>
      <c r="J47" s="255">
        <v>2.1600000000000001E-2</v>
      </c>
      <c r="K47" s="247">
        <f t="shared" si="24"/>
        <v>0.10386999999999999</v>
      </c>
      <c r="L47" s="13">
        <f t="shared" si="20"/>
        <v>-35712.339964833111</v>
      </c>
      <c r="M47" s="13">
        <f t="shared" si="21"/>
        <v>-7105.2432946726622</v>
      </c>
      <c r="N47" s="13">
        <f t="shared" si="25"/>
        <v>-21996.649033090784</v>
      </c>
      <c r="O47" s="13">
        <f t="shared" si="22"/>
        <v>960635.2755137994</v>
      </c>
      <c r="P47" s="13">
        <v>953278.77999999933</v>
      </c>
      <c r="Q47" s="13">
        <f t="shared" si="26"/>
        <v>965701.05082574196</v>
      </c>
      <c r="R47" s="244">
        <f t="shared" si="23"/>
        <v>-12422.270825742627</v>
      </c>
    </row>
    <row r="48" spans="1:18" x14ac:dyDescent="0.35">
      <c r="A48" s="243">
        <f t="shared" si="27"/>
        <v>42794</v>
      </c>
      <c r="B48" s="253">
        <v>52018223.611334242</v>
      </c>
      <c r="C48" s="253">
        <v>55899613.69286</v>
      </c>
      <c r="D48" s="245">
        <v>0.10559</v>
      </c>
      <c r="E48" s="245">
        <v>8.6389999999999995E-2</v>
      </c>
      <c r="F48" s="295">
        <v>107351733.00569901</v>
      </c>
      <c r="G48" s="13">
        <f t="shared" si="18"/>
        <v>51745351.760655314</v>
      </c>
      <c r="H48" s="13">
        <f t="shared" si="19"/>
        <v>55606381.245043695</v>
      </c>
      <c r="I48" s="255">
        <v>0.11198360085531177</v>
      </c>
      <c r="J48" s="255">
        <v>2.1099999999999997E-2</v>
      </c>
      <c r="K48" s="247">
        <f t="shared" si="24"/>
        <v>0.10748999999999999</v>
      </c>
      <c r="L48" s="13">
        <f t="shared" si="20"/>
        <v>-30557.172411079329</v>
      </c>
      <c r="M48" s="13">
        <f t="shared" si="21"/>
        <v>-6187.204648924032</v>
      </c>
      <c r="N48" s="13">
        <f t="shared" si="25"/>
        <v>-30962.41416492363</v>
      </c>
      <c r="O48" s="13">
        <f t="shared" si="22"/>
        <v>-1067642.5199048393</v>
      </c>
      <c r="P48" s="13">
        <v>-1136333.0399999982</v>
      </c>
      <c r="Q48" s="13">
        <f t="shared" si="26"/>
        <v>-1073272.5829029125</v>
      </c>
      <c r="R48" s="244">
        <f t="shared" si="23"/>
        <v>-63060.457097085658</v>
      </c>
    </row>
    <row r="49" spans="1:18" x14ac:dyDescent="0.35">
      <c r="A49" s="243">
        <f t="shared" si="27"/>
        <v>42825</v>
      </c>
      <c r="B49" s="253">
        <v>56975847.826956518</v>
      </c>
      <c r="C49" s="253">
        <v>62089981.882979997</v>
      </c>
      <c r="D49" s="245">
        <v>8.4089999999999998E-2</v>
      </c>
      <c r="E49" s="245">
        <v>7.1349999999999997E-2</v>
      </c>
      <c r="F49" s="295">
        <v>118441246.418736</v>
      </c>
      <c r="G49" s="13">
        <f t="shared" si="18"/>
        <v>56676969.780741297</v>
      </c>
      <c r="H49" s="13">
        <f t="shared" si="19"/>
        <v>61764276.637994699</v>
      </c>
      <c r="I49" s="255">
        <v>0.11182956416468495</v>
      </c>
      <c r="J49" s="255">
        <v>2.6000000000000002E-2</v>
      </c>
      <c r="K49" s="247">
        <f t="shared" si="24"/>
        <v>9.7349999999999992E-2</v>
      </c>
      <c r="L49" s="13">
        <f t="shared" si="20"/>
        <v>-33423.401646640763</v>
      </c>
      <c r="M49" s="13">
        <f t="shared" si="21"/>
        <v>-8468.3363696177312</v>
      </c>
      <c r="N49" s="13">
        <f t="shared" si="25"/>
        <v>-27388.554050813651</v>
      </c>
      <c r="O49" s="13">
        <f t="shared" si="22"/>
        <v>-786876.88436805259</v>
      </c>
      <c r="P49" s="13">
        <v>-726613.28000000026</v>
      </c>
      <c r="Q49" s="13">
        <f t="shared" si="26"/>
        <v>-791026.36918916518</v>
      </c>
      <c r="R49" s="244">
        <f t="shared" si="23"/>
        <v>64413.089189164923</v>
      </c>
    </row>
    <row r="50" spans="1:18" x14ac:dyDescent="0.35">
      <c r="A50" s="243">
        <f t="shared" si="27"/>
        <v>42855</v>
      </c>
      <c r="B50" s="13">
        <v>46245252.655423999</v>
      </c>
      <c r="C50" s="13">
        <v>55001818.147700019</v>
      </c>
      <c r="D50" s="245">
        <v>6.8739999999999996E-2</v>
      </c>
      <c r="E50" s="245">
        <v>0.10778</v>
      </c>
      <c r="F50" s="295">
        <v>101020114.08877601</v>
      </c>
      <c r="G50" s="13">
        <f t="shared" si="18"/>
        <v>46141588.712224327</v>
      </c>
      <c r="H50" s="13">
        <f t="shared" si="19"/>
        <v>54878525.376551688</v>
      </c>
      <c r="I50" s="247">
        <v>0.11034824234748421</v>
      </c>
      <c r="J50" s="255">
        <v>1.11E-2</v>
      </c>
      <c r="K50" s="247">
        <f t="shared" si="24"/>
        <v>0.11888</v>
      </c>
      <c r="L50" s="13">
        <f t="shared" si="20"/>
        <v>-11439.133926893222</v>
      </c>
      <c r="M50" s="13">
        <f t="shared" si="21"/>
        <v>-1368.5497597464794</v>
      </c>
      <c r="N50" s="13">
        <f t="shared" si="25"/>
        <v>-8475.1450887363044</v>
      </c>
      <c r="O50" s="13">
        <f t="shared" si="22"/>
        <v>2142457.630700578</v>
      </c>
      <c r="P50" s="13">
        <v>2240934.709999999</v>
      </c>
      <c r="Q50" s="13">
        <f t="shared" si="26"/>
        <v>2147270.980486209</v>
      </c>
      <c r="R50" s="244">
        <f t="shared" si="23"/>
        <v>93663.729513789993</v>
      </c>
    </row>
    <row r="51" spans="1:18" x14ac:dyDescent="0.35">
      <c r="A51" s="243">
        <f t="shared" si="27"/>
        <v>42886</v>
      </c>
      <c r="B51" s="13">
        <v>46534468.580132008</v>
      </c>
      <c r="C51" s="13">
        <v>58396065.210089929</v>
      </c>
      <c r="D51" s="245">
        <v>0.10623</v>
      </c>
      <c r="E51" s="245">
        <v>0.12307</v>
      </c>
      <c r="F51" s="295">
        <v>104468439.18490301</v>
      </c>
      <c r="G51" s="13">
        <f t="shared" si="18"/>
        <v>46329539.413038932</v>
      </c>
      <c r="H51" s="13">
        <f t="shared" si="19"/>
        <v>58138899.771864086</v>
      </c>
      <c r="I51" s="247">
        <v>9.8872576358285988E-2</v>
      </c>
      <c r="J51" s="255">
        <v>3.2000000000000002E-3</v>
      </c>
      <c r="K51" s="247">
        <f t="shared" si="24"/>
        <v>0.12626999999999999</v>
      </c>
      <c r="L51" s="13">
        <f t="shared" si="20"/>
        <v>-20261.874721450087</v>
      </c>
      <c r="M51" s="13">
        <f t="shared" si="21"/>
        <v>-822.92940232269768</v>
      </c>
      <c r="N51" s="13">
        <f t="shared" si="25"/>
        <v>-27318.684502731303</v>
      </c>
      <c r="O51" s="13">
        <f t="shared" si="22"/>
        <v>979059.07215819089</v>
      </c>
      <c r="P51" s="13">
        <v>1054839.8999999994</v>
      </c>
      <c r="Q51" s="13">
        <f t="shared" si="26"/>
        <v>983389.7381379141</v>
      </c>
      <c r="R51" s="244">
        <f t="shared" si="23"/>
        <v>71450.161862085341</v>
      </c>
    </row>
    <row r="52" spans="1:18" x14ac:dyDescent="0.35">
      <c r="A52" s="243">
        <f t="shared" si="27"/>
        <v>42916</v>
      </c>
      <c r="B52" s="13">
        <v>51030721.141145006</v>
      </c>
      <c r="C52" s="13">
        <v>60299656.416379921</v>
      </c>
      <c r="D52" s="245">
        <v>0.11954000000000001</v>
      </c>
      <c r="E52" s="245">
        <v>0.11848</v>
      </c>
      <c r="F52" s="295">
        <v>111196672.93028601</v>
      </c>
      <c r="G52" s="13">
        <f t="shared" si="18"/>
        <v>50969434.691771522</v>
      </c>
      <c r="H52" s="13">
        <f t="shared" si="19"/>
        <v>60227238.23851449</v>
      </c>
      <c r="I52" s="247">
        <v>9.9367189987609877E-2</v>
      </c>
      <c r="J52" s="255">
        <v>5.8999999999999999E-3</v>
      </c>
      <c r="K52" s="247">
        <f t="shared" si="24"/>
        <v>0.12438</v>
      </c>
      <c r="L52" s="251">
        <f t="shared" si="20"/>
        <v>-6089.8622585609846</v>
      </c>
      <c r="M52" s="251">
        <f t="shared" si="21"/>
        <v>-427.26724940604117</v>
      </c>
      <c r="N52" s="251">
        <f t="shared" si="25"/>
        <v>-8656.8689820335876</v>
      </c>
      <c r="O52" s="13">
        <f t="shared" si="22"/>
        <v>-63840.872532825684</v>
      </c>
      <c r="P52" s="13">
        <v>-63071.198652138002</v>
      </c>
      <c r="Q52" s="13">
        <f t="shared" si="26"/>
        <v>-63917.635801363038</v>
      </c>
      <c r="R52" s="244">
        <f t="shared" si="23"/>
        <v>846.43714922503568</v>
      </c>
    </row>
    <row r="53" spans="1:18" x14ac:dyDescent="0.35">
      <c r="A53" s="243">
        <f t="shared" si="27"/>
        <v>42947</v>
      </c>
      <c r="B53" s="13">
        <v>56694214.945408002</v>
      </c>
      <c r="C53" s="13">
        <v>45480923.614120021</v>
      </c>
      <c r="D53" s="245">
        <v>0.10651999999999999</v>
      </c>
      <c r="E53" s="245">
        <v>0.1128</v>
      </c>
      <c r="F53" s="295">
        <v>101751569.78746352</v>
      </c>
      <c r="G53" s="13">
        <f t="shared" si="18"/>
        <v>56459188.11455524</v>
      </c>
      <c r="H53" s="13">
        <f t="shared" si="19"/>
        <v>45292381.672908276</v>
      </c>
      <c r="I53" s="247">
        <v>0.13290140935220254</v>
      </c>
      <c r="J53" s="255">
        <v>1.3600000000000001E-2</v>
      </c>
      <c r="K53" s="247">
        <f t="shared" si="24"/>
        <v>0.12640000000000001</v>
      </c>
      <c r="L53" s="251">
        <f t="shared" si="20"/>
        <v>-31235.397055913771</v>
      </c>
      <c r="M53" s="251">
        <f t="shared" si="21"/>
        <v>-2564.1704004797343</v>
      </c>
      <c r="N53" s="251">
        <f t="shared" si="25"/>
        <v>-20083.48757787509</v>
      </c>
      <c r="O53" s="13">
        <f t="shared" si="22"/>
        <v>284436.15690586431</v>
      </c>
      <c r="P53" s="13">
        <v>285969.82871900965</v>
      </c>
      <c r="Q53" s="13">
        <f t="shared" si="26"/>
        <v>285620.2002966741</v>
      </c>
      <c r="R53" s="244">
        <f t="shared" si="23"/>
        <v>349.62842233554693</v>
      </c>
    </row>
    <row r="54" spans="1:18" x14ac:dyDescent="0.35">
      <c r="A54" s="243">
        <f t="shared" si="27"/>
        <v>42978</v>
      </c>
      <c r="B54" s="13">
        <v>52698093.475606002</v>
      </c>
      <c r="C54" s="13">
        <v>45248818.27886007</v>
      </c>
      <c r="D54" s="245">
        <v>0.115</v>
      </c>
      <c r="E54" s="245">
        <v>0.10109</v>
      </c>
      <c r="F54" s="295">
        <v>98042274.172119543</v>
      </c>
      <c r="G54" s="13">
        <f t="shared" si="18"/>
        <v>52749401.0411999</v>
      </c>
      <c r="H54" s="13">
        <f t="shared" si="19"/>
        <v>45292873.130919643</v>
      </c>
      <c r="I54" s="247">
        <v>0.13499755908507577</v>
      </c>
      <c r="J54" s="255">
        <v>1.7299999999999999E-2</v>
      </c>
      <c r="K54" s="247">
        <f t="shared" si="24"/>
        <v>0.11839</v>
      </c>
      <c r="L54" s="252">
        <f t="shared" si="20"/>
        <v>6926.3961177736855</v>
      </c>
      <c r="M54" s="252">
        <f t="shared" si="21"/>
        <v>762.14894063061172</v>
      </c>
      <c r="N54" s="252">
        <f t="shared" si="25"/>
        <v>5066.3079868508876</v>
      </c>
      <c r="O54" s="13">
        <f t="shared" si="22"/>
        <v>-630023.86525109247</v>
      </c>
      <c r="P54" s="13">
        <v>-739900.33651795611</v>
      </c>
      <c r="Q54" s="13">
        <f t="shared" si="26"/>
        <v>-629411.0622589438</v>
      </c>
      <c r="R54" s="244">
        <f t="shared" si="23"/>
        <v>-110489.27425901231</v>
      </c>
    </row>
    <row r="55" spans="1:18" x14ac:dyDescent="0.35">
      <c r="A55" s="243">
        <f t="shared" si="27"/>
        <v>43008</v>
      </c>
      <c r="B55" s="13">
        <v>51918940.290273994</v>
      </c>
      <c r="C55" s="13">
        <v>44173835.13625998</v>
      </c>
      <c r="D55" s="245">
        <v>0.12739</v>
      </c>
      <c r="E55" s="245">
        <v>8.8639999999999997E-2</v>
      </c>
      <c r="F55" s="295">
        <v>95609929.781501547</v>
      </c>
      <c r="G55" s="13">
        <f t="shared" si="18"/>
        <v>51658058.719286144</v>
      </c>
      <c r="H55" s="13">
        <f t="shared" si="19"/>
        <v>43951871.06221541</v>
      </c>
      <c r="I55" s="247">
        <v>0.13390990281935825</v>
      </c>
      <c r="J55" s="255">
        <v>2.3099999999999999E-2</v>
      </c>
      <c r="K55" s="247">
        <f t="shared" si="24"/>
        <v>0.11173999999999999</v>
      </c>
      <c r="L55" s="13">
        <f t="shared" si="20"/>
        <v>-34934.625818344561</v>
      </c>
      <c r="M55" s="13">
        <f t="shared" si="21"/>
        <v>-5127.3701104295742</v>
      </c>
      <c r="N55" s="13">
        <f t="shared" si="25"/>
        <v>-28276.003392537816</v>
      </c>
      <c r="O55" s="13">
        <f t="shared" si="22"/>
        <v>-1703135.0036608474</v>
      </c>
      <c r="P55" s="13">
        <v>-1600441.7767893751</v>
      </c>
      <c r="Q55" s="13">
        <f t="shared" si="26"/>
        <v>-1711736.1115300746</v>
      </c>
      <c r="R55" s="244">
        <f t="shared" si="23"/>
        <v>111294.3347406995</v>
      </c>
    </row>
    <row r="56" spans="1:18" x14ac:dyDescent="0.35">
      <c r="A56" s="243">
        <f t="shared" si="27"/>
        <v>43039</v>
      </c>
      <c r="B56" s="13">
        <v>48779592.115946002</v>
      </c>
      <c r="C56" s="13">
        <v>42511045.400920041</v>
      </c>
      <c r="D56" s="245">
        <v>0.10212</v>
      </c>
      <c r="E56" s="245">
        <v>0.12562999999999999</v>
      </c>
      <c r="F56" s="295">
        <v>91045825.932207763</v>
      </c>
      <c r="G56" s="13">
        <f t="shared" si="18"/>
        <v>48648781.229203284</v>
      </c>
      <c r="H56" s="13">
        <f t="shared" si="19"/>
        <v>42397044.703004479</v>
      </c>
      <c r="I56" s="247">
        <v>0.13643841783082952</v>
      </c>
      <c r="J56" s="255">
        <v>8.8000000000000005E-3</v>
      </c>
      <c r="K56" s="247">
        <f t="shared" si="24"/>
        <v>0.13442999999999999</v>
      </c>
      <c r="L56" s="13">
        <f t="shared" si="20"/>
        <v>-17847.630422224349</v>
      </c>
      <c r="M56" s="13">
        <f t="shared" si="21"/>
        <v>-1003.2061416569412</v>
      </c>
      <c r="N56" s="13">
        <f t="shared" si="25"/>
        <v>-11641.75127113714</v>
      </c>
      <c r="O56" s="13">
        <f t="shared" si="22"/>
        <v>996754.52096763486</v>
      </c>
      <c r="P56" s="13">
        <v>999965.23842771165</v>
      </c>
      <c r="Q56" s="13">
        <f t="shared" si="26"/>
        <v>999434.67737562966</v>
      </c>
      <c r="R56" s="244">
        <f t="shared" si="23"/>
        <v>530.56105208199006</v>
      </c>
    </row>
    <row r="57" spans="1:18" x14ac:dyDescent="0.35">
      <c r="A57" s="243">
        <f t="shared" si="27"/>
        <v>43069</v>
      </c>
      <c r="B57" s="13">
        <v>53717196.993257008</v>
      </c>
      <c r="C57" s="13">
        <v>42229868.556640007</v>
      </c>
      <c r="D57" s="245">
        <v>0.11164</v>
      </c>
      <c r="E57" s="245">
        <v>9.7040000000000001E-2</v>
      </c>
      <c r="F57" s="295">
        <v>95744493.655589581</v>
      </c>
      <c r="G57" s="13">
        <f t="shared" si="18"/>
        <v>53603784.516393386</v>
      </c>
      <c r="H57" s="13">
        <f t="shared" si="19"/>
        <v>42140709.139196195</v>
      </c>
      <c r="I57" s="247">
        <v>0.13037391272193244</v>
      </c>
      <c r="J57" s="255">
        <v>1.3999999999999999E-2</v>
      </c>
      <c r="K57" s="247">
        <f t="shared" si="24"/>
        <v>0.11104</v>
      </c>
      <c r="L57" s="13">
        <f t="shared" si="20"/>
        <v>-14786.028360196124</v>
      </c>
      <c r="M57" s="13">
        <f t="shared" si="21"/>
        <v>-1248.2318442133665</v>
      </c>
      <c r="N57" s="13">
        <f t="shared" si="25"/>
        <v>-9953.7573634271594</v>
      </c>
      <c r="O57" s="13">
        <f t="shared" si="22"/>
        <v>-615254.35343226453</v>
      </c>
      <c r="P57" s="13">
        <v>-633319.7468761527</v>
      </c>
      <c r="Q57" s="13">
        <f t="shared" si="26"/>
        <v>-616556.08092694415</v>
      </c>
      <c r="R57" s="244">
        <f t="shared" si="23"/>
        <v>-16763.665949208545</v>
      </c>
    </row>
    <row r="58" spans="1:18" x14ac:dyDescent="0.35">
      <c r="A58" s="243">
        <f t="shared" si="27"/>
        <v>43100</v>
      </c>
      <c r="B58" s="13">
        <v>62714261.536870003</v>
      </c>
      <c r="C58" s="13">
        <v>43108101.348600075</v>
      </c>
      <c r="D58" s="245">
        <v>8.3909999999999998E-2</v>
      </c>
      <c r="E58" s="245">
        <v>9.2069999999999999E-2</v>
      </c>
      <c r="F58" s="295">
        <v>105521170.8012414</v>
      </c>
      <c r="G58" s="13">
        <f t="shared" si="18"/>
        <v>62535763.924190573</v>
      </c>
      <c r="H58" s="13">
        <f t="shared" si="19"/>
        <v>42985406.877050824</v>
      </c>
      <c r="I58" s="247">
        <v>0.12919496938603045</v>
      </c>
      <c r="J58" s="255">
        <v>2.06E-2</v>
      </c>
      <c r="K58" s="247">
        <f t="shared" si="24"/>
        <v>0.11266999999999999</v>
      </c>
      <c r="L58" s="251">
        <f t="shared" si="20"/>
        <v>-23060.993605598396</v>
      </c>
      <c r="M58" s="251">
        <f t="shared" si="21"/>
        <v>-2527.5061139145537</v>
      </c>
      <c r="N58" s="251">
        <f t="shared" si="25"/>
        <v>-10295.293107697584</v>
      </c>
      <c r="O58" s="13">
        <f t="shared" si="22"/>
        <v>350760.92011673475</v>
      </c>
      <c r="P58" s="13">
        <v>370561.21706108656</v>
      </c>
      <c r="Q58" s="13">
        <f t="shared" si="26"/>
        <v>351762.10700457665</v>
      </c>
      <c r="R58" s="244">
        <f t="shared" si="23"/>
        <v>18799.110056509904</v>
      </c>
    </row>
    <row r="59" spans="1:18" x14ac:dyDescent="0.35">
      <c r="A59" s="243">
        <f t="shared" si="27"/>
        <v>43131</v>
      </c>
      <c r="B59" s="13">
        <v>66416467.728015006</v>
      </c>
      <c r="C59" s="13">
        <v>45185087.913500004</v>
      </c>
      <c r="D59" s="245">
        <v>8.7770000000000001E-2</v>
      </c>
      <c r="E59" s="245">
        <v>6.7360000000000003E-2</v>
      </c>
      <c r="F59" s="295">
        <v>111394001.44732073</v>
      </c>
      <c r="G59" s="13">
        <f t="shared" si="18"/>
        <v>66292947.797120862</v>
      </c>
      <c r="H59" s="13">
        <f t="shared" si="19"/>
        <v>45101053.65019986</v>
      </c>
      <c r="I59" s="247">
        <v>0.13521909178370861</v>
      </c>
      <c r="J59" s="255">
        <v>3.2099999999999997E-2</v>
      </c>
      <c r="K59" s="247">
        <f t="shared" si="24"/>
        <v>9.9459999999999993E-2</v>
      </c>
      <c r="L59" s="13">
        <f t="shared" si="20"/>
        <v>-16702.252872692585</v>
      </c>
      <c r="M59" s="13">
        <f>(H59-C59)*J59</f>
        <v>-2697.4998519345959</v>
      </c>
      <c r="N59" s="13">
        <f t="shared" si="25"/>
        <v>-7375.6872898535676</v>
      </c>
      <c r="O59" s="13">
        <f t="shared" si="22"/>
        <v>-920512.50500057905</v>
      </c>
      <c r="P59" s="13">
        <v>-936594.69049831759</v>
      </c>
      <c r="Q59" s="13">
        <f t="shared" si="26"/>
        <v>-922227.64431453496</v>
      </c>
      <c r="R59" s="244">
        <f t="shared" si="23"/>
        <v>-14367.04618378263</v>
      </c>
    </row>
    <row r="60" spans="1:18" x14ac:dyDescent="0.35">
      <c r="A60" s="243">
        <f t="shared" si="27"/>
        <v>43159</v>
      </c>
      <c r="B60" s="13">
        <v>55855576.925822005</v>
      </c>
      <c r="C60" s="13">
        <v>39419097.172240011</v>
      </c>
      <c r="D60" s="245">
        <v>7.3329999999999992E-2</v>
      </c>
      <c r="E60" s="245">
        <v>8.1670000000000006E-2</v>
      </c>
      <c r="F60" s="295">
        <v>94933389.261278987</v>
      </c>
      <c r="G60" s="13">
        <f t="shared" si="18"/>
        <v>55655495.827303313</v>
      </c>
      <c r="H60" s="13">
        <f t="shared" si="19"/>
        <v>39277893.433975682</v>
      </c>
      <c r="I60" s="247">
        <v>0.13039561677931436</v>
      </c>
      <c r="J60" s="255">
        <v>1.9E-2</v>
      </c>
      <c r="K60" s="247">
        <f t="shared" si="24"/>
        <v>0.10067000000000001</v>
      </c>
      <c r="L60" s="13">
        <f t="shared" si="20"/>
        <v>-26089.698247227596</v>
      </c>
      <c r="M60" s="13">
        <f t="shared" si="21"/>
        <v>-2682.871027022265</v>
      </c>
      <c r="N60" s="13">
        <f t="shared" si="25"/>
        <v>-10354.470126923297</v>
      </c>
      <c r="O60" s="13">
        <f t="shared" si="22"/>
        <v>327577.63123935775</v>
      </c>
      <c r="P60" s="13">
        <v>333789.53000000026</v>
      </c>
      <c r="Q60" s="13">
        <f t="shared" si="26"/>
        <v>328755.27041648224</v>
      </c>
      <c r="R60" s="244">
        <f t="shared" si="23"/>
        <v>5034.2595835180255</v>
      </c>
    </row>
    <row r="61" spans="1:18" x14ac:dyDescent="0.35">
      <c r="A61" s="243">
        <f t="shared" si="27"/>
        <v>43190</v>
      </c>
      <c r="B61" s="13">
        <v>57957038.824405</v>
      </c>
      <c r="C61" s="13">
        <v>42684619.467670023</v>
      </c>
      <c r="D61" s="245">
        <v>7.8769999999999993E-2</v>
      </c>
      <c r="E61" s="245">
        <v>9.4810000000000005E-2</v>
      </c>
      <c r="F61" s="295">
        <v>100394855.66997066</v>
      </c>
      <c r="G61" s="13">
        <f t="shared" si="18"/>
        <v>57814911.305900134</v>
      </c>
      <c r="H61" s="13">
        <f t="shared" si="19"/>
        <v>42579944.364070527</v>
      </c>
      <c r="I61" s="247">
        <v>0.13125598173288672</v>
      </c>
      <c r="J61" s="255">
        <v>1.72E-2</v>
      </c>
      <c r="K61" s="247">
        <f t="shared" si="24"/>
        <v>0.11201</v>
      </c>
      <c r="L61" s="13">
        <f t="shared" si="20"/>
        <v>-18655.08697261514</v>
      </c>
      <c r="M61" s="13">
        <f t="shared" si="21"/>
        <v>-1800.4117819113344</v>
      </c>
      <c r="N61" s="13">
        <f t="shared" si="25"/>
        <v>-8245.257910532313</v>
      </c>
      <c r="O61" s="13">
        <f t="shared" si="22"/>
        <v>682982.30759969179</v>
      </c>
      <c r="P61" s="13">
        <v>684956.77210974693</v>
      </c>
      <c r="Q61" s="13">
        <f t="shared" si="26"/>
        <v>684661.29626142769</v>
      </c>
      <c r="R61" s="244">
        <f t="shared" si="23"/>
        <v>295.47584831924178</v>
      </c>
    </row>
    <row r="62" spans="1:18" x14ac:dyDescent="0.35">
      <c r="A62" s="243">
        <f t="shared" si="27"/>
        <v>43220</v>
      </c>
      <c r="B62" s="13">
        <v>53600408.731743</v>
      </c>
      <c r="C62" s="13">
        <v>40080540.190820031</v>
      </c>
      <c r="D62" s="245">
        <v>9.8099999999999993E-2</v>
      </c>
      <c r="E62" s="245">
        <v>9.9589999999999998E-2</v>
      </c>
      <c r="F62" s="295">
        <v>93239140.98476541</v>
      </c>
      <c r="G62" s="13">
        <f t="shared" si="18"/>
        <v>53347624.293506198</v>
      </c>
      <c r="H62" s="13">
        <f t="shared" si="19"/>
        <v>39891516.691259213</v>
      </c>
      <c r="I62" s="247">
        <v>0.12926317899412035</v>
      </c>
      <c r="J62" s="255">
        <v>2.9700000000000001E-2</v>
      </c>
      <c r="K62" s="247">
        <f t="shared" si="24"/>
        <v>0.12928999999999999</v>
      </c>
      <c r="L62" s="13">
        <f t="shared" si="20"/>
        <v>-32675.720086732003</v>
      </c>
      <c r="M62" s="13">
        <f t="shared" si="21"/>
        <v>-5613.9979369562971</v>
      </c>
      <c r="N62" s="13">
        <f t="shared" si="25"/>
        <v>-18543.20530691625</v>
      </c>
      <c r="O62" s="13">
        <f t="shared" si="22"/>
        <v>59438.359869976433</v>
      </c>
      <c r="P62" s="13">
        <v>60195.304251799826</v>
      </c>
      <c r="Q62" s="13">
        <f t="shared" si="26"/>
        <v>59720.004884322057</v>
      </c>
      <c r="R62" s="244">
        <f t="shared" si="23"/>
        <v>475.2993674777681</v>
      </c>
    </row>
    <row r="63" spans="1:18" x14ac:dyDescent="0.35">
      <c r="A63" s="243">
        <f t="shared" si="27"/>
        <v>43251</v>
      </c>
      <c r="B63" s="13">
        <v>51527862.720117003</v>
      </c>
      <c r="C63" s="13">
        <v>42472301.451959997</v>
      </c>
      <c r="D63" s="245">
        <v>9.3920000000000003E-2</v>
      </c>
      <c r="E63" s="245">
        <v>0.10793000000000001</v>
      </c>
      <c r="F63" s="295">
        <v>93787460.818201989</v>
      </c>
      <c r="G63" s="13">
        <f t="shared" si="18"/>
        <v>51411265.59164267</v>
      </c>
      <c r="H63" s="13">
        <f t="shared" si="19"/>
        <v>42376195.226559319</v>
      </c>
      <c r="I63" s="247">
        <v>8.3502439232925899E-2</v>
      </c>
      <c r="J63" s="255">
        <v>1.3100000000000001E-2</v>
      </c>
      <c r="K63" s="247">
        <f t="shared" si="24"/>
        <v>0.12103000000000001</v>
      </c>
      <c r="L63" s="13">
        <f t="shared" si="20"/>
        <v>-9736.1446351615941</v>
      </c>
      <c r="M63" s="13">
        <f t="shared" si="21"/>
        <v>-1258.9915527488924</v>
      </c>
      <c r="N63" s="13">
        <f t="shared" si="25"/>
        <v>-9026.2966896317539</v>
      </c>
      <c r="O63" s="13">
        <f t="shared" si="22"/>
        <v>593690.4951240964</v>
      </c>
      <c r="P63" s="13">
        <v>595509.58571005007</v>
      </c>
      <c r="Q63" s="13">
        <f t="shared" si="26"/>
        <v>595036.94334195997</v>
      </c>
      <c r="R63" s="244">
        <f t="shared" si="23"/>
        <v>472.64236809010617</v>
      </c>
    </row>
    <row r="64" spans="1:18" x14ac:dyDescent="0.35">
      <c r="A64" s="243">
        <f t="shared" si="27"/>
        <v>43281</v>
      </c>
      <c r="B64" s="13">
        <v>55673238.408011995</v>
      </c>
      <c r="C64" s="13">
        <v>42950579.701250017</v>
      </c>
      <c r="D64" s="245">
        <v>0.13336000000000001</v>
      </c>
      <c r="E64" s="245">
        <v>0.11896</v>
      </c>
      <c r="F64" s="295">
        <v>98082502.116999656</v>
      </c>
      <c r="G64" s="13">
        <f t="shared" si="18"/>
        <v>55367665.019462943</v>
      </c>
      <c r="H64" s="13">
        <f t="shared" si="19"/>
        <v>42714837.097536698</v>
      </c>
      <c r="I64" s="247">
        <v>8.3164562758421448E-2</v>
      </c>
      <c r="J64" s="255">
        <v>1.83E-2</v>
      </c>
      <c r="K64" s="247">
        <f t="shared" si="24"/>
        <v>0.13725999999999999</v>
      </c>
      <c r="L64" s="13">
        <f t="shared" si="20"/>
        <v>-25412.877249291152</v>
      </c>
      <c r="M64" s="13">
        <f t="shared" si="21"/>
        <v>-4314.0896479537323</v>
      </c>
      <c r="N64" s="13">
        <f t="shared" si="25"/>
        <v>-31438.633631208184</v>
      </c>
      <c r="O64" s="13">
        <f t="shared" si="22"/>
        <v>-615093.6542045289</v>
      </c>
      <c r="P64" s="13">
        <v>-617957.92993366439</v>
      </c>
      <c r="Q64" s="13">
        <f t="shared" si="26"/>
        <v>-618488.34769800073</v>
      </c>
      <c r="R64" s="244">
        <f t="shared" si="23"/>
        <v>530.4177643363364</v>
      </c>
    </row>
    <row r="65" spans="1:18" x14ac:dyDescent="0.35">
      <c r="A65" s="243">
        <f t="shared" si="27"/>
        <v>43312</v>
      </c>
      <c r="B65" s="13">
        <v>66146418.864171997</v>
      </c>
      <c r="C65" s="13">
        <v>46224244.508449957</v>
      </c>
      <c r="D65" s="245">
        <v>8.5019999999999998E-2</v>
      </c>
      <c r="E65" s="245">
        <v>7.7370000000000008E-2</v>
      </c>
      <c r="F65" s="295">
        <v>112222938.64247476</v>
      </c>
      <c r="G65" s="13">
        <f t="shared" si="18"/>
        <v>66059461.453904592</v>
      </c>
      <c r="H65" s="13">
        <f t="shared" si="19"/>
        <v>46163477.188570164</v>
      </c>
      <c r="I65" s="247">
        <v>8.3554111607650777E-2</v>
      </c>
      <c r="J65" s="255">
        <v>3.04E-2</v>
      </c>
      <c r="K65" s="247">
        <f t="shared" si="24"/>
        <v>0.10777</v>
      </c>
      <c r="L65" s="13">
        <f t="shared" si="20"/>
        <v>-7265.649162595053</v>
      </c>
      <c r="M65" s="13">
        <f t="shared" si="21"/>
        <v>-1847.326524345696</v>
      </c>
      <c r="N65" s="13">
        <f t="shared" si="25"/>
        <v>-5166.4375361799694</v>
      </c>
      <c r="O65" s="13">
        <f t="shared" si="22"/>
        <v>-353150.60049256129</v>
      </c>
      <c r="P65" s="13">
        <v>-353286.70238122251</v>
      </c>
      <c r="Q65" s="13">
        <f t="shared" si="26"/>
        <v>-353615.47048964171</v>
      </c>
      <c r="R65" s="244">
        <f t="shared" si="23"/>
        <v>328.76810841920087</v>
      </c>
    </row>
    <row r="66" spans="1:18" x14ac:dyDescent="0.35">
      <c r="A66" s="243">
        <f t="shared" si="27"/>
        <v>43343</v>
      </c>
      <c r="B66" s="13">
        <v>63829118.746043004</v>
      </c>
      <c r="C66" s="13">
        <v>46731050.18539995</v>
      </c>
      <c r="D66" s="245">
        <v>7.7900000000000011E-2</v>
      </c>
      <c r="E66" s="245">
        <v>7.4900000000000008E-2</v>
      </c>
      <c r="F66" s="295">
        <v>110193887.93846799</v>
      </c>
      <c r="G66" s="13">
        <f t="shared" si="18"/>
        <v>63617655.673754156</v>
      </c>
      <c r="H66" s="13">
        <f t="shared" si="19"/>
        <v>46576232.264713846</v>
      </c>
      <c r="I66" s="247">
        <v>8.3923082301267188E-2</v>
      </c>
      <c r="J66" s="255">
        <v>3.0600000000000002E-2</v>
      </c>
      <c r="K66" s="247">
        <f t="shared" si="24"/>
        <v>0.10550000000000001</v>
      </c>
      <c r="L66" s="13">
        <f t="shared" si="20"/>
        <v>-17746.632819375842</v>
      </c>
      <c r="M66" s="13">
        <f t="shared" si="21"/>
        <v>-4737.4283729947647</v>
      </c>
      <c r="N66" s="13">
        <f t="shared" si="25"/>
        <v>-12060.316021447457</v>
      </c>
      <c r="O66" s="13">
        <f t="shared" si="22"/>
        <v>-139728.69679414167</v>
      </c>
      <c r="P66" s="13">
        <v>-139920.74111354211</v>
      </c>
      <c r="Q66" s="13">
        <f t="shared" si="26"/>
        <v>-140193.15055619998</v>
      </c>
      <c r="R66" s="244">
        <f t="shared" si="23"/>
        <v>272.40944265786675</v>
      </c>
    </row>
    <row r="67" spans="1:18" x14ac:dyDescent="0.35">
      <c r="A67" s="243">
        <f t="shared" si="27"/>
        <v>43373</v>
      </c>
      <c r="B67" s="13">
        <v>56384299.532940999</v>
      </c>
      <c r="C67" s="13">
        <v>42583541.508560017</v>
      </c>
      <c r="D67" s="245">
        <v>8.4239999999999995E-2</v>
      </c>
      <c r="E67" s="245">
        <v>8.584E-2</v>
      </c>
      <c r="F67" s="295">
        <v>99216129.805999994</v>
      </c>
      <c r="G67" s="13">
        <f t="shared" si="18"/>
        <v>56525755.463684231</v>
      </c>
      <c r="H67" s="13">
        <f t="shared" si="19"/>
        <v>42690374.342315756</v>
      </c>
      <c r="I67" s="247">
        <v>8.1673345444563478E-2</v>
      </c>
      <c r="J67" s="255">
        <v>2.9900000000000003E-2</v>
      </c>
      <c r="K67" s="247">
        <f t="shared" si="24"/>
        <v>0.11574000000000001</v>
      </c>
      <c r="L67" s="252">
        <f t="shared" si="20"/>
        <v>11553.179096774264</v>
      </c>
      <c r="M67" s="252">
        <f t="shared" si="21"/>
        <v>3194.3017292965974</v>
      </c>
      <c r="N67" s="252">
        <f t="shared" si="25"/>
        <v>8999.5979155834557</v>
      </c>
      <c r="O67" s="13">
        <f t="shared" si="22"/>
        <v>68304.598947705395</v>
      </c>
      <c r="P67" s="13">
        <v>68496.813094785903</v>
      </c>
      <c r="Q67" s="13">
        <f t="shared" si="26"/>
        <v>68133.666413696206</v>
      </c>
      <c r="R67" s="244">
        <f t="shared" si="23"/>
        <v>363.14668108969636</v>
      </c>
    </row>
    <row r="68" spans="1:18" x14ac:dyDescent="0.35">
      <c r="A68" s="243">
        <f t="shared" si="27"/>
        <v>43404</v>
      </c>
      <c r="B68" s="13">
        <v>51787871.100000001</v>
      </c>
      <c r="C68" s="13">
        <v>41808974.972239971</v>
      </c>
      <c r="D68" s="245">
        <v>8.9209999999999998E-2</v>
      </c>
      <c r="E68" s="245">
        <v>0.12059</v>
      </c>
      <c r="F68" s="295">
        <v>93371269.385502338</v>
      </c>
      <c r="G68" s="13">
        <f t="shared" si="18"/>
        <v>51663057.744997457</v>
      </c>
      <c r="H68" s="13">
        <f t="shared" si="19"/>
        <v>41708211.640504889</v>
      </c>
      <c r="I68" s="247">
        <v>8.2957651866094953E-2</v>
      </c>
      <c r="J68" s="255">
        <v>1.38E-2</v>
      </c>
      <c r="K68" s="247">
        <f t="shared" si="24"/>
        <v>0.13439000000000001</v>
      </c>
      <c r="L68" s="13">
        <f t="shared" si="20"/>
        <v>-10354.222852540433</v>
      </c>
      <c r="M68" s="13">
        <f t="shared" si="21"/>
        <v>-1390.5339779441313</v>
      </c>
      <c r="N68" s="13">
        <f t="shared" si="25"/>
        <v>-8989.0968240866623</v>
      </c>
      <c r="O68" s="13">
        <f t="shared" si="22"/>
        <v>1308803.6812790437</v>
      </c>
      <c r="P68" s="13">
        <v>1312475.5219024261</v>
      </c>
      <c r="Q68" s="13">
        <f t="shared" si="26"/>
        <v>1311965.6346288905</v>
      </c>
      <c r="R68" s="244">
        <f t="shared" si="23"/>
        <v>509.88727353559807</v>
      </c>
    </row>
    <row r="69" spans="1:18" x14ac:dyDescent="0.35">
      <c r="A69" s="243">
        <f t="shared" si="27"/>
        <v>43434</v>
      </c>
      <c r="B69" s="13">
        <v>56991594</v>
      </c>
      <c r="C69" s="13">
        <v>41070469.380640082</v>
      </c>
      <c r="D69" s="245">
        <v>0.12235</v>
      </c>
      <c r="E69" s="245">
        <v>9.8549999999999999E-2</v>
      </c>
      <c r="F69" s="295">
        <v>97860525.680101633</v>
      </c>
      <c r="G69" s="13">
        <f t="shared" si="18"/>
        <v>56874464.557595782</v>
      </c>
      <c r="H69" s="13">
        <f t="shared" si="19"/>
        <v>40986061.122505844</v>
      </c>
      <c r="I69" s="247">
        <v>8.3696132748980495E-2</v>
      </c>
      <c r="J69" s="255">
        <v>2.5099999999999997E-2</v>
      </c>
      <c r="K69" s="247">
        <f t="shared" si="24"/>
        <v>0.12365</v>
      </c>
      <c r="L69" s="13">
        <f t="shared" si="20"/>
        <v>-9803.2813602774968</v>
      </c>
      <c r="M69" s="13">
        <f t="shared" si="21"/>
        <v>-2118.6472791693841</v>
      </c>
      <c r="N69" s="13">
        <f t="shared" si="25"/>
        <v>-10327.350382724071</v>
      </c>
      <c r="O69" s="13">
        <f t="shared" si="22"/>
        <v>-975468.25471563917</v>
      </c>
      <c r="P69" s="13">
        <v>-976683.23253790662</v>
      </c>
      <c r="Q69" s="13">
        <f t="shared" si="26"/>
        <v>-977477.17125923408</v>
      </c>
      <c r="R69" s="244">
        <f t="shared" si="23"/>
        <v>793.93872132746037</v>
      </c>
    </row>
    <row r="70" spans="1:18" x14ac:dyDescent="0.35">
      <c r="A70" s="243">
        <f t="shared" si="27"/>
        <v>43465</v>
      </c>
      <c r="B70" s="13">
        <v>61117807</v>
      </c>
      <c r="C70" s="13">
        <v>40738970.713580005</v>
      </c>
      <c r="D70" s="245">
        <v>9.1980000000000006E-2</v>
      </c>
      <c r="E70" s="245">
        <v>7.4040000000000009E-2</v>
      </c>
      <c r="F70" s="295">
        <v>101579743.73152304</v>
      </c>
      <c r="G70" s="13">
        <f t="shared" si="18"/>
        <v>60951576.437558569</v>
      </c>
      <c r="H70" s="13">
        <f t="shared" si="19"/>
        <v>40628167.293964453</v>
      </c>
      <c r="I70" s="247">
        <v>8.1018437098045751E-2</v>
      </c>
      <c r="J70" s="255">
        <v>2.7900000000000001E-2</v>
      </c>
      <c r="K70" s="247">
        <f>J70+E70</f>
        <v>0.10194</v>
      </c>
      <c r="L70" s="13">
        <f t="shared" si="20"/>
        <v>-13467.740366933844</v>
      </c>
      <c r="M70" s="13">
        <f t="shared" si="21"/>
        <v>-3091.4154072738961</v>
      </c>
      <c r="N70" s="13">
        <f t="shared" si="25"/>
        <v>-10191.698536238458</v>
      </c>
      <c r="O70" s="13">
        <f t="shared" si="22"/>
        <v>-728869.32125372218</v>
      </c>
      <c r="P70" s="13">
        <v>-730867.04836652707</v>
      </c>
      <c r="Q70" s="13">
        <f t="shared" si="26"/>
        <v>-730857.13460162515</v>
      </c>
      <c r="R70" s="244">
        <f>P70-Q70</f>
        <v>-9.9137649019248784</v>
      </c>
    </row>
    <row r="71" spans="1:18" x14ac:dyDescent="0.35">
      <c r="A71" s="243"/>
    </row>
    <row r="72" spans="1:18" x14ac:dyDescent="0.35">
      <c r="A72" s="250" t="s">
        <v>4</v>
      </c>
      <c r="B72" s="13">
        <f>SUM(B23:B34)</f>
        <v>654110365.73953295</v>
      </c>
      <c r="C72" s="13">
        <f t="shared" ref="C72" si="28">SUM(C23:C34)</f>
        <v>746734172.209005</v>
      </c>
      <c r="F72" s="13">
        <f t="shared" ref="F72:H72" si="29">SUM(F23:F34)</f>
        <v>1387351838.5439301</v>
      </c>
      <c r="G72" s="13">
        <f t="shared" si="29"/>
        <v>647810084.51397562</v>
      </c>
      <c r="H72" s="13">
        <f t="shared" si="29"/>
        <v>739541754.0299542</v>
      </c>
      <c r="L72" s="13">
        <f t="shared" ref="L72:N72" si="30">SUM(L23:L34)</f>
        <v>-686670.97738973494</v>
      </c>
      <c r="M72" s="13">
        <f t="shared" si="30"/>
        <v>-167034.07572939771</v>
      </c>
      <c r="N72" s="13">
        <f t="shared" si="30"/>
        <v>-555293.66269269271</v>
      </c>
      <c r="O72" s="13">
        <f t="shared" ref="O72" si="31">SUM(O23:O34)</f>
        <v>1208208.8689432042</v>
      </c>
      <c r="P72" s="13">
        <f>SUM(P23:P34)</f>
        <v>1652510.7999999989</v>
      </c>
      <c r="Q72" s="13">
        <f>SUM(Q23:Q34)</f>
        <v>1219959.3122220645</v>
      </c>
      <c r="R72" s="13">
        <f>SUM(R23:R34)</f>
        <v>432551.4877779347</v>
      </c>
    </row>
    <row r="73" spans="1:18" x14ac:dyDescent="0.35">
      <c r="A73" s="250" t="s">
        <v>0</v>
      </c>
      <c r="B73" s="13">
        <f t="shared" ref="B73:C73" si="32">SUM(B35:B46)</f>
        <v>658997489.58326995</v>
      </c>
      <c r="C73" s="13">
        <f t="shared" si="32"/>
        <v>738159534.66999996</v>
      </c>
      <c r="F73" s="13">
        <f t="shared" ref="F73:H73" si="33">SUM(F35:F46)</f>
        <v>1394105211.0121119</v>
      </c>
      <c r="G73" s="13">
        <f t="shared" si="33"/>
        <v>657558039.87955832</v>
      </c>
      <c r="H73" s="13">
        <f t="shared" si="33"/>
        <v>736547171.13255358</v>
      </c>
      <c r="L73" s="13">
        <f t="shared" ref="L73:N73" si="34">SUM(L35:L46)</f>
        <v>-187290.84018796979</v>
      </c>
      <c r="M73" s="13">
        <f t="shared" si="34"/>
        <v>-26542.84606467788</v>
      </c>
      <c r="N73" s="13">
        <f t="shared" si="34"/>
        <v>-157633.79251835225</v>
      </c>
      <c r="O73" s="13">
        <f t="shared" ref="O73" si="35">SUM(O35:O46)</f>
        <v>-434241.54632703704</v>
      </c>
      <c r="P73" s="13">
        <f>SUM(P35:P46)</f>
        <v>335437.35077668726</v>
      </c>
      <c r="Q73" s="13">
        <f>SUM(Q35:Q46)</f>
        <v>-435192.1374951019</v>
      </c>
      <c r="R73" s="13">
        <f>SUM(R35:R46)</f>
        <v>770629.48827178916</v>
      </c>
    </row>
    <row r="74" spans="1:18" x14ac:dyDescent="0.35">
      <c r="A74" s="250" t="s">
        <v>1</v>
      </c>
      <c r="B74" s="13">
        <f t="shared" ref="B74:C74" si="36">SUM(B47:B58)</f>
        <v>640165900.48099983</v>
      </c>
      <c r="C74" s="13">
        <f t="shared" si="36"/>
        <v>617147588.12864006</v>
      </c>
      <c r="F74" s="13">
        <f t="shared" ref="F74:H74" si="37">SUM(F47:F58)</f>
        <v>1253092327.6307714</v>
      </c>
      <c r="G74" s="13">
        <f t="shared" si="37"/>
        <v>638037805.7811054</v>
      </c>
      <c r="H74" s="13">
        <f t="shared" si="37"/>
        <v>615054521.849666</v>
      </c>
      <c r="L74" s="13">
        <f t="shared" ref="L74:N74" si="38">SUM(L47:L58)</f>
        <v>-252422.06407396102</v>
      </c>
      <c r="M74" s="13">
        <f t="shared" si="38"/>
        <v>-36087.866394753211</v>
      </c>
      <c r="N74" s="13">
        <f t="shared" si="38"/>
        <v>-199982.3005481532</v>
      </c>
      <c r="O74" s="13">
        <f t="shared" ref="O74" si="39">SUM(O47:O58)</f>
        <v>847330.07721288037</v>
      </c>
      <c r="P74" s="13">
        <f>SUM(P47:P58)</f>
        <v>1005870.2953721853</v>
      </c>
      <c r="Q74" s="13">
        <f>SUM(Q47:Q58)</f>
        <v>847258.91151734185</v>
      </c>
      <c r="R74" s="13">
        <f>SUM(R47:R58)</f>
        <v>158611.38385484309</v>
      </c>
    </row>
    <row r="75" spans="1:18" x14ac:dyDescent="0.35">
      <c r="A75" s="250" t="s">
        <v>2</v>
      </c>
      <c r="B75" s="13">
        <f t="shared" ref="B75:C75" si="40">SUM(B59:B70)</f>
        <v>697287702.58126998</v>
      </c>
      <c r="C75" s="13">
        <f t="shared" si="40"/>
        <v>511949477.16631007</v>
      </c>
      <c r="F75" s="13">
        <f t="shared" ref="F75:H75" si="41">SUM(F59:F70)</f>
        <v>1206275845.4826071</v>
      </c>
      <c r="G75" s="13">
        <f t="shared" si="41"/>
        <v>695581881.16643083</v>
      </c>
      <c r="H75" s="13">
        <f t="shared" si="41"/>
        <v>510693964.31617618</v>
      </c>
      <c r="L75" s="13">
        <f t="shared" ref="L75:N75" si="42">SUM(L59:L70)</f>
        <v>-176356.12752866847</v>
      </c>
      <c r="M75" s="13">
        <f t="shared" si="42"/>
        <v>-28358.911630958391</v>
      </c>
      <c r="N75" s="13">
        <f t="shared" si="42"/>
        <v>-122718.85234015854</v>
      </c>
      <c r="O75" s="13">
        <f t="shared" ref="O75" si="43">SUM(O59:O70)</f>
        <v>-692025.95840130083</v>
      </c>
      <c r="P75" s="13">
        <f>SUM(P59:P70)</f>
        <v>-699886.81776237115</v>
      </c>
      <c r="Q75" s="13">
        <f>SUM(Q59:Q70)</f>
        <v>-694586.102972458</v>
      </c>
      <c r="R75" s="13">
        <f>SUM(R59:R70)</f>
        <v>-5300.7147899132542</v>
      </c>
    </row>
    <row r="76" spans="1:18" x14ac:dyDescent="0.35">
      <c r="B76" s="1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Table 1</vt:lpstr>
      <vt:lpstr>Table 2</vt:lpstr>
      <vt:lpstr>Table 3</vt:lpstr>
      <vt:lpstr>Cl B Non-RPP GA</vt:lpstr>
      <vt:lpstr>RPP GA Est &amp; True-Up</vt:lpstr>
      <vt:lpstr>December 2015</vt:lpstr>
      <vt:lpstr>Cl B Non-RPP kWh</vt:lpstr>
      <vt:lpstr>RPP kWh</vt:lpstr>
      <vt:lpstr>UFE Analysis</vt:lpstr>
      <vt:lpstr>App 2-R</vt:lpstr>
      <vt:lpstr>'Cl B Non-RPP GA'!Print_Area</vt:lpstr>
      <vt:lpstr>'Cl B Non-RPP GA'!Print_Titles</vt:lpstr>
      <vt:lpstr>rtend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Gabe Platt</dc:creator>
  <cp:lastModifiedBy>Gabe Platt</cp:lastModifiedBy>
  <dcterms:created xsi:type="dcterms:W3CDTF">2020-03-26T15:26:58Z</dcterms:created>
  <dcterms:modified xsi:type="dcterms:W3CDTF">2020-10-14T22:31:45Z</dcterms:modified>
</cp:coreProperties>
</file>