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Finance\Finance Mgmt\Rate Applications\2021 Cost of Service (EB-2020-0048)\Workings\MB workings\Interrogatories Workings MB\"/>
    </mc:Choice>
  </mc:AlternateContent>
  <bookViews>
    <workbookView xWindow="0" yWindow="0" windowWidth="28800" windowHeight="12435"/>
  </bookViews>
  <sheets>
    <sheet name="Continuity" sheetId="6" r:id="rId1"/>
    <sheet name="WORKINGS" sheetId="1" r:id="rId2"/>
    <sheet name="ACTG Order" sheetId="5" r:id="rId3"/>
    <sheet name="NEW RULES" sheetId="2" r:id="rId4"/>
    <sheet name="Collec Chg" sheetId="3" r:id="rId5"/>
    <sheet name="Reconn Chg" sheetId="4" r:id="rId6"/>
  </sheets>
  <definedNames>
    <definedName name="_xlnm._FilterDatabase" localSheetId="4" hidden="1">'Collec Chg'!$A$1:$V$80</definedName>
    <definedName name="_xlnm._FilterDatabase" localSheetId="5" hidden="1">'Reconn Chg'!$A$1:$V$176</definedName>
  </definedNames>
  <calcPr calcId="152511"/>
  <pivotCaches>
    <pivotCache cacheId="0" r:id="rId7"/>
    <pivotCache cacheId="1"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 i="6" l="1"/>
  <c r="AC30" i="6"/>
  <c r="AC26" i="6"/>
  <c r="R26" i="6"/>
  <c r="S26" i="6"/>
  <c r="T26" i="6"/>
  <c r="U26" i="6"/>
  <c r="V26" i="6"/>
  <c r="W26" i="6"/>
  <c r="X26" i="6"/>
  <c r="Y26" i="6"/>
  <c r="Z26" i="6"/>
  <c r="AA26" i="6"/>
  <c r="AB26" i="6"/>
  <c r="Q26" i="6"/>
  <c r="AC24" i="6"/>
  <c r="S22" i="6"/>
  <c r="R22" i="6"/>
  <c r="R24" i="6"/>
  <c r="S24" i="6"/>
  <c r="T22" i="6" s="1"/>
  <c r="T24" i="6" s="1"/>
  <c r="U22" i="6" s="1"/>
  <c r="U24" i="6" s="1"/>
  <c r="V22" i="6" s="1"/>
  <c r="V24" i="6" s="1"/>
  <c r="W22" i="6" s="1"/>
  <c r="W24" i="6" s="1"/>
  <c r="X22" i="6" s="1"/>
  <c r="X24" i="6" s="1"/>
  <c r="Y22" i="6" s="1"/>
  <c r="Y24" i="6" s="1"/>
  <c r="Z22" i="6" s="1"/>
  <c r="Z24" i="6" s="1"/>
  <c r="AA22" i="6" s="1"/>
  <c r="AA24" i="6" s="1"/>
  <c r="AB22" i="6" s="1"/>
  <c r="AB24" i="6" s="1"/>
  <c r="Q24" i="6"/>
  <c r="Q22" i="6"/>
  <c r="D26" i="6"/>
  <c r="E26" i="6"/>
  <c r="F26" i="6"/>
  <c r="G26" i="6"/>
  <c r="H26" i="6"/>
  <c r="I26" i="6"/>
  <c r="J26" i="6"/>
  <c r="K26" i="6"/>
  <c r="L26" i="6"/>
  <c r="M26" i="6"/>
  <c r="N26" i="6"/>
  <c r="C26" i="6"/>
  <c r="O24" i="6"/>
  <c r="D24" i="6"/>
  <c r="E22" i="6" s="1"/>
  <c r="E24" i="6" s="1"/>
  <c r="F22" i="6" s="1"/>
  <c r="F24" i="6" s="1"/>
  <c r="G22" i="6" s="1"/>
  <c r="G24" i="6" s="1"/>
  <c r="H22" i="6" s="1"/>
  <c r="H24" i="6" s="1"/>
  <c r="I22" i="6" s="1"/>
  <c r="I24" i="6" s="1"/>
  <c r="J22" i="6" s="1"/>
  <c r="J24" i="6" s="1"/>
  <c r="K22" i="6" s="1"/>
  <c r="K24" i="6" s="1"/>
  <c r="L22" i="6" s="1"/>
  <c r="L24" i="6" s="1"/>
  <c r="M22" i="6" s="1"/>
  <c r="M24" i="6" s="1"/>
  <c r="N22" i="6" s="1"/>
  <c r="N24" i="6" s="1"/>
  <c r="D22" i="6"/>
  <c r="C24" i="6"/>
  <c r="AB16" i="6"/>
  <c r="R16" i="6"/>
  <c r="R23" i="6"/>
  <c r="S23" i="6"/>
  <c r="T23" i="6"/>
  <c r="U23" i="6"/>
  <c r="V23" i="6"/>
  <c r="W23" i="6"/>
  <c r="X23" i="6"/>
  <c r="Y23" i="6"/>
  <c r="Z23" i="6"/>
  <c r="AA23" i="6"/>
  <c r="AB23" i="6"/>
  <c r="Q23" i="6"/>
  <c r="S14" i="6"/>
  <c r="S16" i="6" s="1"/>
  <c r="T14" i="6" s="1"/>
  <c r="T16" i="6" s="1"/>
  <c r="U14" i="6" s="1"/>
  <c r="U16" i="6" s="1"/>
  <c r="V14" i="6" s="1"/>
  <c r="V16" i="6" s="1"/>
  <c r="W14" i="6" s="1"/>
  <c r="W16" i="6" s="1"/>
  <c r="X14" i="6" s="1"/>
  <c r="X16" i="6" s="1"/>
  <c r="Y14" i="6" s="1"/>
  <c r="Y16" i="6" s="1"/>
  <c r="Z14" i="6" s="1"/>
  <c r="Z16" i="6" s="1"/>
  <c r="AA14" i="6" s="1"/>
  <c r="AA16" i="6" s="1"/>
  <c r="AB14" i="6" s="1"/>
  <c r="AC16" i="6" s="1"/>
  <c r="R14" i="6"/>
  <c r="Q14" i="6"/>
  <c r="Q16" i="6" s="1"/>
  <c r="O26" i="6"/>
  <c r="D23" i="6"/>
  <c r="E23" i="6"/>
  <c r="F23" i="6"/>
  <c r="G23" i="6"/>
  <c r="H23" i="6"/>
  <c r="I23" i="6"/>
  <c r="J23" i="6"/>
  <c r="K23" i="6"/>
  <c r="L23" i="6"/>
  <c r="M23" i="6"/>
  <c r="N23" i="6"/>
  <c r="C23" i="6"/>
  <c r="X54" i="1"/>
  <c r="O16" i="6"/>
  <c r="K14" i="6"/>
  <c r="J16" i="6"/>
  <c r="K16" i="6"/>
  <c r="L14" i="6" s="1"/>
  <c r="L16" i="6" s="1"/>
  <c r="M14" i="6" s="1"/>
  <c r="M16" i="6" s="1"/>
  <c r="N14" i="6" s="1"/>
  <c r="N16" i="6" s="1"/>
  <c r="J14" i="6"/>
  <c r="I16" i="6"/>
  <c r="J15" i="6"/>
  <c r="K15" i="6"/>
  <c r="L15" i="6"/>
  <c r="M15" i="6"/>
  <c r="N15" i="6"/>
  <c r="I15" i="6"/>
  <c r="X39" i="1"/>
  <c r="D9" i="6"/>
  <c r="E9" i="6"/>
  <c r="F9" i="6"/>
  <c r="G9" i="6"/>
  <c r="H9" i="6"/>
  <c r="I9" i="6"/>
  <c r="J9" i="6"/>
  <c r="O9" i="6" s="1"/>
  <c r="K9" i="6"/>
  <c r="L9" i="6"/>
  <c r="M9" i="6"/>
  <c r="N9" i="6"/>
  <c r="C9" i="6"/>
  <c r="O10" i="6"/>
  <c r="O6" i="6"/>
  <c r="D6" i="6"/>
  <c r="E6" i="6"/>
  <c r="F6" i="6"/>
  <c r="G6" i="6"/>
  <c r="H6" i="6"/>
  <c r="I6" i="6"/>
  <c r="J6" i="6"/>
  <c r="K6" i="6"/>
  <c r="L6" i="6"/>
  <c r="M6" i="6"/>
  <c r="N6" i="6"/>
  <c r="C6" i="6"/>
  <c r="X37" i="1"/>
  <c r="O7" i="6"/>
  <c r="X36" i="1"/>
  <c r="X57" i="1" l="1"/>
  <c r="X55" i="1"/>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2" i="4"/>
  <c r="Q176" i="4"/>
  <c r="B176" i="4"/>
  <c r="Q175" i="4"/>
  <c r="B175" i="4"/>
  <c r="Q174" i="4"/>
  <c r="B174" i="4"/>
  <c r="Q173" i="4"/>
  <c r="B173" i="4"/>
  <c r="Q172" i="4"/>
  <c r="B172" i="4"/>
  <c r="Q171" i="4"/>
  <c r="B171" i="4"/>
  <c r="Q170" i="4"/>
  <c r="B170" i="4"/>
  <c r="Q169" i="4"/>
  <c r="B169" i="4"/>
  <c r="Q168" i="4"/>
  <c r="B168" i="4"/>
  <c r="Q167" i="4"/>
  <c r="B167" i="4"/>
  <c r="Q166" i="4"/>
  <c r="B166" i="4"/>
  <c r="Q165" i="4"/>
  <c r="B165" i="4"/>
  <c r="Q164" i="4"/>
  <c r="B164" i="4"/>
  <c r="Q163" i="4"/>
  <c r="B163" i="4"/>
  <c r="Q162" i="4"/>
  <c r="B162" i="4"/>
  <c r="Q161" i="4"/>
  <c r="B161" i="4"/>
  <c r="Q160" i="4"/>
  <c r="B160" i="4"/>
  <c r="Q159" i="4"/>
  <c r="B159" i="4"/>
  <c r="Q158" i="4"/>
  <c r="B158" i="4"/>
  <c r="Q157" i="4"/>
  <c r="B157" i="4"/>
  <c r="Q156" i="4"/>
  <c r="B156" i="4"/>
  <c r="Q155" i="4"/>
  <c r="B155" i="4"/>
  <c r="Q154" i="4"/>
  <c r="B154" i="4"/>
  <c r="Q153" i="4"/>
  <c r="B153" i="4"/>
  <c r="Q152" i="4"/>
  <c r="B152" i="4"/>
  <c r="Q151" i="4"/>
  <c r="B151" i="4"/>
  <c r="Q150" i="4"/>
  <c r="B150" i="4"/>
  <c r="Q149" i="4"/>
  <c r="B149" i="4"/>
  <c r="Q148" i="4"/>
  <c r="B148" i="4"/>
  <c r="Q147" i="4"/>
  <c r="B147" i="4"/>
  <c r="Q146" i="4"/>
  <c r="B146" i="4"/>
  <c r="Q145" i="4"/>
  <c r="B145" i="4"/>
  <c r="Q144" i="4"/>
  <c r="B144" i="4"/>
  <c r="Q143" i="4"/>
  <c r="B143" i="4"/>
  <c r="Q142" i="4"/>
  <c r="B142" i="4"/>
  <c r="Q141" i="4"/>
  <c r="B141" i="4"/>
  <c r="Q140" i="4"/>
  <c r="B140" i="4"/>
  <c r="Q139" i="4"/>
  <c r="B139" i="4"/>
  <c r="Q138" i="4"/>
  <c r="B138" i="4"/>
  <c r="Q137" i="4"/>
  <c r="B137" i="4"/>
  <c r="Q136" i="4"/>
  <c r="B136" i="4"/>
  <c r="Q135" i="4"/>
  <c r="B135" i="4"/>
  <c r="Q134" i="4"/>
  <c r="B134" i="4"/>
  <c r="Q133" i="4"/>
  <c r="B133" i="4"/>
  <c r="Q132" i="4"/>
  <c r="B132" i="4"/>
  <c r="Q131" i="4"/>
  <c r="B131" i="4"/>
  <c r="Q130" i="4"/>
  <c r="B130" i="4"/>
  <c r="Q129" i="4"/>
  <c r="B129" i="4"/>
  <c r="Q128" i="4"/>
  <c r="B128" i="4"/>
  <c r="Q127" i="4"/>
  <c r="B127" i="4"/>
  <c r="Q126" i="4"/>
  <c r="B126" i="4"/>
  <c r="Q125" i="4"/>
  <c r="B125" i="4"/>
  <c r="Q124" i="4"/>
  <c r="B124" i="4"/>
  <c r="Q123" i="4"/>
  <c r="B123" i="4"/>
  <c r="Q122" i="4"/>
  <c r="B122" i="4"/>
  <c r="Q121" i="4"/>
  <c r="B121" i="4"/>
  <c r="Q120" i="4"/>
  <c r="B120" i="4"/>
  <c r="Q119" i="4"/>
  <c r="B119" i="4"/>
  <c r="Q118" i="4"/>
  <c r="B118" i="4"/>
  <c r="Q117" i="4"/>
  <c r="B117" i="4"/>
  <c r="Q116" i="4"/>
  <c r="B116" i="4"/>
  <c r="Q115" i="4"/>
  <c r="B115" i="4"/>
  <c r="Q114" i="4"/>
  <c r="B114" i="4"/>
  <c r="Q113" i="4"/>
  <c r="B113" i="4"/>
  <c r="Q112" i="4"/>
  <c r="B112" i="4"/>
  <c r="Q111" i="4"/>
  <c r="B111" i="4"/>
  <c r="Q110" i="4"/>
  <c r="B110" i="4"/>
  <c r="Q109" i="4"/>
  <c r="B109" i="4"/>
  <c r="Q108" i="4"/>
  <c r="B108" i="4"/>
  <c r="Q107" i="4"/>
  <c r="B107" i="4"/>
  <c r="Q106" i="4"/>
  <c r="B106" i="4"/>
  <c r="Q105" i="4"/>
  <c r="B105" i="4"/>
  <c r="Q104" i="4"/>
  <c r="B104" i="4"/>
  <c r="Q103" i="4"/>
  <c r="B103" i="4"/>
  <c r="Q102" i="4"/>
  <c r="B102" i="4"/>
  <c r="Q101" i="4"/>
  <c r="B101" i="4"/>
  <c r="Q100" i="4"/>
  <c r="B100" i="4"/>
  <c r="Q99" i="4"/>
  <c r="B99" i="4"/>
  <c r="Q98" i="4"/>
  <c r="B98" i="4"/>
  <c r="Q97" i="4"/>
  <c r="B97" i="4"/>
  <c r="Q96" i="4"/>
  <c r="B96" i="4"/>
  <c r="Q95" i="4"/>
  <c r="B95" i="4"/>
  <c r="Q94" i="4"/>
  <c r="B94" i="4"/>
  <c r="Q93" i="4"/>
  <c r="B93" i="4"/>
  <c r="Q92" i="4"/>
  <c r="B92" i="4"/>
  <c r="Q91" i="4"/>
  <c r="B91" i="4"/>
  <c r="Q90" i="4"/>
  <c r="B90" i="4"/>
  <c r="Q89" i="4"/>
  <c r="B89" i="4"/>
  <c r="Q88" i="4"/>
  <c r="B88" i="4"/>
  <c r="Q87" i="4"/>
  <c r="B87" i="4"/>
  <c r="Q86" i="4"/>
  <c r="B86" i="4"/>
  <c r="Q85" i="4"/>
  <c r="B85" i="4"/>
  <c r="Q84" i="4"/>
  <c r="B84" i="4"/>
  <c r="Q83" i="4"/>
  <c r="B83" i="4"/>
  <c r="Q82" i="4"/>
  <c r="B82" i="4"/>
  <c r="Q81" i="4"/>
  <c r="B81" i="4"/>
  <c r="Q80" i="4"/>
  <c r="B80" i="4"/>
  <c r="Q79" i="4"/>
  <c r="B79" i="4"/>
  <c r="Q78" i="4"/>
  <c r="B78" i="4"/>
  <c r="Q77" i="4"/>
  <c r="B77" i="4"/>
  <c r="Q76" i="4"/>
  <c r="B76" i="4"/>
  <c r="Q75" i="4"/>
  <c r="B75" i="4"/>
  <c r="Q74" i="4"/>
  <c r="B74" i="4"/>
  <c r="Q73" i="4"/>
  <c r="B73" i="4"/>
  <c r="Q72" i="4"/>
  <c r="B72" i="4"/>
  <c r="Q71" i="4"/>
  <c r="B71" i="4"/>
  <c r="Q70" i="4"/>
  <c r="B70" i="4"/>
  <c r="Q69" i="4"/>
  <c r="B69" i="4"/>
  <c r="Q68" i="4"/>
  <c r="B68" i="4"/>
  <c r="Q67" i="4"/>
  <c r="B67" i="4"/>
  <c r="Q66" i="4"/>
  <c r="B66" i="4"/>
  <c r="Q65" i="4"/>
  <c r="B65" i="4"/>
  <c r="Q64" i="4"/>
  <c r="B64" i="4"/>
  <c r="Q63" i="4"/>
  <c r="B63" i="4"/>
  <c r="Q62" i="4"/>
  <c r="B62" i="4"/>
  <c r="Q61" i="4"/>
  <c r="B61" i="4"/>
  <c r="Q60" i="4"/>
  <c r="B60" i="4"/>
  <c r="Q59" i="4"/>
  <c r="B59" i="4"/>
  <c r="Q58" i="4"/>
  <c r="B58" i="4"/>
  <c r="Q57" i="4"/>
  <c r="B57" i="4"/>
  <c r="Q56" i="4"/>
  <c r="B56" i="4"/>
  <c r="Q55" i="4"/>
  <c r="B55" i="4"/>
  <c r="Q54" i="4"/>
  <c r="B54" i="4"/>
  <c r="Q53" i="4"/>
  <c r="B53" i="4"/>
  <c r="Q52" i="4"/>
  <c r="B52" i="4"/>
  <c r="Q51" i="4"/>
  <c r="B51" i="4"/>
  <c r="Q50" i="4"/>
  <c r="B50" i="4"/>
  <c r="Q49" i="4"/>
  <c r="B49" i="4"/>
  <c r="Q48" i="4"/>
  <c r="B48" i="4"/>
  <c r="Q47" i="4"/>
  <c r="B47" i="4"/>
  <c r="Q46" i="4"/>
  <c r="B46" i="4"/>
  <c r="Q45" i="4"/>
  <c r="B45" i="4"/>
  <c r="Q44" i="4"/>
  <c r="B44" i="4"/>
  <c r="Q43" i="4"/>
  <c r="B43" i="4"/>
  <c r="Q42" i="4"/>
  <c r="B42" i="4"/>
  <c r="Q41" i="4"/>
  <c r="B41" i="4"/>
  <c r="Q40" i="4"/>
  <c r="B40" i="4"/>
  <c r="Q39" i="4"/>
  <c r="B39" i="4"/>
  <c r="Q38" i="4"/>
  <c r="B38" i="4"/>
  <c r="Q37" i="4"/>
  <c r="B37" i="4"/>
  <c r="Q36" i="4"/>
  <c r="B36" i="4"/>
  <c r="Q35" i="4"/>
  <c r="B35" i="4"/>
  <c r="Q34" i="4"/>
  <c r="B34" i="4"/>
  <c r="Q33" i="4"/>
  <c r="B33" i="4"/>
  <c r="Q32" i="4"/>
  <c r="B32" i="4"/>
  <c r="Q31" i="4"/>
  <c r="B31" i="4"/>
  <c r="Q30" i="4"/>
  <c r="B30" i="4"/>
  <c r="Q29" i="4"/>
  <c r="B29" i="4"/>
  <c r="Q28" i="4"/>
  <c r="B28" i="4"/>
  <c r="Q27" i="4"/>
  <c r="B27" i="4"/>
  <c r="Q26" i="4"/>
  <c r="B26" i="4"/>
  <c r="Q25" i="4"/>
  <c r="B25" i="4"/>
  <c r="Q24" i="4"/>
  <c r="B24" i="4"/>
  <c r="Q23" i="4"/>
  <c r="B23" i="4"/>
  <c r="Q22" i="4"/>
  <c r="B22" i="4"/>
  <c r="Q21" i="4"/>
  <c r="B21" i="4"/>
  <c r="Q20" i="4"/>
  <c r="B20" i="4"/>
  <c r="Q19" i="4"/>
  <c r="B19" i="4"/>
  <c r="Q18" i="4"/>
  <c r="B18" i="4"/>
  <c r="Q17" i="4"/>
  <c r="B17" i="4"/>
  <c r="Q16" i="4"/>
  <c r="B16" i="4"/>
  <c r="Q15" i="4"/>
  <c r="B15" i="4"/>
  <c r="Q14" i="4"/>
  <c r="B14" i="4"/>
  <c r="Q13" i="4"/>
  <c r="B13" i="4"/>
  <c r="Q12" i="4"/>
  <c r="B12" i="4"/>
  <c r="Q11" i="4"/>
  <c r="B11" i="4"/>
  <c r="Q10" i="4"/>
  <c r="B10" i="4"/>
  <c r="Q9" i="4"/>
  <c r="B9" i="4"/>
  <c r="Q8" i="4"/>
  <c r="B8" i="4"/>
  <c r="Q7" i="4"/>
  <c r="B7" i="4"/>
  <c r="Q6" i="4"/>
  <c r="B6" i="4"/>
  <c r="Q5" i="4"/>
  <c r="B5" i="4"/>
  <c r="Q4" i="4"/>
  <c r="B4" i="4"/>
  <c r="Q3" i="4"/>
  <c r="B3" i="4"/>
  <c r="Q2" i="4"/>
  <c r="B2" i="4"/>
  <c r="C48" i="3"/>
  <c r="C39" i="3"/>
  <c r="C36" i="3"/>
  <c r="C22" i="3"/>
  <c r="C2" i="3"/>
  <c r="C3" i="3"/>
  <c r="C4" i="3"/>
  <c r="C15" i="3"/>
  <c r="C16" i="3"/>
  <c r="C17" i="3"/>
  <c r="C18" i="3"/>
  <c r="C23" i="3"/>
  <c r="C24" i="3"/>
  <c r="C5" i="3"/>
  <c r="C6" i="3"/>
  <c r="C7" i="3"/>
  <c r="C8" i="3"/>
  <c r="C49" i="3"/>
  <c r="C53" i="3"/>
  <c r="C19" i="3"/>
  <c r="C20" i="3"/>
  <c r="C59" i="3"/>
  <c r="C25" i="3"/>
  <c r="C26" i="3"/>
  <c r="C27" i="3"/>
  <c r="C32" i="3"/>
  <c r="C37" i="3"/>
  <c r="C40" i="3"/>
  <c r="C41" i="3"/>
  <c r="C42" i="3"/>
  <c r="C43" i="3"/>
  <c r="C50" i="3"/>
  <c r="C51" i="3"/>
  <c r="C54" i="3"/>
  <c r="C60" i="3"/>
  <c r="C61" i="3"/>
  <c r="C62" i="3"/>
  <c r="C63" i="3"/>
  <c r="C64" i="3"/>
  <c r="C65" i="3"/>
  <c r="C66" i="3"/>
  <c r="C67" i="3"/>
  <c r="C68" i="3"/>
  <c r="C9" i="3"/>
  <c r="C28" i="3"/>
  <c r="C29" i="3"/>
  <c r="C33" i="3"/>
  <c r="C44" i="3"/>
  <c r="C45" i="3"/>
  <c r="C55" i="3"/>
  <c r="C69" i="3"/>
  <c r="C70" i="3"/>
  <c r="C71" i="3"/>
  <c r="C10" i="3"/>
  <c r="C21" i="3"/>
  <c r="C30" i="3"/>
  <c r="C56" i="3"/>
  <c r="C11" i="3"/>
  <c r="C12" i="3"/>
  <c r="C34" i="3"/>
  <c r="C38" i="3"/>
  <c r="C13" i="3"/>
  <c r="C31" i="3"/>
  <c r="C46" i="3"/>
  <c r="C52" i="3"/>
  <c r="C57" i="3"/>
  <c r="C72" i="3"/>
  <c r="C73" i="3"/>
  <c r="C74" i="3"/>
  <c r="C75" i="3"/>
  <c r="C76" i="3"/>
  <c r="C14" i="3"/>
  <c r="C35" i="3"/>
  <c r="C47" i="3"/>
  <c r="C58" i="3"/>
  <c r="C77" i="3"/>
  <c r="C78" i="3"/>
  <c r="C79" i="3"/>
  <c r="C80" i="3"/>
  <c r="I48" i="3"/>
  <c r="I39" i="3"/>
  <c r="I36" i="3"/>
  <c r="I22" i="3"/>
  <c r="I2" i="3"/>
  <c r="I3" i="3"/>
  <c r="I4" i="3"/>
  <c r="I15" i="3"/>
  <c r="I16" i="3"/>
  <c r="I17" i="3"/>
  <c r="I18" i="3"/>
  <c r="I23" i="3"/>
  <c r="I24" i="3"/>
  <c r="I5" i="3"/>
  <c r="I6" i="3"/>
  <c r="I7" i="3"/>
  <c r="I8" i="3"/>
  <c r="I49" i="3"/>
  <c r="I53" i="3"/>
  <c r="I19" i="3"/>
  <c r="I20" i="3"/>
  <c r="I59" i="3"/>
  <c r="I25" i="3"/>
  <c r="I26" i="3"/>
  <c r="I27" i="3"/>
  <c r="I32" i="3"/>
  <c r="I37" i="3"/>
  <c r="I40" i="3"/>
  <c r="I41" i="3"/>
  <c r="I42" i="3"/>
  <c r="I43" i="3"/>
  <c r="I50" i="3"/>
  <c r="I51" i="3"/>
  <c r="I54" i="3"/>
  <c r="I60" i="3"/>
  <c r="I61" i="3"/>
  <c r="I62" i="3"/>
  <c r="I63" i="3"/>
  <c r="I64" i="3"/>
  <c r="I65" i="3"/>
  <c r="I66" i="3"/>
  <c r="I67" i="3"/>
  <c r="I68" i="3"/>
  <c r="I9" i="3"/>
  <c r="I28" i="3"/>
  <c r="I29" i="3"/>
  <c r="I33" i="3"/>
  <c r="I44" i="3"/>
  <c r="I45" i="3"/>
  <c r="I55" i="3"/>
  <c r="I69" i="3"/>
  <c r="I70" i="3"/>
  <c r="I71" i="3"/>
  <c r="I10" i="3"/>
  <c r="I21" i="3"/>
  <c r="I30" i="3"/>
  <c r="I56" i="3"/>
  <c r="I11" i="3"/>
  <c r="I12" i="3"/>
  <c r="I34" i="3"/>
  <c r="I38" i="3"/>
  <c r="I13" i="3"/>
  <c r="I31" i="3"/>
  <c r="I46" i="3"/>
  <c r="I52" i="3"/>
  <c r="I57" i="3"/>
  <c r="I72" i="3"/>
  <c r="I73" i="3"/>
  <c r="I74" i="3"/>
  <c r="I75" i="3"/>
  <c r="I76" i="3"/>
  <c r="I14" i="3"/>
  <c r="I35" i="3"/>
  <c r="I47" i="3"/>
  <c r="I58" i="3"/>
  <c r="I77" i="3"/>
  <c r="I78" i="3"/>
  <c r="I79" i="3"/>
  <c r="I80" i="3"/>
  <c r="Q79" i="3"/>
  <c r="B79" i="3"/>
  <c r="Q78" i="3"/>
  <c r="B78" i="3"/>
  <c r="Q77" i="3"/>
  <c r="B77" i="3"/>
  <c r="Q58" i="3"/>
  <c r="B58" i="3"/>
  <c r="Q47" i="3"/>
  <c r="B47" i="3"/>
  <c r="Q35" i="3"/>
  <c r="B35" i="3"/>
  <c r="Q14" i="3"/>
  <c r="B14" i="3"/>
  <c r="Q76" i="3"/>
  <c r="B76" i="3"/>
  <c r="Q75" i="3"/>
  <c r="B75" i="3"/>
  <c r="Q74" i="3"/>
  <c r="B74" i="3"/>
  <c r="Q73" i="3"/>
  <c r="B73" i="3"/>
  <c r="Q72" i="3"/>
  <c r="B72" i="3"/>
  <c r="Q57" i="3"/>
  <c r="B57" i="3"/>
  <c r="Q52" i="3"/>
  <c r="B52" i="3"/>
  <c r="Q46" i="3"/>
  <c r="B46" i="3"/>
  <c r="Q31" i="3"/>
  <c r="B31" i="3"/>
  <c r="Q13" i="3"/>
  <c r="B13" i="3"/>
  <c r="Q38" i="3"/>
  <c r="B38" i="3"/>
  <c r="Q34" i="3"/>
  <c r="B34" i="3"/>
  <c r="Q12" i="3"/>
  <c r="B12" i="3"/>
  <c r="Q11" i="3"/>
  <c r="B11" i="3"/>
  <c r="Q56" i="3"/>
  <c r="B56" i="3"/>
  <c r="Q30" i="3"/>
  <c r="B30" i="3"/>
  <c r="Q21" i="3"/>
  <c r="B21" i="3"/>
  <c r="Q10" i="3"/>
  <c r="B10" i="3"/>
  <c r="Q71" i="3"/>
  <c r="B71" i="3"/>
  <c r="Q70" i="3"/>
  <c r="B70" i="3"/>
  <c r="Q69" i="3"/>
  <c r="B69" i="3"/>
  <c r="Q55" i="3"/>
  <c r="B55" i="3"/>
  <c r="Q45" i="3"/>
  <c r="B45" i="3"/>
  <c r="Q44" i="3"/>
  <c r="B44" i="3"/>
  <c r="Q33" i="3"/>
  <c r="B33" i="3"/>
  <c r="Q29" i="3"/>
  <c r="B29" i="3"/>
  <c r="Q28" i="3"/>
  <c r="B28" i="3"/>
  <c r="Q9" i="3"/>
  <c r="B9" i="3"/>
  <c r="Q68" i="3"/>
  <c r="B68" i="3"/>
  <c r="Q67" i="3"/>
  <c r="B67" i="3"/>
  <c r="Q66" i="3"/>
  <c r="B66" i="3"/>
  <c r="Q65" i="3"/>
  <c r="B65" i="3"/>
  <c r="Q64" i="3"/>
  <c r="B64" i="3"/>
  <c r="Q63" i="3"/>
  <c r="B63" i="3"/>
  <c r="Q62" i="3"/>
  <c r="B62" i="3"/>
  <c r="Q61" i="3"/>
  <c r="B61" i="3"/>
  <c r="Q60" i="3"/>
  <c r="B60" i="3"/>
  <c r="Q54" i="3"/>
  <c r="B54" i="3"/>
  <c r="Q51" i="3"/>
  <c r="B51" i="3"/>
  <c r="Q50" i="3"/>
  <c r="B50" i="3"/>
  <c r="Q43" i="3"/>
  <c r="B43" i="3"/>
  <c r="Q42" i="3"/>
  <c r="B42" i="3"/>
  <c r="Q41" i="3"/>
  <c r="B41" i="3"/>
  <c r="Q40" i="3"/>
  <c r="B40" i="3"/>
  <c r="Q37" i="3"/>
  <c r="B37" i="3"/>
  <c r="Q32" i="3"/>
  <c r="B32" i="3"/>
  <c r="Q27" i="3"/>
  <c r="B27" i="3"/>
  <c r="Q26" i="3"/>
  <c r="B26" i="3"/>
  <c r="Q25" i="3"/>
  <c r="B25" i="3"/>
  <c r="Q59" i="3"/>
  <c r="B59" i="3"/>
  <c r="Q20" i="3"/>
  <c r="B20" i="3"/>
  <c r="Q19" i="3"/>
  <c r="B19" i="3"/>
  <c r="Q53" i="3"/>
  <c r="B53" i="3"/>
  <c r="Q49" i="3"/>
  <c r="B49" i="3"/>
  <c r="Q8" i="3"/>
  <c r="B8" i="3"/>
  <c r="Q7" i="3"/>
  <c r="B7" i="3"/>
  <c r="Q6" i="3"/>
  <c r="B6" i="3"/>
  <c r="Q5" i="3"/>
  <c r="B5" i="3"/>
  <c r="Q24" i="3"/>
  <c r="B24" i="3"/>
  <c r="Q23" i="3"/>
  <c r="B23" i="3"/>
  <c r="Q18" i="3"/>
  <c r="B18" i="3"/>
  <c r="Q17" i="3"/>
  <c r="B17" i="3"/>
  <c r="Q16" i="3"/>
  <c r="B16" i="3"/>
  <c r="Q15" i="3"/>
  <c r="B15" i="3"/>
  <c r="Q4" i="3"/>
  <c r="B4" i="3"/>
  <c r="Q3" i="3"/>
  <c r="B3" i="3"/>
  <c r="Q2" i="3"/>
  <c r="B2" i="3"/>
  <c r="Q22" i="3"/>
  <c r="B22" i="3"/>
  <c r="Q36" i="3"/>
  <c r="B36" i="3"/>
  <c r="Q39" i="3"/>
  <c r="B39" i="3"/>
  <c r="Q48" i="3"/>
  <c r="B48" i="3"/>
  <c r="Q80" i="3"/>
  <c r="B80" i="3"/>
  <c r="Y27" i="1"/>
  <c r="Z27" i="1"/>
  <c r="AA27" i="1"/>
  <c r="AB27" i="1"/>
  <c r="X27" i="1"/>
  <c r="U27" i="1"/>
  <c r="Y16" i="1"/>
  <c r="Z16" i="1"/>
  <c r="AA16" i="1"/>
  <c r="AB16" i="1"/>
  <c r="X16" i="1"/>
  <c r="U16" i="1"/>
  <c r="X65" i="1" l="1"/>
</calcChain>
</file>

<file path=xl/sharedStrings.xml><?xml version="1.0" encoding="utf-8"?>
<sst xmlns="http://schemas.openxmlformats.org/spreadsheetml/2006/main" count="4076" uniqueCount="398">
  <si>
    <t>4235</t>
  </si>
  <si>
    <t>245-4400-10</t>
  </si>
  <si>
    <t>4400</t>
  </si>
  <si>
    <t>Regulated Service Revenue</t>
  </si>
  <si>
    <t>Specific Service Charges</t>
  </si>
  <si>
    <t>4235 Collection Charge - Unmetered</t>
  </si>
  <si>
    <t>245-4010-10</t>
  </si>
  <si>
    <t>4010</t>
  </si>
  <si>
    <t>4235 Collection Charge Comm &lt;50 kw</t>
  </si>
  <si>
    <t>245-4020-10</t>
  </si>
  <si>
    <t>4020</t>
  </si>
  <si>
    <t>4235 Collection Charge Ind &gt; 200 - 1000 KW</t>
  </si>
  <si>
    <t>245-4015-10</t>
  </si>
  <si>
    <t>4015</t>
  </si>
  <si>
    <t>4235 Collection Charge Ind &gt; 50 - 200 KW</t>
  </si>
  <si>
    <t>245-4100-10</t>
  </si>
  <si>
    <t>4100</t>
  </si>
  <si>
    <t>4235 Collection Charge Ind &gt; 50 kw &lt; 1,000 kw</t>
  </si>
  <si>
    <t>245-4000-10</t>
  </si>
  <si>
    <t>4000</t>
  </si>
  <si>
    <t>4235 Collection Charge Residential</t>
  </si>
  <si>
    <t>247-4010-10</t>
  </si>
  <si>
    <t>4235 Reconnect Charge Comm &lt; 50 kw</t>
  </si>
  <si>
    <t>247-4020-10</t>
  </si>
  <si>
    <t>4235 Reconnect Charge Ind &gt; 200 - 1000 KW</t>
  </si>
  <si>
    <t>247-4015-10</t>
  </si>
  <si>
    <t>4235 Reconnect Charge Ind &gt; 50 - 200 Kw</t>
  </si>
  <si>
    <t>247-4100-10</t>
  </si>
  <si>
    <t>4235 Reconnect Charge Ind &gt; 50 kw &lt; 1,000 kw</t>
  </si>
  <si>
    <t>247-4000-10</t>
  </si>
  <si>
    <t>4235 Reconnect Charge Residential</t>
  </si>
  <si>
    <t>247-4400-10</t>
  </si>
  <si>
    <t>4235 Reconnect Charge Unmetered</t>
  </si>
  <si>
    <t>Adjustment to Bank to Balance (forecast periods only)  ===&gt;</t>
  </si>
  <si>
    <t>GL</t>
  </si>
  <si>
    <t>&lt;----    2015 OEB Decision &amp; Updated Decision for 2018/2019     -----&gt;</t>
  </si>
  <si>
    <t>2021 FC</t>
  </si>
  <si>
    <t>Oshawa PUC Networks Inc. - Detailed Trial Balance</t>
  </si>
  <si>
    <t>Actual</t>
  </si>
  <si>
    <t>Approved</t>
  </si>
  <si>
    <t>OEB Approved</t>
  </si>
  <si>
    <t>Vs 2019</t>
  </si>
  <si>
    <t>USA</t>
  </si>
  <si>
    <t>GL Account</t>
  </si>
  <si>
    <t>Seg</t>
  </si>
  <si>
    <t>Category (OPUC)</t>
  </si>
  <si>
    <t>Description</t>
  </si>
  <si>
    <t>2015</t>
  </si>
  <si>
    <t>2016</t>
  </si>
  <si>
    <t>2017</t>
  </si>
  <si>
    <t>2018</t>
  </si>
  <si>
    <t>2019</t>
  </si>
  <si>
    <t>2018 (Update)</t>
  </si>
  <si>
    <t>2019 (Update)</t>
  </si>
  <si>
    <t>Comments re Increases vs 2019 Approved</t>
  </si>
  <si>
    <t>Collection of Account Charge</t>
  </si>
  <si>
    <t>(Utilities have until July 1, 2019, to comply with these changes)</t>
  </si>
  <si>
    <t>Note: This does not apply to USMPs, and gas distributors do not charge for collection activities</t>
  </si>
  <si>
    <t>These charges are intended to cover the field costs, or part of the costs, of additional collection activities that are beyond the routine of a distributor (e.g. – sending a truck to a customer’s home).</t>
  </si>
  <si>
    <t>Collection of accounts are part of normal business activities and customers must not be charged for this activity.</t>
  </si>
  <si>
    <t>Current Electricity Rules</t>
  </si>
  <si>
    <t>New Rules (Gas and Electricity)</t>
  </si>
  <si>
    <t>Disconnection/Reconnection Charges</t>
  </si>
  <si>
    <t>Note: This does not apply to USMPs</t>
  </si>
  <si>
    <t>Customers who have their service reconnected after being disconnected for not paying their bills can incur a “Disconnect/Reconnect” charge that ranges from $65 to $415, though distributors can also apply for a unique charge.</t>
  </si>
  <si>
    <t>This charge must be waived for eligible low-income customers. Other residential customers unable to pay the charge must be offered reasonable payment arrangements to pay the charge following the reconnection. For clarity, the name of the charge will be changed to “Reconnection.”</t>
  </si>
  <si>
    <t>Account Number</t>
  </si>
  <si>
    <t>TRX Date</t>
  </si>
  <si>
    <t>Account Description</t>
  </si>
  <si>
    <t>Reference</t>
  </si>
  <si>
    <t>Debit Amount</t>
  </si>
  <si>
    <t>Credit Amount</t>
  </si>
  <si>
    <t>Originating Master Name</t>
  </si>
  <si>
    <t>Journal Entry</t>
  </si>
  <si>
    <t>Batch Number</t>
  </si>
  <si>
    <t>Main Account Segment</t>
  </si>
  <si>
    <t>Originating Document Number</t>
  </si>
  <si>
    <t>Originating Source</t>
  </si>
  <si>
    <t>Originating Control Number</t>
  </si>
  <si>
    <t>Originating Posted Date</t>
  </si>
  <si>
    <t>Account Category Number</t>
  </si>
  <si>
    <t>Originating Master ID</t>
  </si>
  <si>
    <t>User Defined 1</t>
  </si>
  <si>
    <t>User Defined 2</t>
  </si>
  <si>
    <t>User Who Posted</t>
  </si>
  <si>
    <t/>
  </si>
  <si>
    <t>EC0031882</t>
  </si>
  <si>
    <t>GL IMPORT</t>
  </si>
  <si>
    <t>4235 Miscellaneous Service (Other Op. Revenues)</t>
  </si>
  <si>
    <t>Reg. Service Revenue</t>
  </si>
  <si>
    <t>dross</t>
  </si>
  <si>
    <t>EC0031374</t>
  </si>
  <si>
    <t>BJ0021651</t>
  </si>
  <si>
    <t>BJ0021630</t>
  </si>
  <si>
    <t>EC0031072</t>
  </si>
  <si>
    <t>EC0030828</t>
  </si>
  <si>
    <t>EC0030784</t>
  </si>
  <si>
    <t>EC0030937</t>
  </si>
  <si>
    <t>EC0030933</t>
  </si>
  <si>
    <t>EC0030932</t>
  </si>
  <si>
    <t>EC0030876</t>
  </si>
  <si>
    <t>EC0031066</t>
  </si>
  <si>
    <t>BJ0021356</t>
  </si>
  <si>
    <t>BJ0021346</t>
  </si>
  <si>
    <t>EC0030805</t>
  </si>
  <si>
    <t>EC0030765</t>
  </si>
  <si>
    <t>EC0031520</t>
  </si>
  <si>
    <t>BJ0021417</t>
  </si>
  <si>
    <t>BJ0021426</t>
  </si>
  <si>
    <t>EC0031628</t>
  </si>
  <si>
    <t>EC0031011</t>
  </si>
  <si>
    <t>EC0031035</t>
  </si>
  <si>
    <t>BJ0021483</t>
  </si>
  <si>
    <t>EC0031191</t>
  </si>
  <si>
    <t>BJ0021614</t>
  </si>
  <si>
    <t>EC0031291</t>
  </si>
  <si>
    <t>EC0031322</t>
  </si>
  <si>
    <t>EC0031321</t>
  </si>
  <si>
    <t>EC0031341</t>
  </si>
  <si>
    <t>EC0031382</t>
  </si>
  <si>
    <t>EC0031429</t>
  </si>
  <si>
    <t>EC0031482</t>
  </si>
  <si>
    <t>EC0031629</t>
  </si>
  <si>
    <t>EC0031637</t>
  </si>
  <si>
    <t>EC0031636</t>
  </si>
  <si>
    <t>EC0031641</t>
  </si>
  <si>
    <t>EC0031650</t>
  </si>
  <si>
    <t>EC0031674</t>
  </si>
  <si>
    <t>EC0031673</t>
  </si>
  <si>
    <t>EC0031599</t>
  </si>
  <si>
    <t>EC0030844</t>
  </si>
  <si>
    <t>EC0030955</t>
  </si>
  <si>
    <t>EC0031109</t>
  </si>
  <si>
    <t>EC0031533</t>
  </si>
  <si>
    <t>BJ0021369</t>
  </si>
  <si>
    <t>EC0030858</t>
  </si>
  <si>
    <t>EC0031167</t>
  </si>
  <si>
    <t>BJ0021634</t>
  </si>
  <si>
    <t>EC0030788</t>
  </si>
  <si>
    <t>BJ0021584</t>
  </si>
  <si>
    <t>Net</t>
  </si>
  <si>
    <t>Month</t>
  </si>
  <si>
    <t>BJ0021650</t>
  </si>
  <si>
    <t>BJ0021653</t>
  </si>
  <si>
    <t>BJ0021652</t>
  </si>
  <si>
    <t>BJ0021654</t>
  </si>
  <si>
    <t>BJ0021655</t>
  </si>
  <si>
    <t>BJ0021659</t>
  </si>
  <si>
    <t>BJ0021658</t>
  </si>
  <si>
    <t>BJ0021670</t>
  </si>
  <si>
    <t>BJ0021657</t>
  </si>
  <si>
    <t>BJ0021649</t>
  </si>
  <si>
    <t>BJ0021648</t>
  </si>
  <si>
    <t>BJ0021644</t>
  </si>
  <si>
    <t>BJ0021647</t>
  </si>
  <si>
    <t>BJ0021646</t>
  </si>
  <si>
    <t>BJ0021643</t>
  </si>
  <si>
    <t>BJ0021635</t>
  </si>
  <si>
    <t>BJ0021443</t>
  </si>
  <si>
    <t>BJ0021695</t>
  </si>
  <si>
    <t>BJ0021697</t>
  </si>
  <si>
    <t>BJ0021696</t>
  </si>
  <si>
    <t>BJ0021693</t>
  </si>
  <si>
    <t>BJ0021694</t>
  </si>
  <si>
    <t>BJ0021706</t>
  </si>
  <si>
    <t>BJ0021712</t>
  </si>
  <si>
    <t>BJ0021711</t>
  </si>
  <si>
    <t>BJ0021710</t>
  </si>
  <si>
    <t>BJ0021714</t>
  </si>
  <si>
    <t>BJ0021748</t>
  </si>
  <si>
    <t>BJ0021715</t>
  </si>
  <si>
    <t>BJ0021717</t>
  </si>
  <si>
    <t>BJ0021716</t>
  </si>
  <si>
    <t>BJ0021743</t>
  </si>
  <si>
    <t>BJ0021723</t>
  </si>
  <si>
    <t>BJ0021725</t>
  </si>
  <si>
    <t>BJ0021726</t>
  </si>
  <si>
    <t>BJ0021729</t>
  </si>
  <si>
    <t>BJ0021730</t>
  </si>
  <si>
    <t>BJ0021742</t>
  </si>
  <si>
    <t>BJ0021744</t>
  </si>
  <si>
    <t>BJ0021747</t>
  </si>
  <si>
    <t>BJ0021719</t>
  </si>
  <si>
    <t>BJ0021721</t>
  </si>
  <si>
    <t>BJ0021722</t>
  </si>
  <si>
    <t>BJ0021766</t>
  </si>
  <si>
    <t>BJ0021768</t>
  </si>
  <si>
    <t>BJ0021767</t>
  </si>
  <si>
    <t>BJ0021770</t>
  </si>
  <si>
    <t>BJ0021813</t>
  </si>
  <si>
    <t>BJ0021816</t>
  </si>
  <si>
    <t>BJ0021771</t>
  </si>
  <si>
    <t>BJ0021815</t>
  </si>
  <si>
    <t>BJ0021819</t>
  </si>
  <si>
    <t>BJ0021817</t>
  </si>
  <si>
    <t>BJ0021773</t>
  </si>
  <si>
    <t>EC0031534</t>
  </si>
  <si>
    <t>BJ0021774</t>
  </si>
  <si>
    <t>BJ0021762</t>
  </si>
  <si>
    <t>BJ0021764</t>
  </si>
  <si>
    <t>BJ0021765</t>
  </si>
  <si>
    <t>BJ0021763</t>
  </si>
  <si>
    <t>BJ0021791</t>
  </si>
  <si>
    <t>AJ0029631</t>
  </si>
  <si>
    <t>BJ0021799</t>
  </si>
  <si>
    <t>BJ0021823</t>
  </si>
  <si>
    <t>BJ0021824</t>
  </si>
  <si>
    <t>BJ0021778</t>
  </si>
  <si>
    <t>BJ0021777</t>
  </si>
  <si>
    <t>BJ0021781</t>
  </si>
  <si>
    <t>BJ0021780</t>
  </si>
  <si>
    <t>BJ0021782</t>
  </si>
  <si>
    <t>BJ0021812</t>
  </si>
  <si>
    <t>BJ0021845</t>
  </si>
  <si>
    <t>BJ0021849</t>
  </si>
  <si>
    <t>BJ0021851</t>
  </si>
  <si>
    <t>BJ0021880</t>
  </si>
  <si>
    <t>BJ0021856</t>
  </si>
  <si>
    <t>BJ0021857</t>
  </si>
  <si>
    <t>BJ0021858</t>
  </si>
  <si>
    <t>BJ0021850</t>
  </si>
  <si>
    <t>BJ0021859</t>
  </si>
  <si>
    <t>BJ0021884</t>
  </si>
  <si>
    <t>BJ0021854</t>
  </si>
  <si>
    <t>BJ0021881</t>
  </si>
  <si>
    <t>BJ0021852</t>
  </si>
  <si>
    <t>BJ0021882</t>
  </si>
  <si>
    <t>BJ0021892</t>
  </si>
  <si>
    <t>BJ0021846</t>
  </si>
  <si>
    <t>BJ0021847</t>
  </si>
  <si>
    <t>BJ0021848</t>
  </si>
  <si>
    <t>BJ0021860</t>
  </si>
  <si>
    <t>BJ0021883</t>
  </si>
  <si>
    <t>BJ0021898</t>
  </si>
  <si>
    <t>BJ0021888</t>
  </si>
  <si>
    <t>BJ0021899</t>
  </si>
  <si>
    <t>BJ0021897</t>
  </si>
  <si>
    <t>EC0031737</t>
  </si>
  <si>
    <t>BJ0021889</t>
  </si>
  <si>
    <t>BJ0021904</t>
  </si>
  <si>
    <t>EC0031747</t>
  </si>
  <si>
    <t>BJ0021905</t>
  </si>
  <si>
    <t>BJ0021908</t>
  </si>
  <si>
    <t>BJ0021906</t>
  </si>
  <si>
    <t>BJ0021907</t>
  </si>
  <si>
    <t>BJ0021912</t>
  </si>
  <si>
    <t>BJ0021911</t>
  </si>
  <si>
    <t>BJ0021916</t>
  </si>
  <si>
    <t>BJ0021918</t>
  </si>
  <si>
    <t>BJ0021895</t>
  </si>
  <si>
    <t>BJ0021946</t>
  </si>
  <si>
    <t>BJ0021964</t>
  </si>
  <si>
    <t>BJ0021894</t>
  </si>
  <si>
    <t>BJ0021893</t>
  </si>
  <si>
    <t>BJ0021914</t>
  </si>
  <si>
    <t>BJ0021971</t>
  </si>
  <si>
    <t>BJ0021970</t>
  </si>
  <si>
    <t>BJ0021972</t>
  </si>
  <si>
    <t>BJ0021987</t>
  </si>
  <si>
    <t>BJ0021985</t>
  </si>
  <si>
    <t>BJ0021974</t>
  </si>
  <si>
    <t>BJ0021939</t>
  </si>
  <si>
    <t>BJ0021941</t>
  </si>
  <si>
    <t>BJ0021942</t>
  </si>
  <si>
    <t>BJ0021940</t>
  </si>
  <si>
    <t>BJ0021973</t>
  </si>
  <si>
    <t>BJ0021967</t>
  </si>
  <si>
    <t>BJ0021969</t>
  </si>
  <si>
    <t>BJ0021975</t>
  </si>
  <si>
    <t>EC0031869</t>
  </si>
  <si>
    <t>BJ0021978</t>
  </si>
  <si>
    <t>BJ0021976</t>
  </si>
  <si>
    <t>BJ0021979</t>
  </si>
  <si>
    <t>BJ0021977</t>
  </si>
  <si>
    <t>BJ0021981</t>
  </si>
  <si>
    <t>BJ0021994</t>
  </si>
  <si>
    <t>BJ0021990</t>
  </si>
  <si>
    <t>BJ0021997</t>
  </si>
  <si>
    <t>BJ0022015</t>
  </si>
  <si>
    <t>BJ0022027</t>
  </si>
  <si>
    <t>BJ0022011</t>
  </si>
  <si>
    <t>BJ0022008</t>
  </si>
  <si>
    <t>BJ0022009</t>
  </si>
  <si>
    <t>BJ0022010</t>
  </si>
  <si>
    <t>BJ0022029</t>
  </si>
  <si>
    <t>BJ0022014</t>
  </si>
  <si>
    <t>BJ0022012</t>
  </si>
  <si>
    <t>BJ0022045</t>
  </si>
  <si>
    <t>AJ0029791</t>
  </si>
  <si>
    <t>BJ0022044</t>
  </si>
  <si>
    <t>BJ0022048</t>
  </si>
  <si>
    <t>BJ0022047</t>
  </si>
  <si>
    <t>BJ0022053</t>
  </si>
  <si>
    <t>BJ0022057</t>
  </si>
  <si>
    <t>BJ0022062</t>
  </si>
  <si>
    <t>BJ0022075</t>
  </si>
  <si>
    <t>BJ0022041</t>
  </si>
  <si>
    <t>BJ0022043</t>
  </si>
  <si>
    <t>BJ0022040</t>
  </si>
  <si>
    <t>BJ0022046</t>
  </si>
  <si>
    <t>BJ0021622</t>
  </si>
  <si>
    <t>BJ0021783</t>
  </si>
  <si>
    <t>BJ0022063</t>
  </si>
  <si>
    <t>BJ0021869</t>
  </si>
  <si>
    <t>BJ0021943</t>
  </si>
  <si>
    <t>BJ0022001</t>
  </si>
  <si>
    <t>BJ0021685</t>
  </si>
  <si>
    <t>BJ0021731</t>
  </si>
  <si>
    <t>BJ0021802</t>
  </si>
  <si>
    <t>Row Labels</t>
  </si>
  <si>
    <t>Grand Total</t>
  </si>
  <si>
    <t>Sum of Net</t>
  </si>
  <si>
    <t>Collection Charge</t>
  </si>
  <si>
    <t>Reconn Charge</t>
  </si>
  <si>
    <t>Approved Collec Chg revenue Jul-Dec 2019 (1/2 of OEB approved amount)</t>
  </si>
  <si>
    <t>Actual Collection Chg revenue Jul-Dec 2019</t>
  </si>
  <si>
    <t>Variance</t>
  </si>
  <si>
    <t>Actual Reconn Chg revenue Jul-Dec 2019</t>
  </si>
  <si>
    <t>Approved Reconn Chg revenue Jul-Dec 2019 (1/2 of OEB approved amount)</t>
  </si>
  <si>
    <t>debit bal in 1508 subacct</t>
  </si>
  <si>
    <t>Account 1508 Other Regulatory Assets – Sub-account Lost Revenue for Collection</t>
  </si>
  <si>
    <t>of Account and Reconnection Charges</t>
  </si>
  <si>
    <t>as of Dec 31, 2019</t>
  </si>
  <si>
    <t>Accounting Order</t>
  </si>
  <si>
    <t>Account 1508 - Other Other Regulatory Assets, Sub-Account Lost Revenue for</t>
  </si>
  <si>
    <t>Collection of Account and Reconnection Charges</t>
  </si>
  <si>
    <t>Oshawa PUC shall establish a new variance account: Account 1508 – Other Regulatory</t>
  </si>
  <si>
    <t>Assets, Sub-account Lost Revenue for Collection of Account and Reconnection</t>
  </si>
  <si>
    <t>Charges, effective July 1, 2019. This account is established to recover the lost revenue</t>
  </si>
  <si>
    <t>associated with the elimination of the Collection of Account charge and the waiving of</t>
  </si>
  <si>
    <t>the Reconnection charge to eligible low-income customers until Oshawa PUC’s next</t>
  </si>
  <si>
    <t>rebasing application.</t>
  </si>
  <si>
    <t>The account will record the difference between i) actual Collection of Account and</t>
  </si>
  <si>
    <t>Reconnection charges, and ii) the Collection of Account and Reconnection charges</t>
  </si>
  <si>
    <t>approved in Oshawa PUC’s 2015 Custom IR application.</t>
  </si>
  <si>
    <t>The account will be disposed at Oshawa PUC’s next rebasing application, subject to a</t>
  </si>
  <si>
    <t>prudence review of the balance, including consideration on the appropriate approved</t>
  </si>
  <si>
    <t>charges used in the calculation of lost revenues. The account will be discontinued after</t>
  </si>
  <si>
    <t>Oshawa PUC’s next rebasing application.</t>
  </si>
  <si>
    <t>Carrying charges at the OEB’s prescribed interest rates will be applied to this subaccount.</t>
  </si>
  <si>
    <t>The journal entries to be recorded are identified below:</t>
  </si>
  <si>
    <t>Dr. Account 1508 Other Regulatory Assets – Sub-account Lost Revenue for Collection</t>
  </si>
  <si>
    <t>Cr. Account 4235 Miscellaneous Service Revenues</t>
  </si>
  <si>
    <t>To record the lost revenue associated with the Collection of Account and Reconnection</t>
  </si>
  <si>
    <t>charges.</t>
  </si>
  <si>
    <t>of Account and Reconnection Charges – Carrying Charges</t>
  </si>
  <si>
    <t>Cr. Account 4405 Interest Income</t>
  </si>
  <si>
    <t>To record carrying charges on the principal balance in Account 1508 Sub-account Lost</t>
  </si>
  <si>
    <t>Revenue for Collection of Account and Connection Charges.</t>
  </si>
  <si>
    <t>1508 - Other Regulatory Assets</t>
  </si>
  <si>
    <t>Opening</t>
  </si>
  <si>
    <t>Closing</t>
  </si>
  <si>
    <t>Interest</t>
  </si>
  <si>
    <t>Sub-Account Lost Revenue for Collection of Account and Reconnection Charges</t>
  </si>
  <si>
    <t>Jan 19</t>
  </si>
  <si>
    <t>Feb 19</t>
  </si>
  <si>
    <t>Mar 19</t>
  </si>
  <si>
    <t>Apr 19</t>
  </si>
  <si>
    <t>May 19</t>
  </si>
  <si>
    <t>Jun 19</t>
  </si>
  <si>
    <t>Jul 19</t>
  </si>
  <si>
    <t>Aug 19</t>
  </si>
  <si>
    <t>Sep 19</t>
  </si>
  <si>
    <t>Oct 19</t>
  </si>
  <si>
    <t>Nov 19</t>
  </si>
  <si>
    <t>Dec 19</t>
  </si>
  <si>
    <t xml:space="preserve">Total </t>
  </si>
  <si>
    <t>Q1</t>
  </si>
  <si>
    <t>Q2</t>
  </si>
  <si>
    <t>Q3</t>
  </si>
  <si>
    <t>Q4</t>
  </si>
  <si>
    <t>Annual</t>
  </si>
  <si>
    <t>Monthly</t>
  </si>
  <si>
    <t>Principle</t>
  </si>
  <si>
    <t>OEB Approved Collection Charge</t>
  </si>
  <si>
    <t>Actual Collection Charge</t>
  </si>
  <si>
    <t>OEB Approved Reconnection Charge</t>
  </si>
  <si>
    <t>Actual Reconnection Charge</t>
  </si>
  <si>
    <t>Transactions</t>
  </si>
  <si>
    <t>Ending balance - Lost Rev for Coll of Acct and Reconn Chgs</t>
  </si>
  <si>
    <t>2020</t>
  </si>
  <si>
    <t>Jan 20</t>
  </si>
  <si>
    <t>Feb 20</t>
  </si>
  <si>
    <t>Mar 20</t>
  </si>
  <si>
    <t>Apr 20</t>
  </si>
  <si>
    <t>May 20</t>
  </si>
  <si>
    <t>Jun 20</t>
  </si>
  <si>
    <t>Jul 20</t>
  </si>
  <si>
    <t>Aug 20</t>
  </si>
  <si>
    <t>Sep 20</t>
  </si>
  <si>
    <t>Oct 20</t>
  </si>
  <si>
    <t>Nov 20</t>
  </si>
  <si>
    <t>Dec 20</t>
  </si>
  <si>
    <t>Open Carrying Chgs</t>
  </si>
  <si>
    <t>Closing Carrying Chgs</t>
  </si>
  <si>
    <t>Rate rider - per customer - per year</t>
  </si>
  <si>
    <t>Rate rider - per customer - per month</t>
  </si>
  <si>
    <t>2020 forecasted customer count - residential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</si>
</sst>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409]dd/mmm/yy;@"/>
    <numFmt numFmtId="165" formatCode="#,##0\ ;[Red]\(#,##0\)"/>
    <numFmt numFmtId="166" formatCode="[$-409]d\-mmm\-yy;@"/>
    <numFmt numFmtId="167" formatCode="_(* #,##0_);_(* \(#,##0\);_(* &quot;-&quot;??_);_(@_)"/>
    <numFmt numFmtId="168" formatCode="_-* #,##0_-;\-* #,##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2"/>
      <color indexed="8"/>
      <name val="Times New Roman"/>
      <family val="1"/>
    </font>
    <font>
      <sz val="10"/>
      <color indexed="8"/>
      <name val="Arial"/>
      <family val="2"/>
    </font>
    <font>
      <b/>
      <sz val="10"/>
      <color rgb="FF000000"/>
      <name val="Arial"/>
      <family val="2"/>
    </font>
    <font>
      <b/>
      <sz val="12"/>
      <color rgb="FF000000"/>
      <name val="Arial"/>
      <family val="2"/>
    </font>
    <font>
      <b/>
      <sz val="11"/>
      <color rgb="FF000000"/>
      <name val="Arial"/>
      <family val="2"/>
    </font>
    <font>
      <sz val="11"/>
      <color rgb="FF212121"/>
      <name val="Arial"/>
      <family val="2"/>
    </font>
    <font>
      <b/>
      <sz val="11"/>
      <color rgb="FF212121"/>
      <name val="Arial"/>
      <family val="2"/>
    </font>
    <font>
      <sz val="8.8000000000000007"/>
      <color rgb="FF212121"/>
      <name val="Arial"/>
      <family val="2"/>
    </font>
    <font>
      <sz val="9"/>
      <name val="Segoe UI"/>
      <family val="2"/>
    </font>
    <font>
      <b/>
      <u/>
      <sz val="11"/>
      <color theme="1"/>
      <name val="Calibri"/>
      <family val="2"/>
      <scheme val="minor"/>
    </font>
    <font>
      <b/>
      <sz val="15"/>
      <name val="Arial"/>
      <family val="2"/>
    </font>
    <font>
      <b/>
      <sz val="18"/>
      <name val="Arial"/>
      <family val="2"/>
    </font>
    <font>
      <sz val="10"/>
      <color theme="1"/>
      <name val="Arial"/>
      <family val="2"/>
    </font>
    <font>
      <b/>
      <sz val="10"/>
      <name val="Arial"/>
      <family val="2"/>
    </font>
    <font>
      <sz val="10"/>
      <name val="Arial"/>
      <family val="2"/>
    </font>
    <font>
      <b/>
      <sz val="10"/>
      <color theme="1"/>
      <name val="Arial"/>
      <family val="2"/>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EDF6F8"/>
        <bgColor indexed="64"/>
      </patternFill>
    </fill>
    <fill>
      <patternFill patternType="solid">
        <fgColor rgb="FFFFFFFF"/>
        <bgColor indexed="64"/>
      </patternFill>
    </fill>
    <fill>
      <patternFill patternType="solid">
        <fgColor rgb="FFFFFF99"/>
        <bgColor indexed="64"/>
      </patternFill>
    </fill>
  </fills>
  <borders count="8">
    <border>
      <left/>
      <right/>
      <top/>
      <bottom/>
      <diagonal/>
    </border>
    <border>
      <left/>
      <right/>
      <top style="thin">
        <color indexed="64"/>
      </top>
      <bottom style="double">
        <color indexed="64"/>
      </bottom>
      <diagonal/>
    </border>
    <border>
      <left/>
      <right/>
      <top/>
      <bottom style="medium">
        <color rgb="FFD7D7D7"/>
      </bottom>
      <diagonal/>
    </border>
    <border>
      <left/>
      <right/>
      <top/>
      <bottom style="medium">
        <color rgb="FFE0E0E0"/>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3" fillId="0" borderId="0" applyNumberFormat="0" applyBorder="0" applyAlignment="0"/>
    <xf numFmtId="164" fontId="4" fillId="0" borderId="0" applyNumberFormat="0" applyBorder="0" applyAlignment="0"/>
    <xf numFmtId="0" fontId="12" fillId="0" borderId="0">
      <alignment vertical="center"/>
    </xf>
    <xf numFmtId="44"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3" fillId="0" borderId="0" xfId="2" applyFill="1" applyAlignment="1">
      <alignment vertical="top"/>
    </xf>
    <xf numFmtId="0" fontId="3" fillId="0" borderId="0" xfId="2" applyFill="1" applyAlignment="1">
      <alignment horizontal="left" vertical="top"/>
    </xf>
    <xf numFmtId="0" fontId="3" fillId="0" borderId="0" xfId="2" applyFill="1" applyAlignment="1">
      <alignment horizontal="center" vertical="top"/>
    </xf>
    <xf numFmtId="164" fontId="5" fillId="0" borderId="0" xfId="3" quotePrefix="1" applyFont="1" applyFill="1" applyAlignment="1">
      <alignment horizontal="left"/>
    </xf>
    <xf numFmtId="0" fontId="3" fillId="0" borderId="0" xfId="2" quotePrefix="1" applyFill="1" applyAlignment="1">
      <alignment horizontal="left" vertical="top"/>
    </xf>
    <xf numFmtId="165" fontId="3" fillId="0" borderId="0" xfId="2" applyNumberFormat="1" applyFill="1" applyAlignment="1">
      <alignment vertical="top"/>
    </xf>
    <xf numFmtId="165" fontId="3" fillId="0" borderId="0" xfId="2" applyNumberFormat="1" applyFill="1" applyAlignment="1">
      <alignment horizontal="center" vertical="top"/>
    </xf>
    <xf numFmtId="0" fontId="3" fillId="0" borderId="0" xfId="2" quotePrefix="1" applyFill="1" applyAlignment="1">
      <alignment horizontal="center" vertical="top"/>
    </xf>
    <xf numFmtId="0" fontId="3" fillId="0" borderId="0" xfId="2" quotePrefix="1" applyFont="1" applyFill="1" applyAlignment="1">
      <alignment horizontal="left" vertical="top"/>
    </xf>
    <xf numFmtId="0" fontId="3" fillId="0" borderId="0" xfId="2" applyAlignment="1">
      <alignment horizontal="left" vertical="top"/>
    </xf>
    <xf numFmtId="0" fontId="3" fillId="0" borderId="0" xfId="2" quotePrefix="1" applyAlignment="1">
      <alignment horizontal="left" vertical="top"/>
    </xf>
    <xf numFmtId="0" fontId="3" fillId="0" borderId="0" xfId="2" applyFont="1" applyFill="1" applyAlignment="1">
      <alignment horizontal="right" vertical="top"/>
    </xf>
    <xf numFmtId="165" fontId="3" fillId="2" borderId="0" xfId="2" applyNumberFormat="1" applyFont="1" applyFill="1" applyBorder="1" applyAlignment="1">
      <alignment horizontal="right" vertical="top"/>
    </xf>
    <xf numFmtId="0" fontId="3" fillId="0" borderId="0" xfId="2" applyNumberFormat="1" applyAlignment="1">
      <alignment horizontal="left" vertical="top"/>
    </xf>
    <xf numFmtId="165" fontId="3" fillId="3" borderId="0" xfId="2" applyNumberFormat="1" applyFill="1" applyAlignment="1">
      <alignment vertical="top"/>
    </xf>
    <xf numFmtId="0" fontId="3" fillId="3" borderId="0" xfId="2" applyNumberFormat="1" applyFill="1" applyAlignment="1">
      <alignment vertical="top"/>
    </xf>
    <xf numFmtId="0" fontId="3" fillId="3" borderId="0" xfId="2" applyNumberFormat="1" applyFill="1" applyAlignment="1">
      <alignment horizontal="center" vertical="top"/>
    </xf>
    <xf numFmtId="0" fontId="3" fillId="3" borderId="0" xfId="2" applyNumberFormat="1" applyFont="1" applyFill="1" applyAlignment="1">
      <alignment horizontal="right" vertical="top"/>
    </xf>
    <xf numFmtId="165" fontId="6" fillId="0" borderId="0" xfId="2" applyNumberFormat="1" applyFont="1" applyFill="1" applyBorder="1" applyAlignment="1">
      <alignment horizontal="right" vertical="top"/>
    </xf>
    <xf numFmtId="165" fontId="6" fillId="0" borderId="0" xfId="2" applyNumberFormat="1" applyFont="1" applyBorder="1" applyAlignment="1">
      <alignment horizontal="right" vertical="top"/>
    </xf>
    <xf numFmtId="0" fontId="3" fillId="0" borderId="0" xfId="2" applyNumberFormat="1" applyFill="1" applyAlignment="1">
      <alignment vertical="top"/>
    </xf>
    <xf numFmtId="165" fontId="7" fillId="4" borderId="0" xfId="2" applyNumberFormat="1" applyFont="1" applyFill="1" applyAlignment="1">
      <alignment vertical="top"/>
    </xf>
    <xf numFmtId="165" fontId="6" fillId="0" borderId="0" xfId="2" applyNumberFormat="1" applyFont="1" applyFill="1" applyAlignment="1">
      <alignment horizontal="center" vertical="top"/>
    </xf>
    <xf numFmtId="0" fontId="8" fillId="0" borderId="0" xfId="2" quotePrefix="1" applyNumberFormat="1" applyFont="1" applyAlignment="1">
      <alignment horizontal="left" vertical="top"/>
    </xf>
    <xf numFmtId="0" fontId="3" fillId="0" borderId="0" xfId="2" applyNumberFormat="1" applyAlignment="1">
      <alignment vertical="top"/>
    </xf>
    <xf numFmtId="0" fontId="3" fillId="0" borderId="0" xfId="2" applyNumberFormat="1" applyAlignment="1">
      <alignment horizontal="center" vertical="top"/>
    </xf>
    <xf numFmtId="0" fontId="3" fillId="0" borderId="0" xfId="2" applyNumberFormat="1" applyFont="1" applyAlignment="1">
      <alignment vertical="top"/>
    </xf>
    <xf numFmtId="0" fontId="6" fillId="0" borderId="0" xfId="2" applyNumberFormat="1" applyFont="1" applyAlignment="1">
      <alignment horizontal="left" vertical="top"/>
    </xf>
    <xf numFmtId="0" fontId="6" fillId="0" borderId="0" xfId="2" applyNumberFormat="1" applyFont="1" applyAlignment="1">
      <alignment vertical="top"/>
    </xf>
    <xf numFmtId="0" fontId="6" fillId="0" borderId="0" xfId="2" applyNumberFormat="1" applyFont="1" applyAlignment="1">
      <alignment horizontal="center" vertical="top"/>
    </xf>
    <xf numFmtId="165" fontId="7" fillId="0" borderId="0" xfId="2" quotePrefix="1" applyNumberFormat="1" applyFont="1" applyAlignment="1">
      <alignment horizontal="right" vertical="top"/>
    </xf>
    <xf numFmtId="0" fontId="6" fillId="0" borderId="0" xfId="2" applyNumberFormat="1" applyFont="1" applyFill="1" applyAlignment="1">
      <alignment vertical="top"/>
    </xf>
    <xf numFmtId="165" fontId="0" fillId="0" borderId="1" xfId="0" applyNumberFormat="1" applyBorder="1"/>
    <xf numFmtId="0" fontId="9" fillId="6" borderId="2" xfId="0" applyFont="1" applyFill="1" applyBorder="1" applyAlignment="1">
      <alignment vertical="top" wrapText="1" indent="2"/>
    </xf>
    <xf numFmtId="0" fontId="9" fillId="6" borderId="2" xfId="0" applyFont="1" applyFill="1" applyBorder="1" applyAlignment="1">
      <alignment vertical="top" wrapText="1"/>
    </xf>
    <xf numFmtId="0" fontId="0" fillId="0" borderId="0" xfId="0" applyAlignment="1">
      <alignment wrapText="1"/>
    </xf>
    <xf numFmtId="0" fontId="0" fillId="0" borderId="0" xfId="0" applyAlignment="1"/>
    <xf numFmtId="0" fontId="10" fillId="6" borderId="3" xfId="0" applyFont="1" applyFill="1" applyBorder="1" applyAlignment="1">
      <alignment horizontal="left" vertical="top" wrapText="1" indent="2"/>
    </xf>
    <xf numFmtId="0" fontId="12" fillId="0" borderId="0" xfId="4">
      <alignment vertical="center"/>
    </xf>
    <xf numFmtId="14" fontId="12" fillId="0" borderId="0" xfId="4" applyNumberFormat="1" applyAlignment="1">
      <alignment vertical="center"/>
    </xf>
    <xf numFmtId="1" fontId="12" fillId="0" borderId="0" xfId="4" applyNumberFormat="1" applyAlignment="1">
      <alignment vertical="center"/>
    </xf>
    <xf numFmtId="43" fontId="12" fillId="0" borderId="0" xfId="1" applyFont="1" applyAlignment="1">
      <alignment vertical="center"/>
    </xf>
    <xf numFmtId="0" fontId="12" fillId="0" borderId="0" xfId="4" applyNumberFormat="1" applyAlignment="1">
      <alignment vertical="center"/>
    </xf>
    <xf numFmtId="0" fontId="0" fillId="0" borderId="0" xfId="0" pivotButton="1"/>
    <xf numFmtId="0" fontId="0" fillId="0" borderId="0" xfId="0" applyAlignment="1">
      <alignment horizontal="left"/>
    </xf>
    <xf numFmtId="0" fontId="13" fillId="0" borderId="0" xfId="0" applyFont="1"/>
    <xf numFmtId="165" fontId="0" fillId="0" borderId="0" xfId="0" applyNumberFormat="1"/>
    <xf numFmtId="165" fontId="0" fillId="0" borderId="4" xfId="0" applyNumberFormat="1" applyBorder="1"/>
    <xf numFmtId="165" fontId="0" fillId="3" borderId="1" xfId="0" applyNumberFormat="1" applyFill="1" applyBorder="1"/>
    <xf numFmtId="0" fontId="2" fillId="0" borderId="0" xfId="0" applyFont="1" applyAlignment="1">
      <alignment horizontal="center"/>
    </xf>
    <xf numFmtId="0" fontId="0" fillId="3" borderId="0" xfId="0" applyFill="1" applyAlignment="1"/>
    <xf numFmtId="0" fontId="2" fillId="0" borderId="0" xfId="0" applyFont="1" applyAlignment="1"/>
    <xf numFmtId="166" fontId="14" fillId="7" borderId="0" xfId="0" applyNumberFormat="1" applyFont="1" applyFill="1" applyAlignment="1"/>
    <xf numFmtId="166" fontId="15" fillId="7" borderId="0" xfId="0" applyNumberFormat="1" applyFont="1" applyFill="1" applyAlignment="1"/>
    <xf numFmtId="165" fontId="16" fillId="0" borderId="0" xfId="0" applyNumberFormat="1" applyFont="1" applyFill="1"/>
    <xf numFmtId="166" fontId="16" fillId="0" borderId="0" xfId="0" applyNumberFormat="1" applyFont="1"/>
    <xf numFmtId="165" fontId="15" fillId="0" borderId="0" xfId="0" applyNumberFormat="1" applyFont="1" applyFill="1" applyAlignment="1"/>
    <xf numFmtId="165" fontId="17" fillId="0" borderId="0" xfId="0" quotePrefix="1" applyNumberFormat="1" applyFont="1" applyFill="1" applyAlignment="1">
      <alignment horizontal="right"/>
    </xf>
    <xf numFmtId="165" fontId="17" fillId="0" borderId="0" xfId="0" quotePrefix="1" applyNumberFormat="1" applyFont="1" applyFill="1" applyAlignment="1">
      <alignment horizontal="right" vertical="center"/>
    </xf>
    <xf numFmtId="165" fontId="17" fillId="0" borderId="0" xfId="0" quotePrefix="1" applyNumberFormat="1" applyFont="1" applyFill="1" applyAlignment="1">
      <alignment horizontal="right" vertical="center" wrapText="1"/>
    </xf>
    <xf numFmtId="165" fontId="18" fillId="0" borderId="5" xfId="1" applyNumberFormat="1" applyFont="1" applyFill="1" applyBorder="1"/>
    <xf numFmtId="166" fontId="3" fillId="0" borderId="5" xfId="0" applyNumberFormat="1" applyFont="1" applyFill="1" applyBorder="1" applyAlignment="1">
      <alignment horizontal="right" indent="1"/>
    </xf>
    <xf numFmtId="166" fontId="3" fillId="0" borderId="5" xfId="0" applyNumberFormat="1" applyFont="1" applyFill="1" applyBorder="1" applyAlignment="1">
      <alignment horizontal="right" vertical="center" indent="1"/>
    </xf>
    <xf numFmtId="167" fontId="3" fillId="0" borderId="5" xfId="1" applyNumberFormat="1" applyFont="1" applyFill="1" applyBorder="1"/>
    <xf numFmtId="10" fontId="3" fillId="0" borderId="0" xfId="6" applyNumberFormat="1" applyFont="1" applyFill="1" applyBorder="1"/>
    <xf numFmtId="10" fontId="3" fillId="0" borderId="6" xfId="6" applyNumberFormat="1" applyFont="1" applyFill="1" applyBorder="1"/>
    <xf numFmtId="165" fontId="18" fillId="0" borderId="5" xfId="1" applyNumberFormat="1" applyFont="1" applyFill="1" applyBorder="1" applyAlignment="1">
      <alignment horizontal="centerContinuous"/>
    </xf>
    <xf numFmtId="166" fontId="19" fillId="0" borderId="0" xfId="0" applyNumberFormat="1" applyFont="1"/>
    <xf numFmtId="165" fontId="16" fillId="0" borderId="0" xfId="0" applyNumberFormat="1" applyFont="1"/>
    <xf numFmtId="165" fontId="16" fillId="0" borderId="7" xfId="0" applyNumberFormat="1" applyFont="1" applyBorder="1"/>
    <xf numFmtId="0" fontId="2" fillId="0" borderId="0" xfId="0" applyFont="1"/>
    <xf numFmtId="165" fontId="19" fillId="0" borderId="7" xfId="0" applyNumberFormat="1" applyFont="1" applyBorder="1"/>
    <xf numFmtId="165" fontId="19" fillId="0" borderId="0" xfId="0" applyNumberFormat="1" applyFont="1"/>
    <xf numFmtId="0" fontId="2" fillId="0" borderId="1" xfId="0" applyFont="1" applyBorder="1"/>
    <xf numFmtId="165" fontId="19" fillId="0" borderId="1" xfId="0" applyNumberFormat="1" applyFont="1" applyBorder="1"/>
    <xf numFmtId="165" fontId="2" fillId="0" borderId="7" xfId="0" applyNumberFormat="1" applyFont="1" applyBorder="1"/>
    <xf numFmtId="166" fontId="0" fillId="0" borderId="0" xfId="0" applyNumberFormat="1"/>
    <xf numFmtId="167" fontId="0" fillId="0" borderId="0" xfId="0" applyNumberFormat="1"/>
    <xf numFmtId="10" fontId="0" fillId="0" borderId="0" xfId="0" applyNumberFormat="1"/>
    <xf numFmtId="165" fontId="2" fillId="0" borderId="1" xfId="0" applyNumberFormat="1" applyFont="1" applyBorder="1"/>
    <xf numFmtId="165" fontId="0" fillId="0" borderId="7" xfId="0" applyNumberFormat="1" applyBorder="1"/>
    <xf numFmtId="0" fontId="0" fillId="0" borderId="0" xfId="0" applyAlignment="1">
      <alignment horizontal="right"/>
    </xf>
    <xf numFmtId="44" fontId="0" fillId="0" borderId="0" xfId="5" applyFont="1"/>
    <xf numFmtId="168" fontId="0" fillId="0" borderId="0" xfId="1" applyNumberFormat="1" applyFont="1"/>
    <xf numFmtId="165" fontId="16" fillId="0" borderId="0" xfId="0" applyNumberFormat="1" applyFont="1" applyAlignment="1">
      <alignment horizontal="right"/>
    </xf>
    <xf numFmtId="0" fontId="11" fillId="5" borderId="2" xfId="0" applyFont="1" applyFill="1" applyBorder="1" applyAlignment="1">
      <alignment horizontal="center" vertical="center" wrapText="1"/>
    </xf>
    <xf numFmtId="0" fontId="10" fillId="5" borderId="0" xfId="0" applyFont="1" applyFill="1" applyAlignment="1">
      <alignment horizontal="center" vertical="center" wrapText="1"/>
    </xf>
    <xf numFmtId="0" fontId="9" fillId="5" borderId="0" xfId="0" applyFont="1" applyFill="1" applyAlignment="1">
      <alignment horizontal="center" vertical="center" wrapText="1"/>
    </xf>
  </cellXfs>
  <cellStyles count="7">
    <cellStyle name="Comma" xfId="1" builtinId="3"/>
    <cellStyle name="Currency" xfId="5" builtinId="4"/>
    <cellStyle name="Normal" xfId="0" builtinId="0"/>
    <cellStyle name="Normal 2" xfId="4"/>
    <cellStyle name="Percent" xfId="6" builtinId="5"/>
    <cellStyle name="STYLE1" xfId="2"/>
    <cellStyle name="STYLE1 105" xfId="3"/>
  </cellStyles>
  <dxfs count="2">
    <dxf>
      <numFmt numFmtId="165" formatCode="#,##0\ ;[Red]\(#,##0\)"/>
      <alignment vertical="top" readingOrder="0"/>
    </dxf>
    <dxf>
      <numFmt numFmtId="165" formatCode="#,##0\ ;[Red]\(#,##0\)"/>
      <alignment vertical="top"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garet Boland" refreshedDate="44054.683866666666" createdVersion="5" refreshedVersion="5" minRefreshableVersion="3" recordCount="79">
  <cacheSource type="worksheet">
    <worksheetSource ref="A1:V80" sheet="Collec Chg"/>
  </cacheSource>
  <cacheFields count="22">
    <cacheField name="Account Number" numFmtId="0">
      <sharedItems/>
    </cacheField>
    <cacheField name="TRX Date" numFmtId="14">
      <sharedItems containsSemiMixedTypes="0" containsNonDate="0" containsDate="1" containsString="0" minDate="2019-01-03T00:00:00" maxDate="2019-11-09T00:00:00"/>
    </cacheField>
    <cacheField name="Month" numFmtId="0">
      <sharedItems containsSemiMixedTypes="0" containsString="0" containsNumber="1" containsInteger="1" minValue="1" maxValue="11" count="10">
        <n v="1"/>
        <n v="2"/>
        <n v="3"/>
        <n v="4"/>
        <n v="5"/>
        <n v="6"/>
        <n v="7"/>
        <n v="8"/>
        <n v="9"/>
        <n v="11"/>
      </sharedItems>
    </cacheField>
    <cacheField name="Account Description" numFmtId="0">
      <sharedItems/>
    </cacheField>
    <cacheField name="Description" numFmtId="0">
      <sharedItems/>
    </cacheField>
    <cacheField name="Reference" numFmtId="0">
      <sharedItems/>
    </cacheField>
    <cacheField name="Debit Amount" numFmtId="43">
      <sharedItems containsSemiMixedTypes="0" containsString="0" containsNumber="1" minValue="0" maxValue="3090"/>
    </cacheField>
    <cacheField name="Credit Amount" numFmtId="43">
      <sharedItems containsSemiMixedTypes="0" containsString="0" containsNumber="1" containsInteger="1" minValue="0" maxValue="4290"/>
    </cacheField>
    <cacheField name="Net" numFmtId="43">
      <sharedItems containsSemiMixedTypes="0" containsString="0" containsNumber="1" minValue="-4290" maxValue="3090"/>
    </cacheField>
    <cacheField name="Originating Master Name" numFmtId="0">
      <sharedItems/>
    </cacheField>
    <cacheField name="Journal Entry" numFmtId="1">
      <sharedItems containsSemiMixedTypes="0" containsString="0" containsNumber="1" containsInteger="1" minValue="29664" maxValue="1120640"/>
    </cacheField>
    <cacheField name="Batch Number" numFmtId="0">
      <sharedItems/>
    </cacheField>
    <cacheField name="Main Account Segment" numFmtId="0">
      <sharedItems/>
    </cacheField>
    <cacheField name="Originating Document Number" numFmtId="0">
      <sharedItems/>
    </cacheField>
    <cacheField name="Originating Source" numFmtId="0">
      <sharedItems/>
    </cacheField>
    <cacheField name="Originating Control Number" numFmtId="0">
      <sharedItems/>
    </cacheField>
    <cacheField name="Originating Posted Date" numFmtId="14">
      <sharedItems containsSemiMixedTypes="0" containsNonDate="0" containsDate="1" containsString="0" minDate="2019-01-04T00:00:00" maxDate="2019-11-12T00:00:00"/>
    </cacheField>
    <cacheField name="Account Category Number" numFmtId="0">
      <sharedItems/>
    </cacheField>
    <cacheField name="Originating Master ID" numFmtId="0">
      <sharedItems/>
    </cacheField>
    <cacheField name="User Defined 1" numFmtId="0">
      <sharedItems/>
    </cacheField>
    <cacheField name="User Defined 2" numFmtId="0">
      <sharedItems/>
    </cacheField>
    <cacheField name="User Who Posted"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garet Boland" refreshedDate="44054.68474837963" createdVersion="5" refreshedVersion="5" minRefreshableVersion="3" recordCount="175">
  <cacheSource type="worksheet">
    <worksheetSource ref="A1:V176" sheet="Reconn Chg"/>
  </cacheSource>
  <cacheFields count="22">
    <cacheField name="Account Number" numFmtId="0">
      <sharedItems/>
    </cacheField>
    <cacheField name="TRX Date" numFmtId="14">
      <sharedItems containsSemiMixedTypes="0" containsNonDate="0" containsDate="1" containsString="0" minDate="2019-01-17T00:00:00" maxDate="2019-12-24T00:00:00"/>
    </cacheField>
    <cacheField name="Month" numFmtId="0">
      <sharedItems containsSemiMixedTypes="0" containsString="0" containsNumber="1" containsInteger="1" minValue="1" maxValue="12" count="11">
        <n v="2"/>
        <n v="5"/>
        <n v="6"/>
        <n v="7"/>
        <n v="8"/>
        <n v="9"/>
        <n v="10"/>
        <n v="11"/>
        <n v="12"/>
        <n v="1"/>
        <n v="3"/>
      </sharedItems>
    </cacheField>
    <cacheField name="Account Description" numFmtId="0">
      <sharedItems/>
    </cacheField>
    <cacheField name="Description" numFmtId="0">
      <sharedItems/>
    </cacheField>
    <cacheField name="Reference" numFmtId="0">
      <sharedItems/>
    </cacheField>
    <cacheField name="Debit Amount" numFmtId="43">
      <sharedItems containsSemiMixedTypes="0" containsString="0" containsNumber="1" containsInteger="1" minValue="0" maxValue="185"/>
    </cacheField>
    <cacheField name="Credit Amount" numFmtId="43">
      <sharedItems containsSemiMixedTypes="0" containsString="0" containsNumber="1" containsInteger="1" minValue="0" maxValue="3725"/>
    </cacheField>
    <cacheField name="Net" numFmtId="43">
      <sharedItems containsSemiMixedTypes="0" containsString="0" containsNumber="1" containsInteger="1" minValue="-3725" maxValue="185"/>
    </cacheField>
    <cacheField name="Originating Master Name" numFmtId="0">
      <sharedItems/>
    </cacheField>
    <cacheField name="Journal Entry" numFmtId="1">
      <sharedItems containsSemiMixedTypes="0" containsString="0" containsNumber="1" containsInteger="1" minValue="28171" maxValue="1128797"/>
    </cacheField>
    <cacheField name="Batch Number" numFmtId="0">
      <sharedItems/>
    </cacheField>
    <cacheField name="Main Account Segment" numFmtId="0">
      <sharedItems/>
    </cacheField>
    <cacheField name="Originating Document Number" numFmtId="0">
      <sharedItems/>
    </cacheField>
    <cacheField name="Originating Source" numFmtId="0">
      <sharedItems/>
    </cacheField>
    <cacheField name="Originating Control Number" numFmtId="0">
      <sharedItems/>
    </cacheField>
    <cacheField name="Originating Posted Date" numFmtId="14">
      <sharedItems containsSemiMixedTypes="0" containsNonDate="0" containsDate="1" containsString="0" minDate="2019-01-18T00:00:00" maxDate="2020-01-01T00:00:00"/>
    </cacheField>
    <cacheField name="Account Category Number" numFmtId="0">
      <sharedItems/>
    </cacheField>
    <cacheField name="Originating Master ID" numFmtId="0">
      <sharedItems/>
    </cacheField>
    <cacheField name="User Defined 1" numFmtId="0">
      <sharedItems/>
    </cacheField>
    <cacheField name="User Defined 2" numFmtId="0">
      <sharedItems/>
    </cacheField>
    <cacheField name="User Who Post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9">
  <r>
    <s v="245-4000-10"/>
    <d v="2019-01-18T00:00:00"/>
    <x v="0"/>
    <s v="4235 Collection Charge Residential"/>
    <s v=""/>
    <s v="EC0030828"/>
    <n v="30"/>
    <n v="0"/>
    <n v="30"/>
    <s v=""/>
    <n v="1078048"/>
    <s v=""/>
    <s v="4000"/>
    <s v=""/>
    <s v="GL IMPORT"/>
    <s v=""/>
    <d v="2019-01-21T00:00:00"/>
    <s v="4235 Miscellaneous Service (Other Op. Revenues)"/>
    <s v=""/>
    <s v="Reg. Service Revenue"/>
    <s v="Reg. Service Revenue"/>
    <s v="dross"/>
  </r>
  <r>
    <s v="245-4000-10"/>
    <d v="2019-01-09T00:00:00"/>
    <x v="0"/>
    <s v="4235 Collection Charge Residential"/>
    <s v=""/>
    <s v="EC0030784"/>
    <n v="0"/>
    <n v="30"/>
    <n v="-30"/>
    <s v=""/>
    <n v="1076731"/>
    <s v=""/>
    <s v="4000"/>
    <s v=""/>
    <s v="GL IMPORT"/>
    <s v=""/>
    <d v="2019-01-10T00:00:00"/>
    <s v="4235 Miscellaneous Service (Other Op. Revenues)"/>
    <s v=""/>
    <s v="Reg. Service Revenue"/>
    <s v="Reg. Service Revenue"/>
    <s v="dross"/>
  </r>
  <r>
    <s v="245-4010-10"/>
    <d v="2019-01-09T00:00:00"/>
    <x v="0"/>
    <s v="4235 Collection Charge Comm &lt;50 kw"/>
    <s v=""/>
    <s v="EC0030784"/>
    <n v="0"/>
    <n v="2700"/>
    <n v="-2700"/>
    <s v=""/>
    <n v="1076731"/>
    <s v=""/>
    <s v="4010"/>
    <s v=""/>
    <s v="GL IMPORT"/>
    <s v=""/>
    <d v="2019-01-10T00:00:00"/>
    <s v="4235 Miscellaneous Service (Other Op. Revenues)"/>
    <s v=""/>
    <s v="Reg. Service Revenue"/>
    <s v="Reg. Service Revenue"/>
    <s v="dross"/>
  </r>
  <r>
    <s v="245-4010-10"/>
    <d v="2019-01-23T00:00:00"/>
    <x v="0"/>
    <s v="4235 Collection Charge Comm &lt;50 kw"/>
    <s v=""/>
    <s v="BJ0021356"/>
    <n v="0"/>
    <n v="60"/>
    <n v="-60"/>
    <s v=""/>
    <n v="1078985"/>
    <s v=""/>
    <s v="4010"/>
    <s v=""/>
    <s v="GL IMPORT"/>
    <s v=""/>
    <d v="2019-01-24T00:00:00"/>
    <s v="4235 Miscellaneous Service (Other Op. Revenues)"/>
    <s v=""/>
    <s v="Reg. Service Revenue"/>
    <s v="Reg. Service Revenue"/>
    <s v="dross"/>
  </r>
  <r>
    <s v="245-4010-10"/>
    <d v="2019-01-17T00:00:00"/>
    <x v="0"/>
    <s v="4235 Collection Charge Comm &lt;50 kw"/>
    <s v=""/>
    <s v="BJ0021346"/>
    <n v="0"/>
    <n v="900"/>
    <n v="-900"/>
    <s v=""/>
    <n v="1077877"/>
    <s v=""/>
    <s v="4010"/>
    <s v=""/>
    <s v="GL IMPORT"/>
    <s v=""/>
    <d v="2019-01-18T00:00:00"/>
    <s v="4235 Miscellaneous Service (Other Op. Revenues)"/>
    <s v=""/>
    <s v="Reg. Service Revenue"/>
    <s v="Reg. Service Revenue"/>
    <s v="dross"/>
  </r>
  <r>
    <s v="245-4010-10"/>
    <d v="2019-01-15T00:00:00"/>
    <x v="0"/>
    <s v="4235 Collection Charge Comm &lt;50 kw"/>
    <s v=""/>
    <s v="EC0030805"/>
    <n v="30"/>
    <n v="0"/>
    <n v="30"/>
    <s v=""/>
    <n v="1077754"/>
    <s v=""/>
    <s v="4010"/>
    <s v=""/>
    <s v="GL IMPORT"/>
    <s v=""/>
    <d v="2019-01-16T00:00:00"/>
    <s v="4235 Miscellaneous Service (Other Op. Revenues)"/>
    <s v=""/>
    <s v="Reg. Service Revenue"/>
    <s v="Reg. Service Revenue"/>
    <s v="dross"/>
  </r>
  <r>
    <s v="245-4010-10"/>
    <d v="2019-01-03T00:00:00"/>
    <x v="0"/>
    <s v="4235 Collection Charge Comm &lt;50 kw"/>
    <s v=""/>
    <s v="EC0030765"/>
    <n v="30"/>
    <n v="0"/>
    <n v="30"/>
    <s v=""/>
    <n v="1075608"/>
    <s v=""/>
    <s v="4010"/>
    <s v=""/>
    <s v="GL IMPORT"/>
    <s v=""/>
    <d v="2019-01-04T00:00:00"/>
    <s v="4235 Miscellaneous Service (Other Op. Revenues)"/>
    <s v=""/>
    <s v="Reg. Service Revenue"/>
    <s v="Reg. Service Revenue"/>
    <s v="dross"/>
  </r>
  <r>
    <s v="245-4015-10"/>
    <d v="2019-01-09T00:00:00"/>
    <x v="0"/>
    <s v="4235 Collection Charge Ind &gt; 50 - 200 KW"/>
    <s v=""/>
    <s v="EC0030784"/>
    <n v="0"/>
    <n v="90"/>
    <n v="-90"/>
    <s v=""/>
    <n v="1076731"/>
    <s v=""/>
    <s v="4015"/>
    <s v=""/>
    <s v="GL IMPORT"/>
    <s v=""/>
    <d v="2019-01-10T00:00:00"/>
    <s v="4235 Miscellaneous Service (Other Op. Revenues)"/>
    <s v=""/>
    <s v="Reg. Service Revenue"/>
    <s v="Reg. Service Revenue"/>
    <s v="dross"/>
  </r>
  <r>
    <s v="245-4015-10"/>
    <d v="2019-01-23T00:00:00"/>
    <x v="0"/>
    <s v="4235 Collection Charge Ind &gt; 50 - 200 KW"/>
    <s v=""/>
    <s v="EC0030844"/>
    <n v="0"/>
    <n v="30"/>
    <n v="-30"/>
    <s v=""/>
    <n v="1079002"/>
    <s v=""/>
    <s v="4015"/>
    <s v=""/>
    <s v="GL IMPORT"/>
    <s v=""/>
    <d v="2019-01-24T00:00:00"/>
    <s v="4235 Miscellaneous Service (Other Op. Revenues)"/>
    <s v=""/>
    <s v="Reg. Service Revenue"/>
    <s v="Reg. Service Revenue"/>
    <s v="dross"/>
  </r>
  <r>
    <s v="245-4015-10"/>
    <d v="2019-01-28T00:00:00"/>
    <x v="0"/>
    <s v="4235 Collection Charge Ind &gt; 50 - 200 KW"/>
    <s v=""/>
    <s v="BJ0021369"/>
    <n v="0"/>
    <n v="30"/>
    <n v="-30"/>
    <s v=""/>
    <n v="1079977"/>
    <s v=""/>
    <s v="4015"/>
    <s v=""/>
    <s v="GL IMPORT"/>
    <s v=""/>
    <d v="2019-01-29T00:00:00"/>
    <s v="4235 Miscellaneous Service (Other Op. Revenues)"/>
    <s v=""/>
    <s v="Reg. Service Revenue"/>
    <s v="Reg. Service Revenue"/>
    <s v="dross"/>
  </r>
  <r>
    <s v="245-4015-10"/>
    <d v="2019-01-28T00:00:00"/>
    <x v="0"/>
    <s v="4235 Collection Charge Ind &gt; 50 - 200 KW"/>
    <s v=""/>
    <s v="EC0030858"/>
    <n v="0"/>
    <n v="30"/>
    <n v="-30"/>
    <s v=""/>
    <n v="1079987"/>
    <s v=""/>
    <s v="4015"/>
    <s v=""/>
    <s v="GL IMPORT"/>
    <s v=""/>
    <d v="2019-01-29T00:00:00"/>
    <s v="4235 Miscellaneous Service (Other Op. Revenues)"/>
    <s v=""/>
    <s v="Reg. Service Revenue"/>
    <s v="Reg. Service Revenue"/>
    <s v="dross"/>
  </r>
  <r>
    <s v="245-4020-10"/>
    <d v="2019-01-09T00:00:00"/>
    <x v="0"/>
    <s v="4235 Collection Charge Ind &gt; 200 - 1000 KW"/>
    <s v=""/>
    <s v="EC0030784"/>
    <n v="0"/>
    <n v="30"/>
    <n v="-30"/>
    <s v=""/>
    <n v="1076731"/>
    <s v=""/>
    <s v="4020"/>
    <s v=""/>
    <s v="GL IMPORT"/>
    <s v=""/>
    <d v="2019-01-10T00:00:00"/>
    <s v="4235 Miscellaneous Service (Other Op. Revenues)"/>
    <s v=""/>
    <s v="Reg. Service Revenue"/>
    <s v="Reg. Service Revenue"/>
    <s v="dross"/>
  </r>
  <r>
    <s v="245-4020-10"/>
    <d v="2019-01-10T00:00:00"/>
    <x v="0"/>
    <s v="4235 Collection Charge Ind &gt; 200 - 1000 KW"/>
    <s v=""/>
    <s v="EC0030788"/>
    <n v="30"/>
    <n v="0"/>
    <n v="30"/>
    <s v=""/>
    <n v="1077053"/>
    <s v=""/>
    <s v="4020"/>
    <s v=""/>
    <s v="GL IMPORT"/>
    <s v=""/>
    <d v="2019-01-11T00:00:00"/>
    <s v="4235 Miscellaneous Service (Other Op. Revenues)"/>
    <s v=""/>
    <s v="Reg. Service Revenue"/>
    <s v="Reg. Service Revenue"/>
    <s v="dross"/>
  </r>
  <r>
    <s v="245-4010-10"/>
    <d v="2019-02-13T00:00:00"/>
    <x v="1"/>
    <s v="4235 Collection Charge Comm &lt;50 kw"/>
    <s v=""/>
    <s v="EC0030937"/>
    <n v="30"/>
    <n v="0"/>
    <n v="30"/>
    <s v=""/>
    <n v="1081965"/>
    <s v=""/>
    <s v="4010"/>
    <s v=""/>
    <s v="GL IMPORT"/>
    <s v=""/>
    <d v="2019-02-14T00:00:00"/>
    <s v="4235 Miscellaneous Service (Other Op. Revenues)"/>
    <s v=""/>
    <s v="Reg. Service Revenue"/>
    <s v="Reg. Service Revenue"/>
    <s v="dross"/>
  </r>
  <r>
    <s v="245-4010-10"/>
    <d v="2019-02-13T00:00:00"/>
    <x v="1"/>
    <s v="4235 Collection Charge Comm &lt;50 kw"/>
    <s v=""/>
    <s v="EC0030933"/>
    <n v="30"/>
    <n v="0"/>
    <n v="30"/>
    <s v=""/>
    <n v="1081961"/>
    <s v=""/>
    <s v="4010"/>
    <s v=""/>
    <s v="GL IMPORT"/>
    <s v=""/>
    <d v="2019-02-14T00:00:00"/>
    <s v="4235 Miscellaneous Service (Other Op. Revenues)"/>
    <s v=""/>
    <s v="Reg. Service Revenue"/>
    <s v="Reg. Service Revenue"/>
    <s v="dross"/>
  </r>
  <r>
    <s v="245-4010-10"/>
    <d v="2019-02-13T00:00:00"/>
    <x v="1"/>
    <s v="4235 Collection Charge Comm &lt;50 kw"/>
    <s v=""/>
    <s v="EC0030932"/>
    <n v="30"/>
    <n v="0"/>
    <n v="30"/>
    <s v=""/>
    <n v="1081960"/>
    <s v=""/>
    <s v="4010"/>
    <s v=""/>
    <s v="GL IMPORT"/>
    <s v=""/>
    <d v="2019-02-14T00:00:00"/>
    <s v="4235 Miscellaneous Service (Other Op. Revenues)"/>
    <s v=""/>
    <s v="Reg. Service Revenue"/>
    <s v="Reg. Service Revenue"/>
    <s v="dross"/>
  </r>
  <r>
    <s v="245-4010-10"/>
    <d v="2019-02-01T00:00:00"/>
    <x v="1"/>
    <s v="4235 Collection Charge Comm &lt;50 kw"/>
    <s v=""/>
    <s v="EC0030876"/>
    <n v="0"/>
    <n v="4290"/>
    <n v="-4290"/>
    <s v=""/>
    <n v="1080368"/>
    <s v=""/>
    <s v="4010"/>
    <s v=""/>
    <s v="GL IMPORT"/>
    <s v=""/>
    <d v="2019-02-04T00:00:00"/>
    <s v="4235 Miscellaneous Service (Other Op. Revenues)"/>
    <s v=""/>
    <s v="Reg. Service Revenue"/>
    <s v="Reg. Service Revenue"/>
    <s v="dross"/>
  </r>
  <r>
    <s v="245-4010-10"/>
    <d v="2019-02-18T00:00:00"/>
    <x v="1"/>
    <s v="4235 Collection Charge Comm &lt;50 kw"/>
    <s v=""/>
    <s v="BJ0021417"/>
    <n v="0"/>
    <n v="30"/>
    <n v="-30"/>
    <s v=""/>
    <n v="1082124"/>
    <s v=""/>
    <s v="4010"/>
    <s v=""/>
    <s v="GL IMPORT"/>
    <s v=""/>
    <d v="2019-02-19T00:00:00"/>
    <s v="4235 Miscellaneous Service (Other Op. Revenues)"/>
    <s v=""/>
    <s v="Reg. Service Revenue"/>
    <s v="Reg. Service Revenue"/>
    <s v="dross"/>
  </r>
  <r>
    <s v="245-4010-10"/>
    <d v="2019-02-20T00:00:00"/>
    <x v="1"/>
    <s v="4235 Collection Charge Comm &lt;50 kw"/>
    <s v=""/>
    <s v="BJ0021426"/>
    <n v="0"/>
    <n v="1560"/>
    <n v="-1560"/>
    <s v=""/>
    <n v="1082561"/>
    <s v=""/>
    <s v="4010"/>
    <s v=""/>
    <s v="GL IMPORT"/>
    <s v=""/>
    <d v="2019-02-21T00:00:00"/>
    <s v="4235 Miscellaneous Service (Other Op. Revenues)"/>
    <s v=""/>
    <s v="Reg. Service Revenue"/>
    <s v="Reg. Service Revenue"/>
    <s v="dross"/>
  </r>
  <r>
    <s v="245-4015-10"/>
    <d v="2019-02-19T00:00:00"/>
    <x v="1"/>
    <s v="4235 Collection Charge Ind &gt; 50 - 200 KW"/>
    <s v=""/>
    <s v="EC0030955"/>
    <n v="0"/>
    <n v="270"/>
    <n v="-270"/>
    <s v=""/>
    <n v="1082415"/>
    <s v=""/>
    <s v="4015"/>
    <s v=""/>
    <s v="GL IMPORT"/>
    <s v=""/>
    <d v="2019-02-20T00:00:00"/>
    <s v="4235 Miscellaneous Service (Other Op. Revenues)"/>
    <s v=""/>
    <s v="Reg. Service Revenue"/>
    <s v="Reg. Service Revenue"/>
    <s v="dross"/>
  </r>
  <r>
    <s v="245-4000-10"/>
    <d v="2019-03-14T00:00:00"/>
    <x v="2"/>
    <s v="4235 Collection Charge Residential"/>
    <s v=""/>
    <s v="EC0031072"/>
    <n v="0"/>
    <n v="30"/>
    <n v="-30"/>
    <s v=""/>
    <n v="1086457"/>
    <s v=""/>
    <s v="4000"/>
    <s v=""/>
    <s v="GL IMPORT"/>
    <s v=""/>
    <d v="2019-03-15T00:00:00"/>
    <s v="4235 Miscellaneous Service (Other Op. Revenues)"/>
    <s v=""/>
    <s v="Reg. Service Revenue"/>
    <s v="Reg. Service Revenue"/>
    <s v="dross"/>
  </r>
  <r>
    <s v="245-4010-10"/>
    <d v="2019-03-13T00:00:00"/>
    <x v="2"/>
    <s v="4235 Collection Charge Comm &lt;50 kw"/>
    <s v=""/>
    <s v="EC0031066"/>
    <n v="30"/>
    <n v="0"/>
    <n v="30"/>
    <s v=""/>
    <n v="1086451"/>
    <s v=""/>
    <s v="4010"/>
    <s v=""/>
    <s v="GL IMPORT"/>
    <s v=""/>
    <d v="2019-03-15T00:00:00"/>
    <s v="4235 Miscellaneous Service (Other Op. Revenues)"/>
    <s v=""/>
    <s v="Reg. Service Revenue"/>
    <s v="Reg. Service Revenue"/>
    <s v="dross"/>
  </r>
  <r>
    <s v="245-4010-10"/>
    <d v="2019-03-14T00:00:00"/>
    <x v="2"/>
    <s v="4235 Collection Charge Comm &lt;50 kw"/>
    <s v=""/>
    <s v="EC0031072"/>
    <n v="0"/>
    <n v="780"/>
    <n v="-780"/>
    <s v=""/>
    <n v="1086457"/>
    <s v=""/>
    <s v="4010"/>
    <s v=""/>
    <s v="GL IMPORT"/>
    <s v=""/>
    <d v="2019-03-15T00:00:00"/>
    <s v="4235 Miscellaneous Service (Other Op. Revenues)"/>
    <s v=""/>
    <s v="Reg. Service Revenue"/>
    <s v="Reg. Service Revenue"/>
    <s v="dross"/>
  </r>
  <r>
    <s v="245-4010-10"/>
    <d v="2019-03-04T00:00:00"/>
    <x v="2"/>
    <s v="4235 Collection Charge Comm &lt;50 kw"/>
    <s v=""/>
    <s v="EC0031011"/>
    <n v="33.9"/>
    <n v="0"/>
    <n v="33.9"/>
    <s v=""/>
    <n v="1085015"/>
    <s v=""/>
    <s v="4010"/>
    <s v=""/>
    <s v="GL IMPORT"/>
    <s v=""/>
    <d v="2019-03-05T00:00:00"/>
    <s v="4235 Miscellaneous Service (Other Op. Revenues)"/>
    <s v=""/>
    <s v="Reg. Service Revenue"/>
    <s v="Reg. Service Revenue"/>
    <s v="dross"/>
  </r>
  <r>
    <s v="245-4010-10"/>
    <d v="2019-03-07T00:00:00"/>
    <x v="2"/>
    <s v="4235 Collection Charge Comm &lt;50 kw"/>
    <s v=""/>
    <s v="EC0031035"/>
    <n v="0"/>
    <n v="3150"/>
    <n v="-3150"/>
    <s v=""/>
    <n v="1085988"/>
    <s v=""/>
    <s v="4010"/>
    <s v=""/>
    <s v="GL IMPORT"/>
    <s v=""/>
    <d v="2019-03-08T00:00:00"/>
    <s v="4235 Miscellaneous Service (Other Op. Revenues)"/>
    <s v=""/>
    <s v="Reg. Service Revenue"/>
    <s v="Reg. Service Revenue"/>
    <s v="dross"/>
  </r>
  <r>
    <s v="245-4010-10"/>
    <d v="2019-03-15T00:00:00"/>
    <x v="2"/>
    <s v="4235 Collection Charge Comm &lt;50 kw"/>
    <s v=""/>
    <s v="BJ0021483"/>
    <n v="0"/>
    <n v="600"/>
    <n v="-600"/>
    <s v=""/>
    <n v="1086509"/>
    <s v=""/>
    <s v="4010"/>
    <s v=""/>
    <s v="GL IMPORT"/>
    <s v=""/>
    <d v="2019-03-18T00:00:00"/>
    <s v="4235 Miscellaneous Service (Other Op. Revenues)"/>
    <s v=""/>
    <s v="Reg. Service Revenue"/>
    <s v="Reg. Service Revenue"/>
    <s v="dross"/>
  </r>
  <r>
    <s v="245-4015-10"/>
    <d v="2019-03-07T00:00:00"/>
    <x v="2"/>
    <s v="4235 Collection Charge Ind &gt; 50 - 200 KW"/>
    <s v=""/>
    <s v="EC0031035"/>
    <n v="0"/>
    <n v="30"/>
    <n v="-30"/>
    <s v=""/>
    <n v="1085988"/>
    <s v=""/>
    <s v="4015"/>
    <s v=""/>
    <s v="GL IMPORT"/>
    <s v=""/>
    <d v="2019-03-08T00:00:00"/>
    <s v="4235 Miscellaneous Service (Other Op. Revenues)"/>
    <s v=""/>
    <s v="Reg. Service Revenue"/>
    <s v="Reg. Service Revenue"/>
    <s v="dross"/>
  </r>
  <r>
    <s v="245-4015-10"/>
    <d v="2019-03-14T00:00:00"/>
    <x v="2"/>
    <s v="4235 Collection Charge Ind &gt; 50 - 200 KW"/>
    <s v=""/>
    <s v="EC0031072"/>
    <n v="0"/>
    <n v="240"/>
    <n v="-240"/>
    <s v=""/>
    <n v="1086457"/>
    <s v=""/>
    <s v="4015"/>
    <s v=""/>
    <s v="GL IMPORT"/>
    <s v=""/>
    <d v="2019-03-15T00:00:00"/>
    <s v="4235 Miscellaneous Service (Other Op. Revenues)"/>
    <s v=""/>
    <s v="Reg. Service Revenue"/>
    <s v="Reg. Service Revenue"/>
    <s v="dross"/>
  </r>
  <r>
    <s v="245-4015-10"/>
    <d v="2019-03-25T00:00:00"/>
    <x v="2"/>
    <s v="4235 Collection Charge Ind &gt; 50 - 200 KW"/>
    <s v=""/>
    <s v="EC0031109"/>
    <n v="30"/>
    <n v="0"/>
    <n v="30"/>
    <s v=""/>
    <n v="1088758"/>
    <s v=""/>
    <s v="4015"/>
    <s v=""/>
    <s v="GL IMPORT"/>
    <s v=""/>
    <d v="2019-03-26T00:00:00"/>
    <s v="4235 Miscellaneous Service (Other Op. Revenues)"/>
    <s v=""/>
    <s v="Reg. Service Revenue"/>
    <s v="Reg. Service Revenue"/>
    <s v="dross"/>
  </r>
  <r>
    <s v="245-4020-10"/>
    <d v="2019-03-14T00:00:00"/>
    <x v="2"/>
    <s v="4235 Collection Charge Ind &gt; 200 - 1000 KW"/>
    <s v=""/>
    <s v="EC0031072"/>
    <n v="0"/>
    <n v="30"/>
    <n v="-30"/>
    <s v=""/>
    <n v="1086457"/>
    <s v=""/>
    <s v="4020"/>
    <s v=""/>
    <s v="GL IMPORT"/>
    <s v=""/>
    <d v="2019-03-15T00:00:00"/>
    <s v="4235 Miscellaneous Service (Other Op. Revenues)"/>
    <s v=""/>
    <s v="Reg. Service Revenue"/>
    <s v="Reg. Service Revenue"/>
    <s v="dross"/>
  </r>
  <r>
    <s v="245-4010-10"/>
    <d v="2019-04-17T00:00:00"/>
    <x v="3"/>
    <s v="4235 Collection Charge Comm &lt;50 kw"/>
    <s v=""/>
    <s v="EC0031191"/>
    <n v="0"/>
    <n v="2070"/>
    <n v="-2070"/>
    <s v=""/>
    <n v="1093181"/>
    <s v=""/>
    <s v="4010"/>
    <s v=""/>
    <s v="GL IMPORT"/>
    <s v=""/>
    <d v="2019-04-18T00:00:00"/>
    <s v="4235 Miscellaneous Service (Other Op. Revenues)"/>
    <s v=""/>
    <s v="Reg. Service Revenue"/>
    <s v="Reg. Service Revenue"/>
    <s v="dross"/>
  </r>
  <r>
    <s v="245-4015-10"/>
    <d v="2019-04-17T00:00:00"/>
    <x v="3"/>
    <s v="4235 Collection Charge Ind &gt; 50 - 200 KW"/>
    <s v=""/>
    <s v="EC0031191"/>
    <n v="0"/>
    <n v="30"/>
    <n v="-30"/>
    <s v=""/>
    <n v="1093181"/>
    <s v=""/>
    <s v="4015"/>
    <s v=""/>
    <s v="GL IMPORT"/>
    <s v=""/>
    <d v="2019-04-18T00:00:00"/>
    <s v="4235 Miscellaneous Service (Other Op. Revenues)"/>
    <s v=""/>
    <s v="Reg. Service Revenue"/>
    <s v="Reg. Service Revenue"/>
    <s v="dross"/>
  </r>
  <r>
    <s v="245-4015-10"/>
    <d v="2019-04-10T00:00:00"/>
    <x v="3"/>
    <s v="4235 Collection Charge Ind &gt; 50 - 200 KW"/>
    <s v=""/>
    <s v="EC0031167"/>
    <n v="0"/>
    <n v="60"/>
    <n v="-60"/>
    <s v=""/>
    <n v="1091057"/>
    <s v=""/>
    <s v="4015"/>
    <s v=""/>
    <s v="GL IMPORT"/>
    <s v=""/>
    <d v="2019-04-11T00:00:00"/>
    <s v="4235 Miscellaneous Service (Other Op. Revenues)"/>
    <s v=""/>
    <s v="Reg. Service Revenue"/>
    <s v="Reg. Service Revenue"/>
    <s v="dross"/>
  </r>
  <r>
    <s v="245-4020-10"/>
    <d v="2019-04-29T00:00:00"/>
    <x v="3"/>
    <s v="4235 Collection Charge Ind &gt; 200 - 1000 KW"/>
    <s v=""/>
    <s v="BJ0021584"/>
    <n v="0"/>
    <n v="30"/>
    <n v="-30"/>
    <s v=""/>
    <n v="1093772"/>
    <s v=""/>
    <s v="4020"/>
    <s v=""/>
    <s v="GL IMPORT"/>
    <s v=""/>
    <d v="2019-04-30T00:00:00"/>
    <s v="4235 Miscellaneous Service (Other Op. Revenues)"/>
    <s v=""/>
    <s v="Reg. Service Revenue"/>
    <s v="Reg. Service Revenue"/>
    <s v="dross"/>
  </r>
  <r>
    <s v="245-4000-10"/>
    <d v="2019-05-24T00:00:00"/>
    <x v="4"/>
    <s v="4235 Collection Charge Residential"/>
    <s v=""/>
    <s v="BJ0021630"/>
    <n v="0"/>
    <n v="30"/>
    <n v="-30"/>
    <s v=""/>
    <n v="1097929"/>
    <s v=""/>
    <s v="4000"/>
    <s v=""/>
    <s v="GL IMPORT"/>
    <s v=""/>
    <d v="2019-05-27T00:00:00"/>
    <s v="4235 Miscellaneous Service (Other Op. Revenues)"/>
    <s v=""/>
    <s v="Reg. Service Revenue"/>
    <s v="Reg. Service Revenue"/>
    <s v="dross"/>
  </r>
  <r>
    <s v="245-4010-10"/>
    <d v="2019-05-15T00:00:00"/>
    <x v="4"/>
    <s v="4235 Collection Charge Comm &lt;50 kw"/>
    <s v=""/>
    <s v="BJ0021614"/>
    <n v="0"/>
    <n v="1410"/>
    <n v="-1410"/>
    <s v=""/>
    <n v="1097913"/>
    <s v=""/>
    <s v="4010"/>
    <s v=""/>
    <s v="GL IMPORT"/>
    <s v=""/>
    <d v="2019-05-27T00:00:00"/>
    <s v="4235 Miscellaneous Service (Other Op. Revenues)"/>
    <s v=""/>
    <s v="Reg. Service Revenue"/>
    <s v="Reg. Service Revenue"/>
    <s v="dross"/>
  </r>
  <r>
    <s v="245-4015-10"/>
    <d v="2019-05-27T00:00:00"/>
    <x v="4"/>
    <s v="4235 Collection Charge Ind &gt; 50 - 200 KW"/>
    <s v=""/>
    <s v="BJ0021634"/>
    <n v="0"/>
    <n v="30"/>
    <n v="-30"/>
    <s v=""/>
    <n v="1098105"/>
    <s v=""/>
    <s v="4015"/>
    <s v=""/>
    <s v="GL IMPORT"/>
    <s v=""/>
    <d v="2019-05-28T00:00:00"/>
    <s v="4235 Miscellaneous Service (Other Op. Revenues)"/>
    <s v=""/>
    <s v="Reg. Service Revenue"/>
    <s v="Reg. Service Revenue"/>
    <s v="dross"/>
  </r>
  <r>
    <s v="245-4000-10"/>
    <d v="2019-06-05T00:00:00"/>
    <x v="5"/>
    <s v="4235 Collection Charge Residential"/>
    <s v=""/>
    <s v="BJ0021651"/>
    <n v="0"/>
    <n v="30"/>
    <n v="-30"/>
    <s v=""/>
    <n v="1099756"/>
    <s v=""/>
    <s v="4000"/>
    <s v=""/>
    <s v="GL IMPORT"/>
    <s v=""/>
    <d v="2019-06-06T00:00:00"/>
    <s v="4235 Miscellaneous Service (Other Op. Revenues)"/>
    <s v=""/>
    <s v="Reg. Service Revenue"/>
    <s v="Reg. Service Revenue"/>
    <s v="dross"/>
  </r>
  <r>
    <s v="245-4010-10"/>
    <d v="2019-06-04T00:00:00"/>
    <x v="5"/>
    <s v="4235 Collection Charge Comm &lt;50 kw"/>
    <s v=""/>
    <s v="EC0031291"/>
    <n v="0"/>
    <n v="30"/>
    <n v="-30"/>
    <s v=""/>
    <n v="1099649"/>
    <s v=""/>
    <s v="4010"/>
    <s v=""/>
    <s v="GL IMPORT"/>
    <s v=""/>
    <d v="2019-06-05T00:00:00"/>
    <s v="4235 Miscellaneous Service (Other Op. Revenues)"/>
    <s v=""/>
    <s v="Reg. Service Revenue"/>
    <s v="Reg. Service Revenue"/>
    <s v="dross"/>
  </r>
  <r>
    <s v="245-4010-10"/>
    <d v="2019-06-11T00:00:00"/>
    <x v="5"/>
    <s v="4235 Collection Charge Comm &lt;50 kw"/>
    <s v=""/>
    <s v="EC0031322"/>
    <n v="0"/>
    <n v="810"/>
    <n v="-810"/>
    <s v=""/>
    <n v="1100092"/>
    <s v=""/>
    <s v="4010"/>
    <s v=""/>
    <s v="GL IMPORT"/>
    <s v=""/>
    <d v="2019-06-11T00:00:00"/>
    <s v="4235 Miscellaneous Service (Other Op. Revenues)"/>
    <s v=""/>
    <s v="Reg. Service Revenue"/>
    <s v="Reg. Service Revenue"/>
    <s v="dross"/>
  </r>
  <r>
    <s v="245-4010-10"/>
    <d v="2019-06-11T00:00:00"/>
    <x v="5"/>
    <s v="4235 Collection Charge Comm &lt;50 kw"/>
    <s v=""/>
    <s v="EC0031321"/>
    <n v="0"/>
    <n v="3120"/>
    <n v="-3120"/>
    <s v=""/>
    <n v="1100091"/>
    <s v=""/>
    <s v="4010"/>
    <s v=""/>
    <s v="GL IMPORT"/>
    <s v=""/>
    <d v="2019-06-11T00:00:00"/>
    <s v="4235 Miscellaneous Service (Other Op. Revenues)"/>
    <s v=""/>
    <s v="Reg. Service Revenue"/>
    <s v="Reg. Service Revenue"/>
    <s v="dross"/>
  </r>
  <r>
    <s v="245-4010-10"/>
    <d v="2019-06-18T00:00:00"/>
    <x v="5"/>
    <s v="4235 Collection Charge Comm &lt;50 kw"/>
    <s v=""/>
    <s v="EC0031341"/>
    <n v="0"/>
    <n v="120"/>
    <n v="-120"/>
    <s v=""/>
    <n v="1101684"/>
    <s v=""/>
    <s v="4010"/>
    <s v=""/>
    <s v="GL IMPORT"/>
    <s v=""/>
    <d v="2019-06-19T00:00:00"/>
    <s v="4235 Miscellaneous Service (Other Op. Revenues)"/>
    <s v=""/>
    <s v="Reg. Service Revenue"/>
    <s v="Reg. Service Revenue"/>
    <s v="dross"/>
  </r>
  <r>
    <s v="245-4015-10"/>
    <d v="2019-06-11T00:00:00"/>
    <x v="5"/>
    <s v="4235 Collection Charge Ind &gt; 50 - 200 KW"/>
    <s v=""/>
    <s v="EC0031321"/>
    <n v="0"/>
    <n v="120"/>
    <n v="-120"/>
    <s v=""/>
    <n v="1100091"/>
    <s v=""/>
    <s v="4015"/>
    <s v=""/>
    <s v="GL IMPORT"/>
    <s v=""/>
    <d v="2019-06-11T00:00:00"/>
    <s v="4235 Miscellaneous Service (Other Op. Revenues)"/>
    <s v=""/>
    <s v="Reg. Service Revenue"/>
    <s v="Reg. Service Revenue"/>
    <s v="dross"/>
  </r>
  <r>
    <s v="245-4015-10"/>
    <d v="2019-06-18T00:00:00"/>
    <x v="5"/>
    <s v="4235 Collection Charge Ind &gt; 50 - 200 KW"/>
    <s v=""/>
    <s v="EC0031341"/>
    <n v="0"/>
    <n v="270"/>
    <n v="-270"/>
    <s v=""/>
    <n v="1101684"/>
    <s v=""/>
    <s v="4015"/>
    <s v=""/>
    <s v="GL IMPORT"/>
    <s v=""/>
    <d v="2019-06-19T00:00:00"/>
    <s v="4235 Miscellaneous Service (Other Op. Revenues)"/>
    <s v=""/>
    <s v="Reg. Service Revenue"/>
    <s v="Reg. Service Revenue"/>
    <s v="dross"/>
  </r>
  <r>
    <s v="245-4020-10"/>
    <d v="2019-06-11T00:00:00"/>
    <x v="5"/>
    <s v="4235 Collection Charge Ind &gt; 200 - 1000 KW"/>
    <s v=""/>
    <s v="EC0031321"/>
    <n v="0"/>
    <n v="210"/>
    <n v="-210"/>
    <s v=""/>
    <n v="1100091"/>
    <s v=""/>
    <s v="4020"/>
    <s v=""/>
    <s v="GL IMPORT"/>
    <s v=""/>
    <d v="2019-06-11T00:00:00"/>
    <s v="4235 Miscellaneous Service (Other Op. Revenues)"/>
    <s v=""/>
    <s v="Reg. Service Revenue"/>
    <s v="Reg. Service Revenue"/>
    <s v="dross"/>
  </r>
  <r>
    <s v="245-4400-10"/>
    <d v="2019-06-11T00:00:00"/>
    <x v="5"/>
    <s v="4235 Collection Charge - Unmetered"/>
    <s v=""/>
    <s v="EC0031321"/>
    <n v="0"/>
    <n v="30"/>
    <n v="-30"/>
    <s v=""/>
    <n v="1100091"/>
    <s v=""/>
    <s v="4400"/>
    <s v=""/>
    <s v="GL IMPORT"/>
    <s v=""/>
    <d v="2019-06-11T00:00:00"/>
    <s v="4235 Miscellaneous Service (Other Op. Revenues)"/>
    <s v=""/>
    <s v="Reg. Service Revenue"/>
    <s v="Reg. Service Revenue"/>
    <s v="dross"/>
  </r>
  <r>
    <s v="245-4000-10"/>
    <d v="2019-07-08T00:00:00"/>
    <x v="6"/>
    <s v="4235 Collection Charge Residential"/>
    <s v=""/>
    <s v="EC0031374"/>
    <n v="0"/>
    <n v="690"/>
    <n v="-690"/>
    <s v=""/>
    <n v="1104407"/>
    <s v=""/>
    <s v="4000"/>
    <s v=""/>
    <s v="GL IMPORT"/>
    <s v=""/>
    <d v="2019-07-09T00:00:00"/>
    <s v="4235 Miscellaneous Service (Other Op. Revenues)"/>
    <s v=""/>
    <s v="Reg. Service Revenue"/>
    <s v="Reg. Service Revenue"/>
    <s v="dross"/>
  </r>
  <r>
    <s v="245-4010-10"/>
    <d v="2019-07-08T00:00:00"/>
    <x v="6"/>
    <s v="4235 Collection Charge Comm &lt;50 kw"/>
    <s v=""/>
    <s v="EC0031374"/>
    <n v="0"/>
    <n v="3510"/>
    <n v="-3510"/>
    <s v=""/>
    <n v="1104407"/>
    <s v=""/>
    <s v="4010"/>
    <s v=""/>
    <s v="GL IMPORT"/>
    <s v=""/>
    <d v="2019-07-09T00:00:00"/>
    <s v="4235 Miscellaneous Service (Other Op. Revenues)"/>
    <s v=""/>
    <s v="Reg. Service Revenue"/>
    <s v="Reg. Service Revenue"/>
    <s v="dross"/>
  </r>
  <r>
    <s v="245-4010-10"/>
    <d v="2019-07-10T00:00:00"/>
    <x v="6"/>
    <s v="4235 Collection Charge Comm &lt;50 kw"/>
    <s v=""/>
    <s v="EC0031382"/>
    <n v="0"/>
    <n v="360"/>
    <n v="-360"/>
    <s v=""/>
    <n v="1104723"/>
    <s v=""/>
    <s v="4010"/>
    <s v=""/>
    <s v="GL IMPORT"/>
    <s v=""/>
    <d v="2019-07-11T00:00:00"/>
    <s v="4235 Miscellaneous Service (Other Op. Revenues)"/>
    <s v=""/>
    <s v="Reg. Service Revenue"/>
    <s v="Reg. Service Revenue"/>
    <s v="dross"/>
  </r>
  <r>
    <s v="245-4010-10"/>
    <d v="2019-07-22T00:00:00"/>
    <x v="6"/>
    <s v="4235 Collection Charge Comm &lt;50 kw"/>
    <s v=""/>
    <s v="EC0031429"/>
    <n v="0"/>
    <n v="390"/>
    <n v="-390"/>
    <s v=""/>
    <n v="1107140"/>
    <s v=""/>
    <s v="4010"/>
    <s v=""/>
    <s v="GL IMPORT"/>
    <s v=""/>
    <d v="2019-07-23T00:00:00"/>
    <s v="4235 Miscellaneous Service (Other Op. Revenues)"/>
    <s v=""/>
    <s v="Reg. Service Revenue"/>
    <s v="Reg. Service Revenue"/>
    <s v="dross"/>
  </r>
  <r>
    <s v="245-4020-10"/>
    <d v="2019-07-08T00:00:00"/>
    <x v="6"/>
    <s v="4235 Collection Charge Ind &gt; 200 - 1000 KW"/>
    <s v=""/>
    <s v="EC0031374"/>
    <n v="0"/>
    <n v="30"/>
    <n v="-30"/>
    <s v=""/>
    <n v="1104407"/>
    <s v=""/>
    <s v="4020"/>
    <s v=""/>
    <s v="GL IMPORT"/>
    <s v=""/>
    <d v="2019-07-09T00:00:00"/>
    <s v="4235 Miscellaneous Service (Other Op. Revenues)"/>
    <s v=""/>
    <s v="Reg. Service Revenue"/>
    <s v="Reg. Service Revenue"/>
    <s v="dross"/>
  </r>
  <r>
    <s v="245-4010-10"/>
    <d v="2019-08-20T00:00:00"/>
    <x v="7"/>
    <s v="4235 Collection Charge Comm &lt;50 kw"/>
    <s v=""/>
    <s v="EC0031520"/>
    <n v="60"/>
    <n v="0"/>
    <n v="60"/>
    <s v=""/>
    <n v="1111985"/>
    <s v=""/>
    <s v="4010"/>
    <s v=""/>
    <s v="GL IMPORT"/>
    <s v=""/>
    <d v="2019-08-21T00:00:00"/>
    <s v="4235 Miscellaneous Service (Other Op. Revenues)"/>
    <s v=""/>
    <s v="Reg. Service Revenue"/>
    <s v="Reg. Service Revenue"/>
    <s v="dross"/>
  </r>
  <r>
    <s v="245-4010-10"/>
    <d v="2019-08-08T00:00:00"/>
    <x v="7"/>
    <s v="4235 Collection Charge Comm &lt;50 kw"/>
    <s v=""/>
    <s v="EC0031482"/>
    <n v="0"/>
    <n v="3240"/>
    <n v="-3240"/>
    <s v=""/>
    <n v="1110159"/>
    <s v=""/>
    <s v="4010"/>
    <s v=""/>
    <s v="GL IMPORT"/>
    <s v=""/>
    <d v="2019-08-09T00:00:00"/>
    <s v="4235 Miscellaneous Service (Other Op. Revenues)"/>
    <s v=""/>
    <s v="Reg. Service Revenue"/>
    <s v="Reg. Service Revenue"/>
    <s v="dross"/>
  </r>
  <r>
    <s v="245-4015-10"/>
    <d v="2019-08-08T00:00:00"/>
    <x v="7"/>
    <s v="4235 Collection Charge Ind &gt; 50 - 200 KW"/>
    <s v=""/>
    <s v="EC0031482"/>
    <n v="0"/>
    <n v="150"/>
    <n v="-150"/>
    <s v=""/>
    <n v="1110159"/>
    <s v=""/>
    <s v="4015"/>
    <s v=""/>
    <s v="GL IMPORT"/>
    <s v=""/>
    <d v="2019-08-09T00:00:00"/>
    <s v="4235 Miscellaneous Service (Other Op. Revenues)"/>
    <s v=""/>
    <s v="Reg. Service Revenue"/>
    <s v="Reg. Service Revenue"/>
    <s v="dross"/>
  </r>
  <r>
    <s v="245-4015-10"/>
    <d v="2019-08-23T00:00:00"/>
    <x v="7"/>
    <s v="4235 Collection Charge Ind &gt; 50 - 200 KW"/>
    <s v=""/>
    <s v="EC0031533"/>
    <n v="30"/>
    <n v="0"/>
    <n v="30"/>
    <s v=""/>
    <n v="1112986"/>
    <s v=""/>
    <s v="4015"/>
    <s v=""/>
    <s v="GL IMPORT"/>
    <s v=""/>
    <d v="2019-08-27T00:00:00"/>
    <s v="4235 Miscellaneous Service (Other Op. Revenues)"/>
    <s v=""/>
    <s v="Reg. Service Revenue"/>
    <s v="Reg. Service Revenue"/>
    <s v="dross"/>
  </r>
  <r>
    <s v="245-4020-10"/>
    <d v="2019-08-08T00:00:00"/>
    <x v="7"/>
    <s v="4235 Collection Charge Ind &gt; 200 - 1000 KW"/>
    <s v=""/>
    <s v="EC0031482"/>
    <n v="0"/>
    <n v="120"/>
    <n v="-120"/>
    <s v=""/>
    <n v="1110159"/>
    <s v=""/>
    <s v="4020"/>
    <s v=""/>
    <s v="GL IMPORT"/>
    <s v=""/>
    <d v="2019-08-09T00:00:00"/>
    <s v="4235 Miscellaneous Service (Other Op. Revenues)"/>
    <s v=""/>
    <s v="Reg. Service Revenue"/>
    <s v="Reg. Service Revenue"/>
    <s v="dross"/>
  </r>
  <r>
    <s v="245-4400-10"/>
    <d v="2019-08-08T00:00:00"/>
    <x v="7"/>
    <s v="4235 Collection Charge - Unmetered"/>
    <s v=""/>
    <s v="EC0031482"/>
    <n v="0"/>
    <n v="30"/>
    <n v="-30"/>
    <s v=""/>
    <n v="1110159"/>
    <s v=""/>
    <s v="4400"/>
    <s v=""/>
    <s v="GL IMPORT"/>
    <s v=""/>
    <d v="2019-08-09T00:00:00"/>
    <s v="4235 Miscellaneous Service (Other Op. Revenues)"/>
    <s v=""/>
    <s v="Reg. Service Revenue"/>
    <s v="Reg. Service Revenue"/>
    <s v="dross"/>
  </r>
  <r>
    <s v="245-4010-10"/>
    <d v="2019-09-11T00:00:00"/>
    <x v="8"/>
    <s v="4235 Collection Charge Comm &lt;50 kw"/>
    <s v=""/>
    <s v="EC0031628"/>
    <n v="1170"/>
    <n v="0"/>
    <n v="1170"/>
    <s v=""/>
    <n v="29961"/>
    <s v=""/>
    <s v="4010"/>
    <s v=""/>
    <s v="GL IMPORT"/>
    <s v=""/>
    <d v="2019-09-12T00:00:00"/>
    <s v="4235 Miscellaneous Service (Other Op. Revenues)"/>
    <s v=""/>
    <s v="Reg. Service Revenue"/>
    <s v="Reg. Service Revenue"/>
    <s v="dross"/>
  </r>
  <r>
    <s v="245-4010-10"/>
    <d v="2019-09-11T00:00:00"/>
    <x v="8"/>
    <s v="4235 Collection Charge Comm &lt;50 kw"/>
    <s v=""/>
    <s v="EC0031629"/>
    <n v="300"/>
    <n v="0"/>
    <n v="300"/>
    <s v=""/>
    <n v="29962"/>
    <s v=""/>
    <s v="4010"/>
    <s v=""/>
    <s v="GL IMPORT"/>
    <s v=""/>
    <d v="2019-09-12T00:00:00"/>
    <s v="4235 Miscellaneous Service (Other Op. Revenues)"/>
    <s v=""/>
    <s v="Reg. Service Revenue"/>
    <s v="Reg. Service Revenue"/>
    <s v="dross"/>
  </r>
  <r>
    <s v="245-4010-10"/>
    <d v="2019-09-12T00:00:00"/>
    <x v="8"/>
    <s v="4235 Collection Charge Comm &lt;50 kw"/>
    <s v=""/>
    <s v="EC0031637"/>
    <n v="0"/>
    <n v="60"/>
    <n v="-60"/>
    <s v=""/>
    <n v="30113"/>
    <s v=""/>
    <s v="4010"/>
    <s v=""/>
    <s v="GL IMPORT"/>
    <s v=""/>
    <d v="2019-09-13T00:00:00"/>
    <s v="4235 Miscellaneous Service (Other Op. Revenues)"/>
    <s v=""/>
    <s v="Reg. Service Revenue"/>
    <s v="Reg. Service Revenue"/>
    <s v="dross"/>
  </r>
  <r>
    <s v="245-4010-10"/>
    <d v="2019-09-12T00:00:00"/>
    <x v="8"/>
    <s v="4235 Collection Charge Comm &lt;50 kw"/>
    <s v=""/>
    <s v="EC0031636"/>
    <n v="390"/>
    <n v="0"/>
    <n v="390"/>
    <s v=""/>
    <n v="30112"/>
    <s v=""/>
    <s v="4010"/>
    <s v=""/>
    <s v="GL IMPORT"/>
    <s v=""/>
    <d v="2019-09-13T00:00:00"/>
    <s v="4235 Miscellaneous Service (Other Op. Revenues)"/>
    <s v=""/>
    <s v="Reg. Service Revenue"/>
    <s v="Reg. Service Revenue"/>
    <s v="dross"/>
  </r>
  <r>
    <s v="245-4010-10"/>
    <d v="2019-09-13T00:00:00"/>
    <x v="8"/>
    <s v="4235 Collection Charge Comm &lt;50 kw"/>
    <s v=""/>
    <s v="EC0031641"/>
    <n v="3000"/>
    <n v="0"/>
    <n v="3000"/>
    <s v=""/>
    <n v="30141"/>
    <s v=""/>
    <s v="4010"/>
    <s v=""/>
    <s v="GL IMPORT"/>
    <s v=""/>
    <d v="2019-09-16T00:00:00"/>
    <s v="4235 Miscellaneous Service (Other Op. Revenues)"/>
    <s v=""/>
    <s v="Reg. Service Revenue"/>
    <s v="Reg. Service Revenue"/>
    <s v="dross"/>
  </r>
  <r>
    <s v="245-4010-10"/>
    <d v="2019-09-13T00:00:00"/>
    <x v="8"/>
    <s v="4235 Collection Charge Comm &lt;50 kw"/>
    <s v=""/>
    <s v="EC0031650"/>
    <n v="3090"/>
    <n v="0"/>
    <n v="3090"/>
    <s v=""/>
    <n v="30150"/>
    <s v=""/>
    <s v="4010"/>
    <s v=""/>
    <s v="GL IMPORT"/>
    <s v=""/>
    <d v="2019-09-16T00:00:00"/>
    <s v="4235 Miscellaneous Service (Other Op. Revenues)"/>
    <s v=""/>
    <s v="Reg. Service Revenue"/>
    <s v="Reg. Service Revenue"/>
    <s v="dross"/>
  </r>
  <r>
    <s v="245-4010-10"/>
    <d v="2019-09-18T00:00:00"/>
    <x v="8"/>
    <s v="4235 Collection Charge Comm &lt;50 kw"/>
    <s v=""/>
    <s v="EC0031674"/>
    <n v="0"/>
    <n v="60"/>
    <n v="-60"/>
    <s v=""/>
    <n v="30855"/>
    <s v=""/>
    <s v="4010"/>
    <s v=""/>
    <s v="GL IMPORT"/>
    <s v=""/>
    <d v="2019-09-19T00:00:00"/>
    <s v="4235 Miscellaneous Service (Other Op. Revenues)"/>
    <s v=""/>
    <s v="Reg. Service Revenue"/>
    <s v="Reg. Service Revenue"/>
    <s v="dross"/>
  </r>
  <r>
    <s v="245-4010-10"/>
    <d v="2019-09-18T00:00:00"/>
    <x v="8"/>
    <s v="4235 Collection Charge Comm &lt;50 kw"/>
    <s v=""/>
    <s v="EC0031673"/>
    <n v="0"/>
    <n v="270"/>
    <n v="-270"/>
    <s v=""/>
    <n v="30854"/>
    <s v=""/>
    <s v="4010"/>
    <s v=""/>
    <s v="GL IMPORT"/>
    <s v=""/>
    <d v="2019-09-19T00:00:00"/>
    <s v="4235 Miscellaneous Service (Other Op. Revenues)"/>
    <s v=""/>
    <s v="Reg. Service Revenue"/>
    <s v="Reg. Service Revenue"/>
    <s v="dross"/>
  </r>
  <r>
    <s v="245-4010-10"/>
    <d v="2019-09-06T00:00:00"/>
    <x v="8"/>
    <s v="4235 Collection Charge Comm &lt;50 kw"/>
    <s v=""/>
    <s v="EC0031599"/>
    <n v="0"/>
    <n v="4020"/>
    <n v="-4020"/>
    <s v=""/>
    <n v="29664"/>
    <s v=""/>
    <s v="4010"/>
    <s v=""/>
    <s v="GL IMPORT"/>
    <s v=""/>
    <d v="2019-09-11T00:00:00"/>
    <s v="4235 Miscellaneous Service (Other Op. Revenues)"/>
    <s v=""/>
    <s v="Reg. Service Revenue"/>
    <s v="Reg. Service Revenue"/>
    <s v="dross"/>
  </r>
  <r>
    <s v="245-4010-10"/>
    <d v="2019-09-11T00:00:00"/>
    <x v="8"/>
    <s v="4235 Collection Charge Comm &lt;50 kw"/>
    <s v=""/>
    <s v="EC0031629"/>
    <n v="0"/>
    <n v="90"/>
    <n v="-90"/>
    <s v=""/>
    <n v="29962"/>
    <s v=""/>
    <s v="4010"/>
    <s v=""/>
    <s v="GL IMPORT"/>
    <s v=""/>
    <d v="2019-09-12T00:00:00"/>
    <s v="4235 Miscellaneous Service (Other Op. Revenues)"/>
    <s v=""/>
    <s v="Reg. Service Revenue"/>
    <s v="Reg. Service Revenue"/>
    <s v="dross"/>
  </r>
  <r>
    <s v="245-4015-10"/>
    <d v="2019-09-06T00:00:00"/>
    <x v="8"/>
    <s v="4235 Collection Charge Ind &gt; 50 - 200 KW"/>
    <s v=""/>
    <s v="EC0031599"/>
    <n v="0"/>
    <n v="30"/>
    <n v="-30"/>
    <s v=""/>
    <n v="29664"/>
    <s v=""/>
    <s v="4015"/>
    <s v=""/>
    <s v="GL IMPORT"/>
    <s v=""/>
    <d v="2019-09-11T00:00:00"/>
    <s v="4235 Miscellaneous Service (Other Op. Revenues)"/>
    <s v=""/>
    <s v="Reg. Service Revenue"/>
    <s v="Reg. Service Revenue"/>
    <s v="dross"/>
  </r>
  <r>
    <s v="245-4015-10"/>
    <d v="2019-09-13T00:00:00"/>
    <x v="8"/>
    <s v="4235 Collection Charge Ind &gt; 50 - 200 KW"/>
    <s v=""/>
    <s v="EC0031650"/>
    <n v="30"/>
    <n v="0"/>
    <n v="30"/>
    <s v=""/>
    <n v="30150"/>
    <s v=""/>
    <s v="4015"/>
    <s v=""/>
    <s v="GL IMPORT"/>
    <s v=""/>
    <d v="2019-09-16T00:00:00"/>
    <s v="4235 Miscellaneous Service (Other Op. Revenues)"/>
    <s v=""/>
    <s v="Reg. Service Revenue"/>
    <s v="Reg. Service Revenue"/>
    <s v="dross"/>
  </r>
  <r>
    <s v="245-4015-10"/>
    <d v="2019-09-13T00:00:00"/>
    <x v="8"/>
    <s v="4235 Collection Charge Ind &gt; 50 - 200 KW"/>
    <s v=""/>
    <s v="EC0031641"/>
    <n v="120"/>
    <n v="0"/>
    <n v="120"/>
    <s v=""/>
    <n v="30141"/>
    <s v=""/>
    <s v="4015"/>
    <s v=""/>
    <s v="GL IMPORT"/>
    <s v=""/>
    <d v="2019-09-16T00:00:00"/>
    <s v="4235 Miscellaneous Service (Other Op. Revenues)"/>
    <s v=""/>
    <s v="Reg. Service Revenue"/>
    <s v="Reg. Service Revenue"/>
    <s v="dross"/>
  </r>
  <r>
    <s v="245-4020-10"/>
    <d v="2019-09-06T00:00:00"/>
    <x v="8"/>
    <s v="4235 Collection Charge Ind &gt; 200 - 1000 KW"/>
    <s v=""/>
    <s v="EC0031599"/>
    <n v="0"/>
    <n v="120"/>
    <n v="-120"/>
    <s v=""/>
    <n v="29664"/>
    <s v=""/>
    <s v="4020"/>
    <s v=""/>
    <s v="GL IMPORT"/>
    <s v=""/>
    <d v="2019-09-11T00:00:00"/>
    <s v="4235 Miscellaneous Service (Other Op. Revenues)"/>
    <s v=""/>
    <s v="Reg. Service Revenue"/>
    <s v="Reg. Service Revenue"/>
    <s v="dross"/>
  </r>
  <r>
    <s v="245-4020-10"/>
    <d v="2019-09-11T00:00:00"/>
    <x v="8"/>
    <s v="4235 Collection Charge Ind &gt; 200 - 1000 KW"/>
    <s v=""/>
    <s v="EC0031628"/>
    <n v="30"/>
    <n v="0"/>
    <n v="30"/>
    <s v=""/>
    <n v="29961"/>
    <s v=""/>
    <s v="4020"/>
    <s v=""/>
    <s v="GL IMPORT"/>
    <s v=""/>
    <d v="2019-09-12T00:00:00"/>
    <s v="4235 Miscellaneous Service (Other Op. Revenues)"/>
    <s v=""/>
    <s v="Reg. Service Revenue"/>
    <s v="Reg. Service Revenue"/>
    <s v="dross"/>
  </r>
  <r>
    <s v="245-4020-10"/>
    <d v="2019-09-12T00:00:00"/>
    <x v="8"/>
    <s v="4235 Collection Charge Ind &gt; 200 - 1000 KW"/>
    <s v=""/>
    <s v="EC0031636"/>
    <n v="30"/>
    <n v="0"/>
    <n v="30"/>
    <s v=""/>
    <n v="30112"/>
    <s v=""/>
    <s v="4020"/>
    <s v=""/>
    <s v="GL IMPORT"/>
    <s v=""/>
    <d v="2019-09-13T00:00:00"/>
    <s v="4235 Miscellaneous Service (Other Op. Revenues)"/>
    <s v=""/>
    <s v="Reg. Service Revenue"/>
    <s v="Reg. Service Revenue"/>
    <s v="dross"/>
  </r>
  <r>
    <s v="245-4020-10"/>
    <d v="2019-09-13T00:00:00"/>
    <x v="8"/>
    <s v="4235 Collection Charge Ind &gt; 200 - 1000 KW"/>
    <s v=""/>
    <s v="EC0031650"/>
    <n v="60"/>
    <n v="0"/>
    <n v="60"/>
    <s v=""/>
    <n v="30150"/>
    <s v=""/>
    <s v="4020"/>
    <s v=""/>
    <s v="GL IMPORT"/>
    <s v=""/>
    <d v="2019-09-16T00:00:00"/>
    <s v="4235 Miscellaneous Service (Other Op. Revenues)"/>
    <s v=""/>
    <s v="Reg. Service Revenue"/>
    <s v="Reg. Service Revenue"/>
    <s v="dross"/>
  </r>
  <r>
    <s v="245-4020-10"/>
    <d v="2019-09-13T00:00:00"/>
    <x v="8"/>
    <s v="4235 Collection Charge Ind &gt; 200 - 1000 KW"/>
    <s v=""/>
    <s v="EC0031641"/>
    <n v="120"/>
    <n v="0"/>
    <n v="120"/>
    <s v=""/>
    <n v="30141"/>
    <s v=""/>
    <s v="4020"/>
    <s v=""/>
    <s v="GL IMPORT"/>
    <s v=""/>
    <d v="2019-09-16T00:00:00"/>
    <s v="4235 Miscellaneous Service (Other Op. Revenues)"/>
    <s v=""/>
    <s v="Reg. Service Revenue"/>
    <s v="Reg. Service Revenue"/>
    <s v="dross"/>
  </r>
  <r>
    <s v="245-4400-10"/>
    <d v="2019-09-06T00:00:00"/>
    <x v="8"/>
    <s v="4235 Collection Charge - Unmetered"/>
    <s v=""/>
    <s v="EC0031599"/>
    <n v="0"/>
    <n v="30"/>
    <n v="-30"/>
    <s v=""/>
    <n v="29664"/>
    <s v=""/>
    <s v="4400"/>
    <s v=""/>
    <s v="GL IMPORT"/>
    <s v=""/>
    <d v="2019-09-11T00:00:00"/>
    <s v="4235 Miscellaneous Service (Other Op. Revenues)"/>
    <s v=""/>
    <s v="Reg. Service Revenue"/>
    <s v="Reg. Service Revenue"/>
    <s v="dross"/>
  </r>
  <r>
    <s v="245-4400-10"/>
    <d v="2019-09-13T00:00:00"/>
    <x v="8"/>
    <s v="4235 Collection Charge - Unmetered"/>
    <s v=""/>
    <s v="EC0031641"/>
    <n v="30"/>
    <n v="0"/>
    <n v="30"/>
    <s v=""/>
    <n v="30141"/>
    <s v=""/>
    <s v="4400"/>
    <s v=""/>
    <s v="GL IMPORT"/>
    <s v=""/>
    <d v="2019-09-16T00:00:00"/>
    <s v="4235 Miscellaneous Service (Other Op. Revenues)"/>
    <s v=""/>
    <s v="Reg. Service Revenue"/>
    <s v="Reg. Service Revenue"/>
    <s v="dross"/>
  </r>
  <r>
    <s v="245-4400-10"/>
    <d v="2019-09-13T00:00:00"/>
    <x v="8"/>
    <s v="4235 Collection Charge - Unmetered"/>
    <s v=""/>
    <s v="EC0031650"/>
    <n v="30"/>
    <n v="0"/>
    <n v="30"/>
    <s v=""/>
    <n v="30150"/>
    <s v=""/>
    <s v="4400"/>
    <s v=""/>
    <s v="GL IMPORT"/>
    <s v=""/>
    <d v="2019-09-16T00:00:00"/>
    <s v="4235 Miscellaneous Service (Other Op. Revenues)"/>
    <s v=""/>
    <s v="Reg. Service Revenue"/>
    <s v="Reg. Service Revenue"/>
    <s v="dross"/>
  </r>
  <r>
    <s v="245-4000-10"/>
    <d v="2019-11-08T00:00:00"/>
    <x v="9"/>
    <s v="4235 Collection Charge Residential"/>
    <s v=""/>
    <s v="EC0031882"/>
    <n v="120"/>
    <n v="0"/>
    <n v="120"/>
    <s v=""/>
    <n v="1120640"/>
    <s v=""/>
    <s v="4000"/>
    <s v=""/>
    <s v="GL IMPORT"/>
    <s v=""/>
    <d v="2019-11-11T00:00:00"/>
    <s v="4235 Miscellaneous Service (Other Op. Revenues)"/>
    <s v=""/>
    <s v="Reg. Service Revenue"/>
    <s v="Reg. Service Revenue"/>
    <s v="dross"/>
  </r>
</pivotCacheRecords>
</file>

<file path=xl/pivotCache/pivotCacheRecords2.xml><?xml version="1.0" encoding="utf-8"?>
<pivotCacheRecords xmlns="http://schemas.openxmlformats.org/spreadsheetml/2006/main" xmlns:r="http://schemas.openxmlformats.org/officeDocument/2006/relationships" count="175">
  <r>
    <s v="247-4000-10"/>
    <d v="2019-02-18T00:00:00"/>
    <x v="0"/>
    <s v="4235 Reconnect Charge Residential"/>
    <s v=""/>
    <s v="BJ0021417"/>
    <n v="0"/>
    <n v="185"/>
    <n v="-185"/>
    <s v=""/>
    <n v="1082124"/>
    <s v=""/>
    <s v="4000"/>
    <s v=""/>
    <s v="GL IMPORT"/>
    <s v=""/>
    <d v="2019-02-19T00:00:00"/>
    <s v="4235 Miscellaneous Service (Other Op. Revenues)"/>
    <s v=""/>
    <s v="Reg. Service Revenue"/>
    <s v="Reg. Service Revenue"/>
    <s v="dross"/>
  </r>
  <r>
    <s v="247-4000-10"/>
    <d v="2019-05-24T00:00:00"/>
    <x v="1"/>
    <s v="4235 Reconnect Charge Residential"/>
    <s v=""/>
    <s v="BJ0021630"/>
    <n v="0"/>
    <n v="130"/>
    <n v="-130"/>
    <s v=""/>
    <n v="1097929"/>
    <s v=""/>
    <s v="4000"/>
    <s v=""/>
    <s v="GL IMPORT"/>
    <s v=""/>
    <d v="2019-05-27T00:00:00"/>
    <s v="4235 Miscellaneous Service (Other Op. Revenues)"/>
    <s v=""/>
    <s v="Reg. Service Revenue"/>
    <s v="Reg. Service Revenue"/>
    <s v="dross"/>
  </r>
  <r>
    <s v="247-4000-10"/>
    <d v="2019-06-04T00:00:00"/>
    <x v="2"/>
    <s v="4235 Reconnect Charge Residential"/>
    <s v=""/>
    <s v="BJ0021650"/>
    <n v="0"/>
    <n v="390"/>
    <n v="-390"/>
    <s v=""/>
    <n v="1099628"/>
    <s v=""/>
    <s v="4000"/>
    <s v=""/>
    <s v="GL IMPORT"/>
    <s v=""/>
    <d v="2019-06-05T00:00:00"/>
    <s v="4235 Miscellaneous Service (Other Op. Revenues)"/>
    <s v=""/>
    <s v="Reg. Service Revenue"/>
    <s v="Reg. Service Revenue"/>
    <s v="dross"/>
  </r>
  <r>
    <s v="247-4000-10"/>
    <d v="2019-06-05T00:00:00"/>
    <x v="2"/>
    <s v="4235 Reconnect Charge Residential"/>
    <s v=""/>
    <s v="BJ0021653"/>
    <n v="0"/>
    <n v="185"/>
    <n v="-185"/>
    <s v=""/>
    <n v="1099758"/>
    <s v=""/>
    <s v="4000"/>
    <s v=""/>
    <s v="GL IMPORT"/>
    <s v=""/>
    <d v="2019-06-06T00:00:00"/>
    <s v="4235 Miscellaneous Service (Other Op. Revenues)"/>
    <s v=""/>
    <s v="Reg. Service Revenue"/>
    <s v="Reg. Service Revenue"/>
    <s v="dross"/>
  </r>
  <r>
    <s v="247-4000-10"/>
    <d v="2019-06-05T00:00:00"/>
    <x v="2"/>
    <s v="4235 Reconnect Charge Residential"/>
    <s v=""/>
    <s v="BJ0021652"/>
    <n v="0"/>
    <n v="575"/>
    <n v="-575"/>
    <s v=""/>
    <n v="1099757"/>
    <s v=""/>
    <s v="4000"/>
    <s v=""/>
    <s v="GL IMPORT"/>
    <s v=""/>
    <d v="2019-06-06T00:00:00"/>
    <s v="4235 Miscellaneous Service (Other Op. Revenues)"/>
    <s v=""/>
    <s v="Reg. Service Revenue"/>
    <s v="Reg. Service Revenue"/>
    <s v="dross"/>
  </r>
  <r>
    <s v="247-4000-10"/>
    <d v="2019-06-05T00:00:00"/>
    <x v="2"/>
    <s v="4235 Reconnect Charge Residential"/>
    <s v=""/>
    <s v="BJ0021654"/>
    <n v="0"/>
    <n v="770"/>
    <n v="-770"/>
    <s v=""/>
    <n v="1099759"/>
    <s v=""/>
    <s v="4000"/>
    <s v=""/>
    <s v="GL IMPORT"/>
    <s v=""/>
    <d v="2019-06-06T00:00:00"/>
    <s v="4235 Miscellaneous Service (Other Op. Revenues)"/>
    <s v=""/>
    <s v="Reg. Service Revenue"/>
    <s v="Reg. Service Revenue"/>
    <s v="dross"/>
  </r>
  <r>
    <s v="247-4000-10"/>
    <d v="2019-06-05T00:00:00"/>
    <x v="2"/>
    <s v="4235 Reconnect Charge Residential"/>
    <s v=""/>
    <s v="BJ0021651"/>
    <n v="0"/>
    <n v="1150"/>
    <n v="-1150"/>
    <s v=""/>
    <n v="1099756"/>
    <s v=""/>
    <s v="4000"/>
    <s v=""/>
    <s v="GL IMPORT"/>
    <s v=""/>
    <d v="2019-06-06T00:00:00"/>
    <s v="4235 Miscellaneous Service (Other Op. Revenues)"/>
    <s v=""/>
    <s v="Reg. Service Revenue"/>
    <s v="Reg. Service Revenue"/>
    <s v="dross"/>
  </r>
  <r>
    <s v="247-4000-10"/>
    <d v="2019-06-06T00:00:00"/>
    <x v="2"/>
    <s v="4235 Reconnect Charge Residential"/>
    <s v=""/>
    <s v="BJ0021655"/>
    <n v="0"/>
    <n v="195"/>
    <n v="-195"/>
    <s v=""/>
    <n v="1099804"/>
    <s v=""/>
    <s v="4000"/>
    <s v=""/>
    <s v="GL IMPORT"/>
    <s v=""/>
    <d v="2019-06-07T00:00:00"/>
    <s v="4235 Miscellaneous Service (Other Op. Revenues)"/>
    <s v=""/>
    <s v="Reg. Service Revenue"/>
    <s v="Reg. Service Revenue"/>
    <s v="dross"/>
  </r>
  <r>
    <s v="247-4000-10"/>
    <d v="2019-06-10T00:00:00"/>
    <x v="2"/>
    <s v="4235 Reconnect Charge Residential"/>
    <s v=""/>
    <s v="BJ0021659"/>
    <n v="0"/>
    <n v="65"/>
    <n v="-65"/>
    <s v=""/>
    <n v="1100071"/>
    <s v=""/>
    <s v="4000"/>
    <s v=""/>
    <s v="GL IMPORT"/>
    <s v=""/>
    <d v="2019-06-11T00:00:00"/>
    <s v="4235 Miscellaneous Service (Other Op. Revenues)"/>
    <s v=""/>
    <s v="Reg. Service Revenue"/>
    <s v="Reg. Service Revenue"/>
    <s v="dross"/>
  </r>
  <r>
    <s v="247-4000-10"/>
    <d v="2019-06-10T00:00:00"/>
    <x v="2"/>
    <s v="4235 Reconnect Charge Residential"/>
    <s v=""/>
    <s v="BJ0021658"/>
    <n v="0"/>
    <n v="380"/>
    <n v="-380"/>
    <s v=""/>
    <n v="1100070"/>
    <s v=""/>
    <s v="4000"/>
    <s v=""/>
    <s v="GL IMPORT"/>
    <s v=""/>
    <d v="2019-06-11T00:00:00"/>
    <s v="4235 Miscellaneous Service (Other Op. Revenues)"/>
    <s v=""/>
    <s v="Reg. Service Revenue"/>
    <s v="Reg. Service Revenue"/>
    <s v="dross"/>
  </r>
  <r>
    <s v="247-4000-10"/>
    <d v="2019-06-12T00:00:00"/>
    <x v="2"/>
    <s v="4235 Reconnect Charge Residential"/>
    <s v=""/>
    <s v="BJ0021670"/>
    <n v="0"/>
    <n v="130"/>
    <n v="-130"/>
    <s v=""/>
    <n v="1100302"/>
    <s v=""/>
    <s v="4000"/>
    <s v=""/>
    <s v="GL IMPORT"/>
    <s v=""/>
    <d v="2019-06-13T00:00:00"/>
    <s v="4235 Miscellaneous Service (Other Op. Revenues)"/>
    <s v=""/>
    <s v="Reg. Service Revenue"/>
    <s v="Reg. Service Revenue"/>
    <s v="dross"/>
  </r>
  <r>
    <s v="247-4000-10"/>
    <d v="2019-06-07T00:00:00"/>
    <x v="2"/>
    <s v="4235 Reconnect Charge Residential"/>
    <s v=""/>
    <s v="BJ0021657"/>
    <n v="0"/>
    <n v="585"/>
    <n v="-585"/>
    <s v=""/>
    <n v="1099952"/>
    <s v=""/>
    <s v="4000"/>
    <s v=""/>
    <s v="GL IMPORT"/>
    <s v=""/>
    <d v="2019-06-10T00:00:00"/>
    <s v="4235 Miscellaneous Service (Other Op. Revenues)"/>
    <s v=""/>
    <s v="Reg. Service Revenue"/>
    <s v="Reg. Service Revenue"/>
    <s v="dross"/>
  </r>
  <r>
    <s v="247-4000-10"/>
    <d v="2019-06-04T00:00:00"/>
    <x v="2"/>
    <s v="4235 Reconnect Charge Residential"/>
    <s v=""/>
    <s v="BJ0021649"/>
    <n v="0"/>
    <n v="640"/>
    <n v="-640"/>
    <s v=""/>
    <n v="1099627"/>
    <s v=""/>
    <s v="4000"/>
    <s v=""/>
    <s v="GL IMPORT"/>
    <s v=""/>
    <d v="2019-06-05T00:00:00"/>
    <s v="4235 Miscellaneous Service (Other Op. Revenues)"/>
    <s v=""/>
    <s v="Reg. Service Revenue"/>
    <s v="Reg. Service Revenue"/>
    <s v="dross"/>
  </r>
  <r>
    <s v="247-4000-10"/>
    <d v="2019-06-04T00:00:00"/>
    <x v="2"/>
    <s v="4235 Reconnect Charge Residential"/>
    <s v=""/>
    <s v="BJ0021648"/>
    <n v="0"/>
    <n v="260"/>
    <n v="-260"/>
    <s v=""/>
    <n v="1099626"/>
    <s v=""/>
    <s v="4000"/>
    <s v=""/>
    <s v="GL IMPORT"/>
    <s v=""/>
    <d v="2019-06-05T00:00:00"/>
    <s v="4235 Miscellaneous Service (Other Op. Revenues)"/>
    <s v=""/>
    <s v="Reg. Service Revenue"/>
    <s v="Reg. Service Revenue"/>
    <s v="dross"/>
  </r>
  <r>
    <s v="247-4000-10"/>
    <d v="2019-06-03T00:00:00"/>
    <x v="2"/>
    <s v="4235 Reconnect Charge Residential"/>
    <s v=""/>
    <s v="BJ0021644"/>
    <n v="0"/>
    <n v="825"/>
    <n v="-825"/>
    <s v=""/>
    <n v="1099435"/>
    <s v=""/>
    <s v="4000"/>
    <s v=""/>
    <s v="GL IMPORT"/>
    <s v=""/>
    <d v="2019-06-04T00:00:00"/>
    <s v="4235 Miscellaneous Service (Other Op. Revenues)"/>
    <s v=""/>
    <s v="Reg. Service Revenue"/>
    <s v="Reg. Service Revenue"/>
    <s v="dross"/>
  </r>
  <r>
    <s v="247-4000-10"/>
    <d v="2019-06-03T00:00:00"/>
    <x v="2"/>
    <s v="4235 Reconnect Charge Residential"/>
    <s v=""/>
    <s v="BJ0021647"/>
    <n v="0"/>
    <n v="715"/>
    <n v="-715"/>
    <s v=""/>
    <n v="1099438"/>
    <s v=""/>
    <s v="4000"/>
    <s v=""/>
    <s v="GL IMPORT"/>
    <s v=""/>
    <d v="2019-06-04T00:00:00"/>
    <s v="4235 Miscellaneous Service (Other Op. Revenues)"/>
    <s v=""/>
    <s v="Reg. Service Revenue"/>
    <s v="Reg. Service Revenue"/>
    <s v="dross"/>
  </r>
  <r>
    <s v="247-4000-10"/>
    <d v="2019-06-03T00:00:00"/>
    <x v="2"/>
    <s v="4235 Reconnect Charge Residential"/>
    <s v=""/>
    <s v="BJ0021646"/>
    <n v="0"/>
    <n v="380"/>
    <n v="-380"/>
    <s v=""/>
    <n v="1099437"/>
    <s v=""/>
    <s v="4000"/>
    <s v=""/>
    <s v="GL IMPORT"/>
    <s v=""/>
    <d v="2019-06-04T00:00:00"/>
    <s v="4235 Miscellaneous Service (Other Op. Revenues)"/>
    <s v=""/>
    <s v="Reg. Service Revenue"/>
    <s v="Reg. Service Revenue"/>
    <s v="dross"/>
  </r>
  <r>
    <s v="247-4000-10"/>
    <d v="2019-06-03T00:00:00"/>
    <x v="2"/>
    <s v="4235 Reconnect Charge Residential"/>
    <s v=""/>
    <s v="BJ0021643"/>
    <n v="0"/>
    <n v="65"/>
    <n v="-65"/>
    <s v=""/>
    <n v="1099434"/>
    <s v=""/>
    <s v="4000"/>
    <s v=""/>
    <s v="GL IMPORT"/>
    <s v=""/>
    <d v="2019-06-04T00:00:00"/>
    <s v="4235 Miscellaneous Service (Other Op. Revenues)"/>
    <s v=""/>
    <s v="Reg. Service Revenue"/>
    <s v="Reg. Service Revenue"/>
    <s v="dross"/>
  </r>
  <r>
    <s v="247-4000-10"/>
    <d v="2019-05-29T00:00:00"/>
    <x v="1"/>
    <s v="4235 Reconnect Charge Residential"/>
    <s v=""/>
    <s v="BJ0021635"/>
    <n v="0"/>
    <n v="65"/>
    <n v="-65"/>
    <s v=""/>
    <n v="1098400"/>
    <s v=""/>
    <s v="4000"/>
    <s v=""/>
    <s v="GL IMPORT"/>
    <s v=""/>
    <d v="2019-05-30T00:00:00"/>
    <s v="4235 Miscellaneous Service (Other Op. Revenues)"/>
    <s v=""/>
    <s v="Reg. Service Revenue"/>
    <s v="Reg. Service Revenue"/>
    <s v="dross"/>
  </r>
  <r>
    <s v="247-4000-10"/>
    <d v="2019-02-27T00:00:00"/>
    <x v="0"/>
    <s v="4235 Reconnect Charge Residential"/>
    <s v=""/>
    <s v="BJ0021443"/>
    <n v="0"/>
    <n v="185"/>
    <n v="-185"/>
    <s v=""/>
    <n v="1084606"/>
    <s v=""/>
    <s v="4000"/>
    <s v=""/>
    <s v="GL IMPORT"/>
    <s v=""/>
    <d v="2019-02-28T00:00:00"/>
    <s v="4235 Miscellaneous Service (Other Op. Revenues)"/>
    <s v=""/>
    <s v="Reg. Service Revenue"/>
    <s v="Reg. Service Revenue"/>
    <s v="dross"/>
  </r>
  <r>
    <s v="247-4000-10"/>
    <d v="2019-06-20T00:00:00"/>
    <x v="2"/>
    <s v="4235 Reconnect Charge Residential"/>
    <s v=""/>
    <s v="BJ0021695"/>
    <n v="0"/>
    <n v="975"/>
    <n v="-975"/>
    <s v=""/>
    <n v="1102207"/>
    <s v=""/>
    <s v="4000"/>
    <s v=""/>
    <s v="GL IMPORT"/>
    <s v=""/>
    <d v="2019-06-24T00:00:00"/>
    <s v="4235 Miscellaneous Service (Other Op. Revenues)"/>
    <s v=""/>
    <s v="Reg. Service Revenue"/>
    <s v="Reg. Service Revenue"/>
    <s v="dross"/>
  </r>
  <r>
    <s v="247-4000-10"/>
    <d v="2019-06-20T00:00:00"/>
    <x v="2"/>
    <s v="4235 Reconnect Charge Residential"/>
    <s v=""/>
    <s v="BJ0021697"/>
    <n v="0"/>
    <n v="770"/>
    <n v="-770"/>
    <s v=""/>
    <n v="1102209"/>
    <s v=""/>
    <s v="4000"/>
    <s v=""/>
    <s v="GL IMPORT"/>
    <s v=""/>
    <d v="2019-06-24T00:00:00"/>
    <s v="4235 Miscellaneous Service (Other Op. Revenues)"/>
    <s v=""/>
    <s v="Reg. Service Revenue"/>
    <s v="Reg. Service Revenue"/>
    <s v="dross"/>
  </r>
  <r>
    <s v="247-4000-10"/>
    <d v="2019-06-20T00:00:00"/>
    <x v="2"/>
    <s v="4235 Reconnect Charge Residential"/>
    <s v=""/>
    <s v="BJ0021696"/>
    <n v="0"/>
    <n v="760"/>
    <n v="-760"/>
    <s v=""/>
    <n v="1102208"/>
    <s v=""/>
    <s v="4000"/>
    <s v=""/>
    <s v="GL IMPORT"/>
    <s v=""/>
    <d v="2019-06-24T00:00:00"/>
    <s v="4235 Miscellaneous Service (Other Op. Revenues)"/>
    <s v=""/>
    <s v="Reg. Service Revenue"/>
    <s v="Reg. Service Revenue"/>
    <s v="dross"/>
  </r>
  <r>
    <s v="247-4000-10"/>
    <d v="2019-06-20T00:00:00"/>
    <x v="2"/>
    <s v="4235 Reconnect Charge Residential"/>
    <s v=""/>
    <s v="BJ0021693"/>
    <n v="0"/>
    <n v="260"/>
    <n v="-260"/>
    <s v=""/>
    <n v="1102205"/>
    <s v=""/>
    <s v="4000"/>
    <s v=""/>
    <s v="GL IMPORT"/>
    <s v=""/>
    <d v="2019-06-24T00:00:00"/>
    <s v="4235 Miscellaneous Service (Other Op. Revenues)"/>
    <s v=""/>
    <s v="Reg. Service Revenue"/>
    <s v="Reg. Service Revenue"/>
    <s v="dross"/>
  </r>
  <r>
    <s v="247-4000-10"/>
    <d v="2019-06-20T00:00:00"/>
    <x v="2"/>
    <s v="4235 Reconnect Charge Residential"/>
    <s v=""/>
    <s v="BJ0021694"/>
    <n v="0"/>
    <n v="195"/>
    <n v="-195"/>
    <s v=""/>
    <n v="1102206"/>
    <s v=""/>
    <s v="4000"/>
    <s v=""/>
    <s v="GL IMPORT"/>
    <s v=""/>
    <d v="2019-06-24T00:00:00"/>
    <s v="4235 Miscellaneous Service (Other Op. Revenues)"/>
    <s v=""/>
    <s v="Reg. Service Revenue"/>
    <s v="Reg. Service Revenue"/>
    <s v="dross"/>
  </r>
  <r>
    <s v="247-4000-10"/>
    <d v="2019-06-28T00:00:00"/>
    <x v="2"/>
    <s v="4235 Reconnect Charge Residential"/>
    <s v=""/>
    <s v="BJ0021706"/>
    <n v="0"/>
    <n v="65"/>
    <n v="-65"/>
    <s v=""/>
    <n v="1102999"/>
    <s v=""/>
    <s v="4000"/>
    <s v=""/>
    <s v="GL IMPORT"/>
    <s v=""/>
    <d v="2019-06-28T00:00:00"/>
    <s v="4235 Miscellaneous Service (Other Op. Revenues)"/>
    <s v=""/>
    <s v="Reg. Service Revenue"/>
    <s v="Reg. Service Revenue"/>
    <s v="dross"/>
  </r>
  <r>
    <s v="247-4000-10"/>
    <d v="2019-07-05T00:00:00"/>
    <x v="3"/>
    <s v="4235 Reconnect Charge Residential"/>
    <s v=""/>
    <s v="BJ0021712"/>
    <n v="0"/>
    <n v="520"/>
    <n v="-520"/>
    <s v=""/>
    <n v="1104223"/>
    <s v=""/>
    <s v="4000"/>
    <s v=""/>
    <s v="GL IMPORT"/>
    <s v=""/>
    <d v="2019-07-05T00:00:00"/>
    <s v="4235 Miscellaneous Service (Other Op. Revenues)"/>
    <s v=""/>
    <s v="Reg. Service Revenue"/>
    <s v="Reg. Service Revenue"/>
    <s v="dross"/>
  </r>
  <r>
    <s v="247-4000-10"/>
    <d v="2019-07-05T00:00:00"/>
    <x v="3"/>
    <s v="4235 Reconnect Charge Residential"/>
    <s v=""/>
    <s v="BJ0021711"/>
    <n v="0"/>
    <n v="890"/>
    <n v="-890"/>
    <s v=""/>
    <n v="1104222"/>
    <s v=""/>
    <s v="4000"/>
    <s v=""/>
    <s v="GL IMPORT"/>
    <s v=""/>
    <d v="2019-07-05T00:00:00"/>
    <s v="4235 Miscellaneous Service (Other Op. Revenues)"/>
    <s v=""/>
    <s v="Reg. Service Revenue"/>
    <s v="Reg. Service Revenue"/>
    <s v="dross"/>
  </r>
  <r>
    <s v="247-4000-10"/>
    <d v="2019-07-05T00:00:00"/>
    <x v="3"/>
    <s v="4235 Reconnect Charge Residential"/>
    <s v=""/>
    <s v="BJ0021710"/>
    <n v="0"/>
    <n v="1325"/>
    <n v="-1325"/>
    <s v=""/>
    <n v="1104221"/>
    <s v=""/>
    <s v="4000"/>
    <s v=""/>
    <s v="GL IMPORT"/>
    <s v=""/>
    <d v="2019-07-05T00:00:00"/>
    <s v="4235 Miscellaneous Service (Other Op. Revenues)"/>
    <s v=""/>
    <s v="Reg. Service Revenue"/>
    <s v="Reg. Service Revenue"/>
    <s v="dross"/>
  </r>
  <r>
    <s v="247-4000-10"/>
    <d v="2019-07-08T00:00:00"/>
    <x v="3"/>
    <s v="4235 Reconnect Charge Residential"/>
    <s v=""/>
    <s v="BJ0021714"/>
    <n v="0"/>
    <n v="325"/>
    <n v="-325"/>
    <s v=""/>
    <n v="1104393"/>
    <s v=""/>
    <s v="4000"/>
    <s v=""/>
    <s v="GL IMPORT"/>
    <s v=""/>
    <d v="2019-07-09T00:00:00"/>
    <s v="4235 Miscellaneous Service (Other Op. Revenues)"/>
    <s v=""/>
    <s v="Reg. Service Revenue"/>
    <s v="Reg. Service Revenue"/>
    <s v="dross"/>
  </r>
  <r>
    <s v="247-4000-10"/>
    <d v="2019-07-22T00:00:00"/>
    <x v="3"/>
    <s v="4235 Reconnect Charge Residential"/>
    <s v=""/>
    <s v="BJ0021748"/>
    <n v="0"/>
    <n v="630"/>
    <n v="-630"/>
    <s v=""/>
    <n v="1107100"/>
    <s v=""/>
    <s v="4000"/>
    <s v=""/>
    <s v="GL IMPORT"/>
    <s v=""/>
    <d v="2019-07-23T00:00:00"/>
    <s v="4235 Miscellaneous Service (Other Op. Revenues)"/>
    <s v=""/>
    <s v="Reg. Service Revenue"/>
    <s v="Reg. Service Revenue"/>
    <s v="dross"/>
  </r>
  <r>
    <s v="247-4000-10"/>
    <d v="2019-07-08T00:00:00"/>
    <x v="3"/>
    <s v="4235 Reconnect Charge Residential"/>
    <s v=""/>
    <s v="BJ0021715"/>
    <n v="0"/>
    <n v="325"/>
    <n v="-325"/>
    <s v=""/>
    <n v="1104394"/>
    <s v=""/>
    <s v="4000"/>
    <s v=""/>
    <s v="GL IMPORT"/>
    <s v=""/>
    <d v="2019-07-09T00:00:00"/>
    <s v="4235 Miscellaneous Service (Other Op. Revenues)"/>
    <s v=""/>
    <s v="Reg. Service Revenue"/>
    <s v="Reg. Service Revenue"/>
    <s v="dross"/>
  </r>
  <r>
    <s v="247-4000-10"/>
    <d v="2019-07-08T00:00:00"/>
    <x v="3"/>
    <s v="4235 Reconnect Charge Residential"/>
    <s v=""/>
    <s v="BJ0021717"/>
    <n v="0"/>
    <n v="780"/>
    <n v="-780"/>
    <s v=""/>
    <n v="1104396"/>
    <s v=""/>
    <s v="4000"/>
    <s v=""/>
    <s v="GL IMPORT"/>
    <s v=""/>
    <d v="2019-07-09T00:00:00"/>
    <s v="4235 Miscellaneous Service (Other Op. Revenues)"/>
    <s v=""/>
    <s v="Reg. Service Revenue"/>
    <s v="Reg. Service Revenue"/>
    <s v="dross"/>
  </r>
  <r>
    <s v="247-4000-10"/>
    <d v="2019-07-08T00:00:00"/>
    <x v="3"/>
    <s v="4235 Reconnect Charge Residential"/>
    <s v=""/>
    <s v="BJ0021716"/>
    <n v="0"/>
    <n v="1345"/>
    <n v="-1345"/>
    <s v=""/>
    <n v="1104395"/>
    <s v=""/>
    <s v="4000"/>
    <s v=""/>
    <s v="GL IMPORT"/>
    <s v=""/>
    <d v="2019-07-09T00:00:00"/>
    <s v="4235 Miscellaneous Service (Other Op. Revenues)"/>
    <s v=""/>
    <s v="Reg. Service Revenue"/>
    <s v="Reg. Service Revenue"/>
    <s v="dross"/>
  </r>
  <r>
    <s v="247-4000-10"/>
    <d v="2019-07-19T00:00:00"/>
    <x v="3"/>
    <s v="4235 Reconnect Charge Residential"/>
    <s v=""/>
    <s v="BJ0021743"/>
    <n v="0"/>
    <n v="65"/>
    <n v="-65"/>
    <s v=""/>
    <n v="1107095"/>
    <s v=""/>
    <s v="4000"/>
    <s v=""/>
    <s v="GL IMPORT"/>
    <s v=""/>
    <d v="2019-07-23T00:00:00"/>
    <s v="4235 Miscellaneous Service (Other Op. Revenues)"/>
    <s v=""/>
    <s v="Reg. Service Revenue"/>
    <s v="Reg. Service Revenue"/>
    <s v="dross"/>
  </r>
  <r>
    <s v="247-4000-10"/>
    <d v="2019-07-09T00:00:00"/>
    <x v="3"/>
    <s v="4235 Reconnect Charge Residential"/>
    <s v=""/>
    <s v="BJ0021723"/>
    <n v="0"/>
    <n v="455"/>
    <n v="-455"/>
    <s v=""/>
    <n v="1104683"/>
    <s v=""/>
    <s v="4000"/>
    <s v=""/>
    <s v="GL IMPORT"/>
    <s v=""/>
    <d v="2019-07-10T00:00:00"/>
    <s v="4235 Miscellaneous Service (Other Op. Revenues)"/>
    <s v=""/>
    <s v="Reg. Service Revenue"/>
    <s v="Reg. Service Revenue"/>
    <s v="dross"/>
  </r>
  <r>
    <s v="247-4000-10"/>
    <d v="2019-07-10T00:00:00"/>
    <x v="3"/>
    <s v="4235 Reconnect Charge Residential"/>
    <s v=""/>
    <s v="BJ0021725"/>
    <n v="0"/>
    <n v="455"/>
    <n v="-455"/>
    <s v=""/>
    <n v="1104703"/>
    <s v=""/>
    <s v="4000"/>
    <s v=""/>
    <s v="GL IMPORT"/>
    <s v=""/>
    <d v="2019-07-11T00:00:00"/>
    <s v="4235 Miscellaneous Service (Other Op. Revenues)"/>
    <s v=""/>
    <s v="Reg. Service Revenue"/>
    <s v="Reg. Service Revenue"/>
    <s v="dross"/>
  </r>
  <r>
    <s v="247-4000-10"/>
    <d v="2019-07-10T00:00:00"/>
    <x v="3"/>
    <s v="4235 Reconnect Charge Residential"/>
    <s v=""/>
    <s v="BJ0021726"/>
    <n v="0"/>
    <n v="835"/>
    <n v="-835"/>
    <s v=""/>
    <n v="1104704"/>
    <s v=""/>
    <s v="4000"/>
    <s v=""/>
    <s v="GL IMPORT"/>
    <s v=""/>
    <d v="2019-07-11T00:00:00"/>
    <s v="4235 Miscellaneous Service (Other Op. Revenues)"/>
    <s v=""/>
    <s v="Reg. Service Revenue"/>
    <s v="Reg. Service Revenue"/>
    <s v="dross"/>
  </r>
  <r>
    <s v="247-4000-10"/>
    <d v="2019-07-12T00:00:00"/>
    <x v="3"/>
    <s v="4235 Reconnect Charge Residential"/>
    <s v=""/>
    <s v="BJ0021729"/>
    <n v="0"/>
    <n v="445"/>
    <n v="-445"/>
    <s v=""/>
    <n v="1105791"/>
    <s v=""/>
    <s v="4000"/>
    <s v=""/>
    <s v="GL IMPORT"/>
    <s v=""/>
    <d v="2019-07-15T00:00:00"/>
    <s v="4235 Miscellaneous Service (Other Op. Revenues)"/>
    <s v=""/>
    <s v="Reg. Service Revenue"/>
    <s v="Reg. Service Revenue"/>
    <s v="dross"/>
  </r>
  <r>
    <s v="247-4000-10"/>
    <d v="2019-07-16T00:00:00"/>
    <x v="3"/>
    <s v="4235 Reconnect Charge Residential"/>
    <s v=""/>
    <s v="BJ0021730"/>
    <n v="0"/>
    <n v="130"/>
    <n v="-130"/>
    <s v=""/>
    <n v="1105912"/>
    <s v=""/>
    <s v="4000"/>
    <s v=""/>
    <s v="GL IMPORT"/>
    <s v=""/>
    <d v="2019-07-16T00:00:00"/>
    <s v="4235 Miscellaneous Service (Other Op. Revenues)"/>
    <s v=""/>
    <s v="Reg. Service Revenue"/>
    <s v="Reg. Service Revenue"/>
    <s v="dross"/>
  </r>
  <r>
    <s v="247-4000-10"/>
    <d v="2019-07-19T00:00:00"/>
    <x v="3"/>
    <s v="4235 Reconnect Charge Residential"/>
    <s v=""/>
    <s v="BJ0021742"/>
    <n v="0"/>
    <n v="315"/>
    <n v="-315"/>
    <s v=""/>
    <n v="1107094"/>
    <s v=""/>
    <s v="4000"/>
    <s v=""/>
    <s v="GL IMPORT"/>
    <s v=""/>
    <d v="2019-07-23T00:00:00"/>
    <s v="4235 Miscellaneous Service (Other Op. Revenues)"/>
    <s v=""/>
    <s v="Reg. Service Revenue"/>
    <s v="Reg. Service Revenue"/>
    <s v="dross"/>
  </r>
  <r>
    <s v="247-4000-10"/>
    <d v="2019-07-19T00:00:00"/>
    <x v="3"/>
    <s v="4235 Reconnect Charge Residential"/>
    <s v=""/>
    <s v="BJ0021744"/>
    <n v="0"/>
    <n v="325"/>
    <n v="-325"/>
    <s v=""/>
    <n v="1107096"/>
    <s v=""/>
    <s v="4000"/>
    <s v=""/>
    <s v="GL IMPORT"/>
    <s v=""/>
    <d v="2019-07-23T00:00:00"/>
    <s v="4235 Miscellaneous Service (Other Op. Revenues)"/>
    <s v=""/>
    <s v="Reg. Service Revenue"/>
    <s v="Reg. Service Revenue"/>
    <s v="dross"/>
  </r>
  <r>
    <s v="247-4000-10"/>
    <d v="2019-07-22T00:00:00"/>
    <x v="3"/>
    <s v="4235 Reconnect Charge Residential"/>
    <s v=""/>
    <s v="BJ0021747"/>
    <n v="0"/>
    <n v="455"/>
    <n v="-455"/>
    <s v=""/>
    <n v="1107099"/>
    <s v=""/>
    <s v="4000"/>
    <s v=""/>
    <s v="GL IMPORT"/>
    <s v=""/>
    <d v="2019-07-23T00:00:00"/>
    <s v="4235 Miscellaneous Service (Other Op. Revenues)"/>
    <s v=""/>
    <s v="Reg. Service Revenue"/>
    <s v="Reg. Service Revenue"/>
    <s v="dross"/>
  </r>
  <r>
    <s v="247-4000-10"/>
    <d v="2019-07-09T00:00:00"/>
    <x v="3"/>
    <s v="4235 Reconnect Charge Residential"/>
    <s v=""/>
    <s v="BJ0021719"/>
    <n v="0"/>
    <n v="65"/>
    <n v="-65"/>
    <s v=""/>
    <n v="1104679"/>
    <s v=""/>
    <s v="4000"/>
    <s v=""/>
    <s v="GL IMPORT"/>
    <s v=""/>
    <d v="2019-07-10T00:00:00"/>
    <s v="4235 Miscellaneous Service (Other Op. Revenues)"/>
    <s v=""/>
    <s v="Reg. Service Revenue"/>
    <s v="Reg. Service Revenue"/>
    <s v="dross"/>
  </r>
  <r>
    <s v="247-4000-10"/>
    <d v="2019-07-09T00:00:00"/>
    <x v="3"/>
    <s v="4235 Reconnect Charge Residential"/>
    <s v=""/>
    <s v="BJ0021721"/>
    <n v="0"/>
    <n v="260"/>
    <n v="-260"/>
    <s v=""/>
    <n v="1104681"/>
    <s v=""/>
    <s v="4000"/>
    <s v=""/>
    <s v="GL IMPORT"/>
    <s v=""/>
    <d v="2019-07-10T00:00:00"/>
    <s v="4235 Miscellaneous Service (Other Op. Revenues)"/>
    <s v=""/>
    <s v="Reg. Service Revenue"/>
    <s v="Reg. Service Revenue"/>
    <s v="dross"/>
  </r>
  <r>
    <s v="247-4000-10"/>
    <d v="2019-07-09T00:00:00"/>
    <x v="3"/>
    <s v="4235 Reconnect Charge Residential"/>
    <s v=""/>
    <s v="BJ0021722"/>
    <n v="0"/>
    <n v="455"/>
    <n v="-455"/>
    <s v=""/>
    <n v="1104682"/>
    <s v=""/>
    <s v="4000"/>
    <s v=""/>
    <s v="GL IMPORT"/>
    <s v=""/>
    <d v="2019-07-10T00:00:00"/>
    <s v="4235 Miscellaneous Service (Other Op. Revenues)"/>
    <s v=""/>
    <s v="Reg. Service Revenue"/>
    <s v="Reg. Service Revenue"/>
    <s v="dross"/>
  </r>
  <r>
    <s v="247-4000-10"/>
    <d v="2019-08-01T00:00:00"/>
    <x v="4"/>
    <s v="4235 Reconnect Charge Residential"/>
    <s v=""/>
    <s v="BJ0021766"/>
    <n v="0"/>
    <n v="435"/>
    <n v="-435"/>
    <s v=""/>
    <n v="1108945"/>
    <s v=""/>
    <s v="4000"/>
    <s v=""/>
    <s v="GL IMPORT"/>
    <s v=""/>
    <d v="2019-08-02T00:00:00"/>
    <s v="4235 Miscellaneous Service (Other Op. Revenues)"/>
    <s v=""/>
    <s v="Reg. Service Revenue"/>
    <s v="Reg. Service Revenue"/>
    <s v="dross"/>
  </r>
  <r>
    <s v="247-4000-10"/>
    <d v="2019-08-01T00:00:00"/>
    <x v="4"/>
    <s v="4235 Reconnect Charge Residential"/>
    <s v=""/>
    <s v="BJ0021768"/>
    <n v="0"/>
    <n v="510"/>
    <n v="-510"/>
    <s v=""/>
    <n v="1108947"/>
    <s v=""/>
    <s v="4000"/>
    <s v=""/>
    <s v="GL IMPORT"/>
    <s v=""/>
    <d v="2019-08-02T00:00:00"/>
    <s v="4235 Miscellaneous Service (Other Op. Revenues)"/>
    <s v=""/>
    <s v="Reg. Service Revenue"/>
    <s v="Reg. Service Revenue"/>
    <s v="dross"/>
  </r>
  <r>
    <s v="247-4000-10"/>
    <d v="2019-08-01T00:00:00"/>
    <x v="4"/>
    <s v="4235 Reconnect Charge Residential"/>
    <s v=""/>
    <s v="BJ0021767"/>
    <n v="0"/>
    <n v="1040"/>
    <n v="-1040"/>
    <s v=""/>
    <n v="1108946"/>
    <s v=""/>
    <s v="4000"/>
    <s v=""/>
    <s v="GL IMPORT"/>
    <s v=""/>
    <d v="2019-08-02T00:00:00"/>
    <s v="4235 Miscellaneous Service (Other Op. Revenues)"/>
    <s v=""/>
    <s v="Reg. Service Revenue"/>
    <s v="Reg. Service Revenue"/>
    <s v="dross"/>
  </r>
  <r>
    <s v="247-4000-10"/>
    <d v="2019-08-02T00:00:00"/>
    <x v="4"/>
    <s v="4235 Reconnect Charge Residential"/>
    <s v=""/>
    <s v="BJ0021770"/>
    <n v="0"/>
    <n v="130"/>
    <n v="-130"/>
    <s v=""/>
    <n v="1109014"/>
    <s v=""/>
    <s v="4000"/>
    <s v=""/>
    <s v="GL IMPORT"/>
    <s v=""/>
    <d v="2019-08-06T00:00:00"/>
    <s v="4235 Miscellaneous Service (Other Op. Revenues)"/>
    <s v=""/>
    <s v="Reg. Service Revenue"/>
    <s v="Reg. Service Revenue"/>
    <s v="dross"/>
  </r>
  <r>
    <s v="247-4000-10"/>
    <d v="2019-08-20T00:00:00"/>
    <x v="4"/>
    <s v="4235 Reconnect Charge Residential"/>
    <s v=""/>
    <s v="BJ0021813"/>
    <n v="0"/>
    <n v="250"/>
    <n v="-250"/>
    <s v=""/>
    <n v="1111972"/>
    <s v=""/>
    <s v="4000"/>
    <s v=""/>
    <s v="GL IMPORT"/>
    <s v=""/>
    <d v="2019-08-21T00:00:00"/>
    <s v="4235 Miscellaneous Service (Other Op. Revenues)"/>
    <s v=""/>
    <s v="Reg. Service Revenue"/>
    <s v="Reg. Service Revenue"/>
    <s v="dross"/>
  </r>
  <r>
    <s v="247-4000-10"/>
    <d v="2019-08-20T00:00:00"/>
    <x v="4"/>
    <s v="4235 Reconnect Charge Residential"/>
    <s v=""/>
    <s v="BJ0021816"/>
    <n v="0"/>
    <n v="380"/>
    <n v="-380"/>
    <s v=""/>
    <n v="1111975"/>
    <s v=""/>
    <s v="4000"/>
    <s v=""/>
    <s v="GL IMPORT"/>
    <s v=""/>
    <d v="2019-08-21T00:00:00"/>
    <s v="4235 Miscellaneous Service (Other Op. Revenues)"/>
    <s v=""/>
    <s v="Reg. Service Revenue"/>
    <s v="Reg. Service Revenue"/>
    <s v="dross"/>
  </r>
  <r>
    <s v="247-4000-10"/>
    <d v="2019-08-06T00:00:00"/>
    <x v="4"/>
    <s v="4235 Reconnect Charge Residential"/>
    <s v=""/>
    <s v="BJ0021771"/>
    <n v="0"/>
    <n v="260"/>
    <n v="-260"/>
    <s v=""/>
    <n v="1109276"/>
    <s v=""/>
    <s v="4000"/>
    <s v=""/>
    <s v="GL IMPORT"/>
    <s v=""/>
    <d v="2019-08-07T00:00:00"/>
    <s v="4235 Miscellaneous Service (Other Op. Revenues)"/>
    <s v=""/>
    <s v="Reg. Service Revenue"/>
    <s v="Reg. Service Revenue"/>
    <s v="dross"/>
  </r>
  <r>
    <s v="247-4000-10"/>
    <d v="2019-08-20T00:00:00"/>
    <x v="4"/>
    <s v="4235 Reconnect Charge Residential"/>
    <s v=""/>
    <s v="BJ0021815"/>
    <n v="0"/>
    <n v="390"/>
    <n v="-390"/>
    <s v=""/>
    <n v="1111974"/>
    <s v=""/>
    <s v="4000"/>
    <s v=""/>
    <s v="GL IMPORT"/>
    <s v=""/>
    <d v="2019-08-21T00:00:00"/>
    <s v="4235 Miscellaneous Service (Other Op. Revenues)"/>
    <s v=""/>
    <s v="Reg. Service Revenue"/>
    <s v="Reg. Service Revenue"/>
    <s v="dross"/>
  </r>
  <r>
    <s v="247-4000-10"/>
    <d v="2019-08-21T00:00:00"/>
    <x v="4"/>
    <s v="4235 Reconnect Charge Residential"/>
    <s v=""/>
    <s v="BJ0021819"/>
    <n v="0"/>
    <n v="130"/>
    <n v="-130"/>
    <s v=""/>
    <n v="1112016"/>
    <s v=""/>
    <s v="4000"/>
    <s v=""/>
    <s v="GL IMPORT"/>
    <s v=""/>
    <d v="2019-08-22T00:00:00"/>
    <s v="4235 Miscellaneous Service (Other Op. Revenues)"/>
    <s v=""/>
    <s v="Reg. Service Revenue"/>
    <s v="Reg. Service Revenue"/>
    <s v="dross"/>
  </r>
  <r>
    <s v="247-4000-10"/>
    <d v="2019-08-21T00:00:00"/>
    <x v="4"/>
    <s v="4235 Reconnect Charge Residential"/>
    <s v=""/>
    <s v="BJ0021817"/>
    <n v="0"/>
    <n v="260"/>
    <n v="-260"/>
    <s v=""/>
    <n v="1112014"/>
    <s v=""/>
    <s v="4000"/>
    <s v=""/>
    <s v="GL IMPORT"/>
    <s v=""/>
    <d v="2019-08-22T00:00:00"/>
    <s v="4235 Miscellaneous Service (Other Op. Revenues)"/>
    <s v=""/>
    <s v="Reg. Service Revenue"/>
    <s v="Reg. Service Revenue"/>
    <s v="dross"/>
  </r>
  <r>
    <s v="247-4000-10"/>
    <d v="2019-08-06T00:00:00"/>
    <x v="4"/>
    <s v="4235 Reconnect Charge Residential"/>
    <s v=""/>
    <s v="BJ0021773"/>
    <n v="0"/>
    <n v="325"/>
    <n v="-325"/>
    <s v=""/>
    <n v="1109278"/>
    <s v=""/>
    <s v="4000"/>
    <s v=""/>
    <s v="GL IMPORT"/>
    <s v=""/>
    <d v="2019-08-07T00:00:00"/>
    <s v="4235 Miscellaneous Service (Other Op. Revenues)"/>
    <s v=""/>
    <s v="Reg. Service Revenue"/>
    <s v="Reg. Service Revenue"/>
    <s v="dross"/>
  </r>
  <r>
    <s v="247-4000-10"/>
    <d v="2019-08-23T00:00:00"/>
    <x v="4"/>
    <s v="4235 Reconnect Charge Residential"/>
    <s v=""/>
    <s v="EC0031534"/>
    <n v="65"/>
    <n v="0"/>
    <n v="65"/>
    <s v=""/>
    <n v="1112987"/>
    <s v=""/>
    <s v="4000"/>
    <s v=""/>
    <s v="GL IMPORT"/>
    <s v=""/>
    <d v="2019-08-27T00:00:00"/>
    <s v="4235 Miscellaneous Service (Other Op. Revenues)"/>
    <s v=""/>
    <s v="Reg. Service Revenue"/>
    <s v="Reg. Service Revenue"/>
    <s v="dross"/>
  </r>
  <r>
    <s v="247-4000-10"/>
    <d v="2019-08-06T00:00:00"/>
    <x v="4"/>
    <s v="4235 Reconnect Charge Residential"/>
    <s v=""/>
    <s v="BJ0021774"/>
    <n v="0"/>
    <n v="575"/>
    <n v="-575"/>
    <s v=""/>
    <n v="1109279"/>
    <s v=""/>
    <s v="4000"/>
    <s v=""/>
    <s v="GL IMPORT"/>
    <s v=""/>
    <d v="2019-08-07T00:00:00"/>
    <s v="4235 Miscellaneous Service (Other Op. Revenues)"/>
    <s v=""/>
    <s v="Reg. Service Revenue"/>
    <s v="Reg. Service Revenue"/>
    <s v="dross"/>
  </r>
  <r>
    <s v="247-4000-10"/>
    <d v="2019-08-01T00:00:00"/>
    <x v="4"/>
    <s v="4235 Reconnect Charge Residential"/>
    <s v=""/>
    <s v="BJ0021762"/>
    <n v="0"/>
    <n v="65"/>
    <n v="-65"/>
    <s v=""/>
    <n v="1108941"/>
    <s v=""/>
    <s v="4000"/>
    <s v=""/>
    <s v="GL IMPORT"/>
    <s v=""/>
    <d v="2019-08-02T00:00:00"/>
    <s v="4235 Miscellaneous Service (Other Op. Revenues)"/>
    <s v=""/>
    <s v="Reg. Service Revenue"/>
    <s v="Reg. Service Revenue"/>
    <s v="dross"/>
  </r>
  <r>
    <s v="247-4000-10"/>
    <d v="2019-08-01T00:00:00"/>
    <x v="4"/>
    <s v="4235 Reconnect Charge Residential"/>
    <s v=""/>
    <s v="BJ0021764"/>
    <n v="0"/>
    <n v="65"/>
    <n v="-65"/>
    <s v=""/>
    <n v="1108943"/>
    <s v=""/>
    <s v="4000"/>
    <s v=""/>
    <s v="GL IMPORT"/>
    <s v=""/>
    <d v="2019-08-02T00:00:00"/>
    <s v="4235 Miscellaneous Service (Other Op. Revenues)"/>
    <s v=""/>
    <s v="Reg. Service Revenue"/>
    <s v="Reg. Service Revenue"/>
    <s v="dross"/>
  </r>
  <r>
    <s v="247-4000-10"/>
    <d v="2019-08-01T00:00:00"/>
    <x v="4"/>
    <s v="4235 Reconnect Charge Residential"/>
    <s v=""/>
    <s v="BJ0021765"/>
    <n v="0"/>
    <n v="65"/>
    <n v="-65"/>
    <s v=""/>
    <n v="1108944"/>
    <s v=""/>
    <s v="4000"/>
    <s v=""/>
    <s v="GL IMPORT"/>
    <s v=""/>
    <d v="2019-08-02T00:00:00"/>
    <s v="4235 Miscellaneous Service (Other Op. Revenues)"/>
    <s v=""/>
    <s v="Reg. Service Revenue"/>
    <s v="Reg. Service Revenue"/>
    <s v="dross"/>
  </r>
  <r>
    <s v="247-4000-10"/>
    <d v="2019-08-01T00:00:00"/>
    <x v="4"/>
    <s v="4235 Reconnect Charge Residential"/>
    <s v=""/>
    <s v="BJ0021763"/>
    <n v="0"/>
    <n v="260"/>
    <n v="-260"/>
    <s v=""/>
    <n v="1108942"/>
    <s v=""/>
    <s v="4000"/>
    <s v=""/>
    <s v="GL IMPORT"/>
    <s v=""/>
    <d v="2019-08-02T00:00:00"/>
    <s v="4235 Miscellaneous Service (Other Op. Revenues)"/>
    <s v=""/>
    <s v="Reg. Service Revenue"/>
    <s v="Reg. Service Revenue"/>
    <s v="dross"/>
  </r>
  <r>
    <s v="247-4000-10"/>
    <d v="2019-08-12T00:00:00"/>
    <x v="4"/>
    <s v="4235 Reconnect Charge Residential"/>
    <s v=""/>
    <s v="BJ0021791"/>
    <n v="0"/>
    <n v="250"/>
    <n v="-250"/>
    <s v=""/>
    <n v="1110430"/>
    <s v=""/>
    <s v="4000"/>
    <s v=""/>
    <s v="GL IMPORT"/>
    <s v=""/>
    <d v="2019-08-13T00:00:00"/>
    <s v="4235 Miscellaneous Service (Other Op. Revenues)"/>
    <s v=""/>
    <s v="Reg. Service Revenue"/>
    <s v="Reg. Service Revenue"/>
    <s v="dross"/>
  </r>
  <r>
    <s v="247-4000-10"/>
    <d v="2019-08-12T00:00:00"/>
    <x v="4"/>
    <s v="4235 Reconnect Charge Residential"/>
    <s v=""/>
    <s v="AJ0029631"/>
    <n v="65"/>
    <n v="0"/>
    <n v="65"/>
    <s v=""/>
    <n v="1110420"/>
    <s v=""/>
    <s v="4000"/>
    <s v=""/>
    <s v="GL IMPORT"/>
    <s v=""/>
    <d v="2019-08-13T00:00:00"/>
    <s v="4235 Miscellaneous Service (Other Op. Revenues)"/>
    <s v=""/>
    <s v="Reg. Service Revenue"/>
    <s v="Reg. Service Revenue"/>
    <s v="dross"/>
  </r>
  <r>
    <s v="247-4000-10"/>
    <d v="2019-08-14T00:00:00"/>
    <x v="4"/>
    <s v="4235 Reconnect Charge Residential"/>
    <s v=""/>
    <s v="BJ0021799"/>
    <n v="0"/>
    <n v="130"/>
    <n v="-130"/>
    <s v=""/>
    <n v="1110904"/>
    <s v=""/>
    <s v="4000"/>
    <s v=""/>
    <s v="GL IMPORT"/>
    <s v=""/>
    <d v="2019-08-15T00:00:00"/>
    <s v="4235 Miscellaneous Service (Other Op. Revenues)"/>
    <s v=""/>
    <s v="Reg. Service Revenue"/>
    <s v="Reg. Service Revenue"/>
    <s v="dross"/>
  </r>
  <r>
    <s v="247-4000-10"/>
    <d v="2019-08-23T00:00:00"/>
    <x v="4"/>
    <s v="4235 Reconnect Charge Residential"/>
    <s v=""/>
    <s v="BJ0021823"/>
    <n v="0"/>
    <n v="65"/>
    <n v="-65"/>
    <s v=""/>
    <n v="1112954"/>
    <s v=""/>
    <s v="4000"/>
    <s v=""/>
    <s v="GL IMPORT"/>
    <s v=""/>
    <d v="2019-08-27T00:00:00"/>
    <s v="4235 Miscellaneous Service (Other Op. Revenues)"/>
    <s v=""/>
    <s v="Reg. Service Revenue"/>
    <s v="Reg. Service Revenue"/>
    <s v="dross"/>
  </r>
  <r>
    <s v="247-4000-10"/>
    <d v="2019-08-27T00:00:00"/>
    <x v="4"/>
    <s v="4235 Reconnect Charge Residential"/>
    <s v=""/>
    <s v="BJ0021824"/>
    <n v="0"/>
    <n v="130"/>
    <n v="-130"/>
    <s v=""/>
    <n v="1112955"/>
    <s v=""/>
    <s v="4000"/>
    <s v=""/>
    <s v="GL IMPORT"/>
    <s v=""/>
    <d v="2019-08-27T00:00:00"/>
    <s v="4235 Miscellaneous Service (Other Op. Revenues)"/>
    <s v=""/>
    <s v="Reg. Service Revenue"/>
    <s v="Reg. Service Revenue"/>
    <s v="dross"/>
  </r>
  <r>
    <s v="247-4000-10"/>
    <d v="2019-08-07T00:00:00"/>
    <x v="4"/>
    <s v="4235 Reconnect Charge Residential"/>
    <s v=""/>
    <s v="BJ0021778"/>
    <n v="0"/>
    <n v="260"/>
    <n v="-260"/>
    <s v=""/>
    <n v="1110090"/>
    <s v=""/>
    <s v="4000"/>
    <s v=""/>
    <s v="GL IMPORT"/>
    <s v=""/>
    <d v="2019-08-08T00:00:00"/>
    <s v="4235 Miscellaneous Service (Other Op. Revenues)"/>
    <s v=""/>
    <s v="Reg. Service Revenue"/>
    <s v="Reg. Service Revenue"/>
    <s v="dross"/>
  </r>
  <r>
    <s v="247-4000-10"/>
    <d v="2019-08-07T00:00:00"/>
    <x v="4"/>
    <s v="4235 Reconnect Charge Residential"/>
    <s v=""/>
    <s v="BJ0021777"/>
    <n v="0"/>
    <n v="435"/>
    <n v="-435"/>
    <s v=""/>
    <n v="1110089"/>
    <s v=""/>
    <s v="4000"/>
    <s v=""/>
    <s v="GL IMPORT"/>
    <s v=""/>
    <d v="2019-08-08T00:00:00"/>
    <s v="4235 Miscellaneous Service (Other Op. Revenues)"/>
    <s v=""/>
    <s v="Reg. Service Revenue"/>
    <s v="Reg. Service Revenue"/>
    <s v="dross"/>
  </r>
  <r>
    <s v="247-4000-10"/>
    <d v="2019-08-08T00:00:00"/>
    <x v="4"/>
    <s v="4235 Reconnect Charge Residential"/>
    <s v=""/>
    <s v="BJ0021781"/>
    <n v="0"/>
    <n v="65"/>
    <n v="-65"/>
    <s v=""/>
    <n v="1110145"/>
    <s v=""/>
    <s v="4000"/>
    <s v=""/>
    <s v="GL IMPORT"/>
    <s v=""/>
    <d v="2019-08-09T00:00:00"/>
    <s v="4235 Miscellaneous Service (Other Op. Revenues)"/>
    <s v=""/>
    <s v="Reg. Service Revenue"/>
    <s v="Reg. Service Revenue"/>
    <s v="dross"/>
  </r>
  <r>
    <s v="247-4000-10"/>
    <d v="2019-08-08T00:00:00"/>
    <x v="4"/>
    <s v="4235 Reconnect Charge Residential"/>
    <s v=""/>
    <s v="BJ0021780"/>
    <n v="0"/>
    <n v="445"/>
    <n v="-445"/>
    <s v=""/>
    <n v="1110144"/>
    <s v=""/>
    <s v="4000"/>
    <s v=""/>
    <s v="GL IMPORT"/>
    <s v=""/>
    <d v="2019-08-09T00:00:00"/>
    <s v="4235 Miscellaneous Service (Other Op. Revenues)"/>
    <s v=""/>
    <s v="Reg. Service Revenue"/>
    <s v="Reg. Service Revenue"/>
    <s v="dross"/>
  </r>
  <r>
    <s v="247-4000-10"/>
    <d v="2019-08-09T00:00:00"/>
    <x v="4"/>
    <s v="4235 Reconnect Charge Residential"/>
    <s v=""/>
    <s v="BJ0021782"/>
    <n v="0"/>
    <n v="520"/>
    <n v="-520"/>
    <s v=""/>
    <n v="1110232"/>
    <s v=""/>
    <s v="4000"/>
    <s v=""/>
    <s v="GL IMPORT"/>
    <s v=""/>
    <d v="2019-08-12T00:00:00"/>
    <s v="4235 Miscellaneous Service (Other Op. Revenues)"/>
    <s v=""/>
    <s v="Reg. Service Revenue"/>
    <s v="Reg. Service Revenue"/>
    <s v="dross"/>
  </r>
  <r>
    <s v="247-4000-10"/>
    <d v="2019-08-20T00:00:00"/>
    <x v="4"/>
    <s v="4235 Reconnect Charge Residential"/>
    <s v=""/>
    <s v="BJ0021812"/>
    <n v="0"/>
    <n v="390"/>
    <n v="-390"/>
    <s v=""/>
    <n v="1111971"/>
    <s v=""/>
    <s v="4000"/>
    <s v=""/>
    <s v="GL IMPORT"/>
    <s v=""/>
    <d v="2019-08-21T00:00:00"/>
    <s v="4235 Miscellaneous Service (Other Op. Revenues)"/>
    <s v=""/>
    <s v="Reg. Service Revenue"/>
    <s v="Reg. Service Revenue"/>
    <s v="dross"/>
  </r>
  <r>
    <s v="247-4000-10"/>
    <d v="2019-09-03T00:00:00"/>
    <x v="5"/>
    <s v="4235 Reconnect Charge Residential"/>
    <s v=""/>
    <s v="BJ0021845"/>
    <n v="0"/>
    <n v="195"/>
    <n v="-195"/>
    <s v=""/>
    <n v="28171"/>
    <s v=""/>
    <s v="4000"/>
    <s v=""/>
    <s v="GL IMPORT"/>
    <s v=""/>
    <d v="2019-09-03T00:00:00"/>
    <s v="4235 Miscellaneous Service (Other Op. Revenues)"/>
    <s v=""/>
    <s v="Reg. Service Revenue"/>
    <s v="Reg. Service Revenue"/>
    <s v="dross"/>
  </r>
  <r>
    <s v="247-4000-10"/>
    <d v="2019-09-04T00:00:00"/>
    <x v="5"/>
    <s v="4235 Reconnect Charge Residential"/>
    <s v=""/>
    <s v="BJ0021849"/>
    <n v="0"/>
    <n v="650"/>
    <n v="-650"/>
    <s v=""/>
    <n v="29372"/>
    <s v=""/>
    <s v="4000"/>
    <s v=""/>
    <s v="GL IMPORT"/>
    <s v=""/>
    <d v="2019-09-05T00:00:00"/>
    <s v="4235 Miscellaneous Service (Other Op. Revenues)"/>
    <s v=""/>
    <s v="Reg. Service Revenue"/>
    <s v="Reg. Service Revenue"/>
    <s v="dross"/>
  </r>
  <r>
    <s v="247-4000-10"/>
    <d v="2019-09-04T00:00:00"/>
    <x v="5"/>
    <s v="4235 Reconnect Charge Residential"/>
    <s v=""/>
    <s v="BJ0021851"/>
    <n v="0"/>
    <n v="3725"/>
    <n v="-3725"/>
    <s v=""/>
    <n v="29374"/>
    <s v=""/>
    <s v="4000"/>
    <s v=""/>
    <s v="GL IMPORT"/>
    <s v=""/>
    <d v="2019-09-05T00:00:00"/>
    <s v="4235 Miscellaneous Service (Other Op. Revenues)"/>
    <s v=""/>
    <s v="Reg. Service Revenue"/>
    <s v="Reg. Service Revenue"/>
    <s v="dross"/>
  </r>
  <r>
    <s v="247-4000-10"/>
    <d v="2019-09-23T00:00:00"/>
    <x v="5"/>
    <s v="4235 Reconnect Charge Residential"/>
    <s v=""/>
    <s v="BJ0021880"/>
    <n v="0"/>
    <n v="1010"/>
    <n v="-1010"/>
    <s v=""/>
    <n v="1113459"/>
    <s v=""/>
    <s v="4000"/>
    <s v=""/>
    <s v="GL IMPORT"/>
    <s v=""/>
    <d v="2019-09-24T00:00:00"/>
    <s v="4235 Miscellaneous Service (Other Op. Revenues)"/>
    <s v=""/>
    <s v="Reg. Service Revenue"/>
    <s v="Reg. Service Revenue"/>
    <s v="dross"/>
  </r>
  <r>
    <s v="247-4000-10"/>
    <d v="2019-09-06T00:00:00"/>
    <x v="5"/>
    <s v="4235 Reconnect Charge Residential"/>
    <s v=""/>
    <s v="BJ0021856"/>
    <n v="0"/>
    <n v="250"/>
    <n v="-250"/>
    <s v=""/>
    <n v="29618"/>
    <s v=""/>
    <s v="4000"/>
    <s v=""/>
    <s v="GL IMPORT"/>
    <s v=""/>
    <d v="2019-09-11T00:00:00"/>
    <s v="4235 Miscellaneous Service (Other Op. Revenues)"/>
    <s v=""/>
    <s v="Reg. Service Revenue"/>
    <s v="Reg. Service Revenue"/>
    <s v="dross"/>
  </r>
  <r>
    <s v="247-4000-10"/>
    <d v="2019-09-06T00:00:00"/>
    <x v="5"/>
    <s v="4235 Reconnect Charge Residential"/>
    <s v=""/>
    <s v="BJ0021857"/>
    <n v="0"/>
    <n v="1290"/>
    <n v="-1290"/>
    <s v=""/>
    <n v="29619"/>
    <s v=""/>
    <s v="4000"/>
    <s v=""/>
    <s v="GL IMPORT"/>
    <s v=""/>
    <d v="2019-09-11T00:00:00"/>
    <s v="4235 Miscellaneous Service (Other Op. Revenues)"/>
    <s v=""/>
    <s v="Reg. Service Revenue"/>
    <s v="Reg. Service Revenue"/>
    <s v="dross"/>
  </r>
  <r>
    <s v="247-4000-10"/>
    <d v="2019-09-09T00:00:00"/>
    <x v="5"/>
    <s v="4235 Reconnect Charge Residential"/>
    <s v=""/>
    <s v="BJ0021858"/>
    <n v="0"/>
    <n v="880"/>
    <n v="-880"/>
    <s v=""/>
    <n v="29620"/>
    <s v=""/>
    <s v="4000"/>
    <s v=""/>
    <s v="GL IMPORT"/>
    <s v=""/>
    <d v="2019-09-11T00:00:00"/>
    <s v="4235 Miscellaneous Service (Other Op. Revenues)"/>
    <s v=""/>
    <s v="Reg. Service Revenue"/>
    <s v="Reg. Service Revenue"/>
    <s v="dross"/>
  </r>
  <r>
    <s v="247-4000-10"/>
    <d v="2019-09-04T00:00:00"/>
    <x v="5"/>
    <s v="4235 Reconnect Charge Residential"/>
    <s v=""/>
    <s v="BJ0021850"/>
    <n v="0"/>
    <n v="380"/>
    <n v="-380"/>
    <s v=""/>
    <n v="29373"/>
    <s v=""/>
    <s v="4000"/>
    <s v=""/>
    <s v="GL IMPORT"/>
    <s v=""/>
    <d v="2019-09-05T00:00:00"/>
    <s v="4235 Miscellaneous Service (Other Op. Revenues)"/>
    <s v=""/>
    <s v="Reg. Service Revenue"/>
    <s v="Reg. Service Revenue"/>
    <s v="dross"/>
  </r>
  <r>
    <s v="247-4000-10"/>
    <d v="2019-09-10T00:00:00"/>
    <x v="5"/>
    <s v="4235 Reconnect Charge Residential"/>
    <s v=""/>
    <s v="BJ0021859"/>
    <n v="0"/>
    <n v="325"/>
    <n v="-325"/>
    <s v=""/>
    <n v="29621"/>
    <s v=""/>
    <s v="4000"/>
    <s v=""/>
    <s v="GL IMPORT"/>
    <s v=""/>
    <d v="2019-09-11T00:00:00"/>
    <s v="4235 Miscellaneous Service (Other Op. Revenues)"/>
    <s v=""/>
    <s v="Reg. Service Revenue"/>
    <s v="Reg. Service Revenue"/>
    <s v="dross"/>
  </r>
  <r>
    <s v="247-4000-10"/>
    <d v="2019-09-23T00:00:00"/>
    <x v="5"/>
    <s v="4235 Reconnect Charge Residential"/>
    <s v=""/>
    <s v="BJ0021884"/>
    <n v="0"/>
    <n v="520"/>
    <n v="-520"/>
    <s v=""/>
    <n v="1113463"/>
    <s v=""/>
    <s v="4000"/>
    <s v=""/>
    <s v="GL IMPORT"/>
    <s v=""/>
    <d v="2019-09-24T00:00:00"/>
    <s v="4235 Miscellaneous Service (Other Op. Revenues)"/>
    <s v=""/>
    <s v="Reg. Service Revenue"/>
    <s v="Reg. Service Revenue"/>
    <s v="dross"/>
  </r>
  <r>
    <s v="247-4000-10"/>
    <d v="2019-09-05T00:00:00"/>
    <x v="5"/>
    <s v="4235 Reconnect Charge Residential"/>
    <s v=""/>
    <s v="BJ0021854"/>
    <n v="0"/>
    <n v="185"/>
    <n v="-185"/>
    <s v=""/>
    <n v="29442"/>
    <s v=""/>
    <s v="4000"/>
    <s v=""/>
    <s v="GL IMPORT"/>
    <s v=""/>
    <d v="2019-09-06T00:00:00"/>
    <s v="4235 Miscellaneous Service (Other Op. Revenues)"/>
    <s v=""/>
    <s v="Reg. Service Revenue"/>
    <s v="Reg. Service Revenue"/>
    <s v="dross"/>
  </r>
  <r>
    <s v="247-4000-10"/>
    <d v="2019-09-23T00:00:00"/>
    <x v="5"/>
    <s v="4235 Reconnect Charge Residential"/>
    <s v=""/>
    <s v="BJ0021881"/>
    <n v="0"/>
    <n v="260"/>
    <n v="-260"/>
    <s v=""/>
    <n v="1113460"/>
    <s v=""/>
    <s v="4000"/>
    <s v=""/>
    <s v="GL IMPORT"/>
    <s v=""/>
    <d v="2019-09-24T00:00:00"/>
    <s v="4235 Miscellaneous Service (Other Op. Revenues)"/>
    <s v=""/>
    <s v="Reg. Service Revenue"/>
    <s v="Reg. Service Revenue"/>
    <s v="dross"/>
  </r>
  <r>
    <s v="247-4000-10"/>
    <d v="2019-09-05T00:00:00"/>
    <x v="5"/>
    <s v="4235 Reconnect Charge Residential"/>
    <s v=""/>
    <s v="BJ0021852"/>
    <n v="0"/>
    <n v="195"/>
    <n v="-195"/>
    <s v=""/>
    <n v="29440"/>
    <s v=""/>
    <s v="4000"/>
    <s v=""/>
    <s v="GL IMPORT"/>
    <s v=""/>
    <d v="2019-09-06T00:00:00"/>
    <s v="4235 Miscellaneous Service (Other Op. Revenues)"/>
    <s v=""/>
    <s v="Reg. Service Revenue"/>
    <s v="Reg. Service Revenue"/>
    <s v="dross"/>
  </r>
  <r>
    <s v="247-4000-10"/>
    <d v="2019-09-23T00:00:00"/>
    <x v="5"/>
    <s v="4235 Reconnect Charge Residential"/>
    <s v=""/>
    <s v="BJ0021882"/>
    <n v="0"/>
    <n v="500"/>
    <n v="-500"/>
    <s v=""/>
    <n v="1113461"/>
    <s v=""/>
    <s v="4000"/>
    <s v=""/>
    <s v="GL IMPORT"/>
    <s v=""/>
    <d v="2019-09-24T00:00:00"/>
    <s v="4235 Miscellaneous Service (Other Op. Revenues)"/>
    <s v=""/>
    <s v="Reg. Service Revenue"/>
    <s v="Reg. Service Revenue"/>
    <s v="dross"/>
  </r>
  <r>
    <s v="247-4000-10"/>
    <d v="2019-09-30T00:00:00"/>
    <x v="5"/>
    <s v="4235 Reconnect Charge Residential"/>
    <s v=""/>
    <s v="BJ0021892"/>
    <n v="0"/>
    <n v="130"/>
    <n v="-130"/>
    <s v=""/>
    <n v="1114274"/>
    <s v=""/>
    <s v="4000"/>
    <s v=""/>
    <s v="GL IMPORT"/>
    <s v=""/>
    <d v="2019-09-30T00:00:00"/>
    <s v="4235 Miscellaneous Service (Other Op. Revenues)"/>
    <s v=""/>
    <s v="Reg. Service Revenue"/>
    <s v="Reg. Service Revenue"/>
    <s v="dross"/>
  </r>
  <r>
    <s v="247-4000-10"/>
    <d v="2019-09-03T00:00:00"/>
    <x v="5"/>
    <s v="4235 Reconnect Charge Residential"/>
    <s v=""/>
    <s v="BJ0021846"/>
    <n v="0"/>
    <n v="390"/>
    <n v="-390"/>
    <s v=""/>
    <n v="28355"/>
    <s v=""/>
    <s v="4000"/>
    <s v=""/>
    <s v="GL IMPORT"/>
    <s v=""/>
    <d v="2019-09-04T00:00:00"/>
    <s v="4235 Miscellaneous Service (Other Op. Revenues)"/>
    <s v=""/>
    <s v="Reg. Service Revenue"/>
    <s v="Reg. Service Revenue"/>
    <s v="dross"/>
  </r>
  <r>
    <s v="247-4000-10"/>
    <d v="2019-09-03T00:00:00"/>
    <x v="5"/>
    <s v="4235 Reconnect Charge Residential"/>
    <s v=""/>
    <s v="BJ0021847"/>
    <n v="0"/>
    <n v="500"/>
    <n v="-500"/>
    <s v=""/>
    <n v="28356"/>
    <s v=""/>
    <s v="4000"/>
    <s v=""/>
    <s v="GL IMPORT"/>
    <s v=""/>
    <d v="2019-09-04T00:00:00"/>
    <s v="4235 Miscellaneous Service (Other Op. Revenues)"/>
    <s v=""/>
    <s v="Reg. Service Revenue"/>
    <s v="Reg. Service Revenue"/>
    <s v="dross"/>
  </r>
  <r>
    <s v="247-4000-10"/>
    <d v="2019-09-03T00:00:00"/>
    <x v="5"/>
    <s v="4235 Reconnect Charge Residential"/>
    <s v=""/>
    <s v="BJ0021848"/>
    <n v="0"/>
    <n v="715"/>
    <n v="-715"/>
    <s v=""/>
    <n v="28357"/>
    <s v=""/>
    <s v="4000"/>
    <s v=""/>
    <s v="GL IMPORT"/>
    <s v=""/>
    <d v="2019-09-04T00:00:00"/>
    <s v="4235 Miscellaneous Service (Other Op. Revenues)"/>
    <s v=""/>
    <s v="Reg. Service Revenue"/>
    <s v="Reg. Service Revenue"/>
    <s v="dross"/>
  </r>
  <r>
    <s v="247-4000-10"/>
    <d v="2019-09-10T00:00:00"/>
    <x v="5"/>
    <s v="4235 Reconnect Charge Residential"/>
    <s v=""/>
    <s v="BJ0021860"/>
    <n v="0"/>
    <n v="630"/>
    <n v="-630"/>
    <s v=""/>
    <n v="29622"/>
    <s v=""/>
    <s v="4000"/>
    <s v=""/>
    <s v="GL IMPORT"/>
    <s v=""/>
    <d v="2019-09-11T00:00:00"/>
    <s v="4235 Miscellaneous Service (Other Op. Revenues)"/>
    <s v=""/>
    <s v="Reg. Service Revenue"/>
    <s v="Reg. Service Revenue"/>
    <s v="dross"/>
  </r>
  <r>
    <s v="247-4000-10"/>
    <d v="2019-09-23T00:00:00"/>
    <x v="5"/>
    <s v="4235 Reconnect Charge Residential"/>
    <s v=""/>
    <s v="BJ0021883"/>
    <n v="0"/>
    <n v="65"/>
    <n v="-65"/>
    <s v=""/>
    <n v="1113462"/>
    <s v=""/>
    <s v="4000"/>
    <s v=""/>
    <s v="GL IMPORT"/>
    <s v=""/>
    <d v="2019-09-24T00:00:00"/>
    <s v="4235 Miscellaneous Service (Other Op. Revenues)"/>
    <s v=""/>
    <s v="Reg. Service Revenue"/>
    <s v="Reg. Service Revenue"/>
    <s v="dross"/>
  </r>
  <r>
    <s v="247-4000-10"/>
    <d v="2019-10-02T00:00:00"/>
    <x v="6"/>
    <s v="4235 Reconnect Charge Residential"/>
    <s v=""/>
    <s v="BJ0021898"/>
    <n v="0"/>
    <n v="520"/>
    <n v="-520"/>
    <s v=""/>
    <n v="1115389"/>
    <s v=""/>
    <s v="4000"/>
    <s v=""/>
    <s v="GL IMPORT"/>
    <s v=""/>
    <d v="2019-10-04T00:00:00"/>
    <s v="4235 Miscellaneous Service (Other Op. Revenues)"/>
    <s v=""/>
    <s v="Reg. Service Revenue"/>
    <s v="Reg. Service Revenue"/>
    <s v="dross"/>
  </r>
  <r>
    <s v="247-4000-10"/>
    <d v="2019-09-25T00:00:00"/>
    <x v="5"/>
    <s v="4235 Reconnect Charge Residential"/>
    <s v=""/>
    <s v="BJ0021888"/>
    <n v="0"/>
    <n v="185"/>
    <n v="-185"/>
    <s v=""/>
    <n v="1113848"/>
    <s v=""/>
    <s v="4000"/>
    <s v=""/>
    <s v="GL IMPORT"/>
    <s v=""/>
    <d v="2019-09-25T00:00:00"/>
    <s v="4235 Miscellaneous Service (Other Op. Revenues)"/>
    <s v=""/>
    <s v="Reg. Service Revenue"/>
    <s v="Reg. Service Revenue"/>
    <s v="dross"/>
  </r>
  <r>
    <s v="247-4000-10"/>
    <d v="2019-10-02T00:00:00"/>
    <x v="6"/>
    <s v="4235 Reconnect Charge Residential"/>
    <s v=""/>
    <s v="BJ0021899"/>
    <n v="0"/>
    <n v="575"/>
    <n v="-575"/>
    <s v=""/>
    <n v="1115390"/>
    <s v=""/>
    <s v="4000"/>
    <s v=""/>
    <s v="GL IMPORT"/>
    <s v=""/>
    <d v="2019-10-04T00:00:00"/>
    <s v="4235 Miscellaneous Service (Other Op. Revenues)"/>
    <s v=""/>
    <s v="Reg. Service Revenue"/>
    <s v="Reg. Service Revenue"/>
    <s v="dross"/>
  </r>
  <r>
    <s v="247-4000-10"/>
    <d v="2019-10-02T00:00:00"/>
    <x v="6"/>
    <s v="4235 Reconnect Charge Residential"/>
    <s v=""/>
    <s v="BJ0021897"/>
    <n v="0"/>
    <n v="585"/>
    <n v="-585"/>
    <s v=""/>
    <n v="1115388"/>
    <s v=""/>
    <s v="4000"/>
    <s v=""/>
    <s v="GL IMPORT"/>
    <s v=""/>
    <d v="2019-10-04T00:00:00"/>
    <s v="4235 Miscellaneous Service (Other Op. Revenues)"/>
    <s v=""/>
    <s v="Reg. Service Revenue"/>
    <s v="Reg. Service Revenue"/>
    <s v="dross"/>
  </r>
  <r>
    <s v="247-4000-10"/>
    <d v="2019-10-02T00:00:00"/>
    <x v="6"/>
    <s v="4235 Reconnect Charge Residential"/>
    <s v=""/>
    <s v="EC0031737"/>
    <n v="185"/>
    <n v="0"/>
    <n v="185"/>
    <s v=""/>
    <n v="1115432"/>
    <s v=""/>
    <s v="4000"/>
    <s v=""/>
    <s v="GL IMPORT"/>
    <s v=""/>
    <d v="2019-10-04T00:00:00"/>
    <s v="4235 Miscellaneous Service (Other Op. Revenues)"/>
    <s v=""/>
    <s v="Reg. Service Revenue"/>
    <s v="Reg. Service Revenue"/>
    <s v="dross"/>
  </r>
  <r>
    <s v="247-4000-10"/>
    <d v="2019-09-27T00:00:00"/>
    <x v="5"/>
    <s v="4235 Reconnect Charge Residential"/>
    <s v=""/>
    <s v="BJ0021889"/>
    <n v="0"/>
    <n v="65"/>
    <n v="-65"/>
    <s v=""/>
    <n v="1114068"/>
    <s v=""/>
    <s v="4000"/>
    <s v=""/>
    <s v="GL IMPORT"/>
    <s v=""/>
    <d v="2019-09-27T00:00:00"/>
    <s v="4235 Miscellaneous Service (Other Op. Revenues)"/>
    <s v=""/>
    <s v="Reg. Service Revenue"/>
    <s v="Reg. Service Revenue"/>
    <s v="dross"/>
  </r>
  <r>
    <s v="247-4000-10"/>
    <d v="2019-10-07T00:00:00"/>
    <x v="6"/>
    <s v="4235 Reconnect Charge Residential"/>
    <s v=""/>
    <s v="BJ0021904"/>
    <n v="0"/>
    <n v="1400"/>
    <n v="-1400"/>
    <s v=""/>
    <n v="1115592"/>
    <s v=""/>
    <s v="4000"/>
    <s v=""/>
    <s v="GL IMPORT"/>
    <s v=""/>
    <d v="2019-10-08T00:00:00"/>
    <s v="4235 Miscellaneous Service (Other Op. Revenues)"/>
    <s v=""/>
    <s v="Reg. Service Revenue"/>
    <s v="Reg. Service Revenue"/>
    <s v="dross"/>
  </r>
  <r>
    <s v="247-4000-10"/>
    <d v="2019-10-07T00:00:00"/>
    <x v="6"/>
    <s v="4235 Reconnect Charge Residential"/>
    <s v=""/>
    <s v="EC0031747"/>
    <n v="120"/>
    <n v="0"/>
    <n v="120"/>
    <s v=""/>
    <n v="1115632"/>
    <s v=""/>
    <s v="4000"/>
    <s v=""/>
    <s v="GL IMPORT"/>
    <s v=""/>
    <d v="2019-10-08T00:00:00"/>
    <s v="4235 Miscellaneous Service (Other Op. Revenues)"/>
    <s v=""/>
    <s v="Reg. Service Revenue"/>
    <s v="Reg. Service Revenue"/>
    <s v="dross"/>
  </r>
  <r>
    <s v="247-4000-10"/>
    <d v="2019-10-08T00:00:00"/>
    <x v="6"/>
    <s v="4235 Reconnect Charge Residential"/>
    <s v=""/>
    <s v="BJ0021905"/>
    <n v="0"/>
    <n v="325"/>
    <n v="-325"/>
    <s v=""/>
    <n v="1115745"/>
    <s v=""/>
    <s v="4000"/>
    <s v=""/>
    <s v="GL IMPORT"/>
    <s v=""/>
    <d v="2019-10-09T00:00:00"/>
    <s v="4235 Miscellaneous Service (Other Op. Revenues)"/>
    <s v=""/>
    <s v="Reg. Service Revenue"/>
    <s v="Reg. Service Revenue"/>
    <s v="dross"/>
  </r>
  <r>
    <s v="247-4000-10"/>
    <d v="2019-10-08T00:00:00"/>
    <x v="6"/>
    <s v="4235 Reconnect Charge Residential"/>
    <s v=""/>
    <s v="BJ0021908"/>
    <n v="0"/>
    <n v="380"/>
    <n v="-380"/>
    <s v=""/>
    <n v="1115748"/>
    <s v=""/>
    <s v="4000"/>
    <s v=""/>
    <s v="GL IMPORT"/>
    <s v=""/>
    <d v="2019-10-09T00:00:00"/>
    <s v="4235 Miscellaneous Service (Other Op. Revenues)"/>
    <s v=""/>
    <s v="Reg. Service Revenue"/>
    <s v="Reg. Service Revenue"/>
    <s v="dross"/>
  </r>
  <r>
    <s v="247-4000-10"/>
    <d v="2019-10-08T00:00:00"/>
    <x v="6"/>
    <s v="4235 Reconnect Charge Residential"/>
    <s v=""/>
    <s v="BJ0021906"/>
    <n v="0"/>
    <n v="705"/>
    <n v="-705"/>
    <s v=""/>
    <n v="1115746"/>
    <s v=""/>
    <s v="4000"/>
    <s v=""/>
    <s v="GL IMPORT"/>
    <s v=""/>
    <d v="2019-10-09T00:00:00"/>
    <s v="4235 Miscellaneous Service (Other Op. Revenues)"/>
    <s v=""/>
    <s v="Reg. Service Revenue"/>
    <s v="Reg. Service Revenue"/>
    <s v="dross"/>
  </r>
  <r>
    <s v="247-4000-10"/>
    <d v="2019-10-08T00:00:00"/>
    <x v="6"/>
    <s v="4235 Reconnect Charge Residential"/>
    <s v=""/>
    <s v="BJ0021907"/>
    <n v="0"/>
    <n v="1140"/>
    <n v="-1140"/>
    <s v=""/>
    <n v="1115747"/>
    <s v=""/>
    <s v="4000"/>
    <s v=""/>
    <s v="GL IMPORT"/>
    <s v=""/>
    <d v="2019-10-09T00:00:00"/>
    <s v="4235 Miscellaneous Service (Other Op. Revenues)"/>
    <s v=""/>
    <s v="Reg. Service Revenue"/>
    <s v="Reg. Service Revenue"/>
    <s v="dross"/>
  </r>
  <r>
    <s v="247-4000-10"/>
    <d v="2019-10-09T00:00:00"/>
    <x v="6"/>
    <s v="4235 Reconnect Charge Residential"/>
    <s v=""/>
    <s v="BJ0021912"/>
    <n v="0"/>
    <n v="555"/>
    <n v="-555"/>
    <s v=""/>
    <n v="1115833"/>
    <s v=""/>
    <s v="4000"/>
    <s v=""/>
    <s v="GL IMPORT"/>
    <s v=""/>
    <d v="2019-10-10T00:00:00"/>
    <s v="4235 Miscellaneous Service (Other Op. Revenues)"/>
    <s v=""/>
    <s v="Reg. Service Revenue"/>
    <s v="Reg. Service Revenue"/>
    <s v="dross"/>
  </r>
  <r>
    <s v="247-4000-10"/>
    <d v="2019-10-09T00:00:00"/>
    <x v="6"/>
    <s v="4235 Reconnect Charge Residential"/>
    <s v=""/>
    <s v="BJ0021911"/>
    <n v="0"/>
    <n v="630"/>
    <n v="-630"/>
    <s v=""/>
    <n v="1115832"/>
    <s v=""/>
    <s v="4000"/>
    <s v=""/>
    <s v="GL IMPORT"/>
    <s v=""/>
    <d v="2019-10-10T00:00:00"/>
    <s v="4235 Miscellaneous Service (Other Op. Revenues)"/>
    <s v=""/>
    <s v="Reg. Service Revenue"/>
    <s v="Reg. Service Revenue"/>
    <s v="dross"/>
  </r>
  <r>
    <s v="247-4000-10"/>
    <d v="2019-10-11T00:00:00"/>
    <x v="6"/>
    <s v="4235 Reconnect Charge Residential"/>
    <s v=""/>
    <s v="BJ0021916"/>
    <n v="0"/>
    <n v="65"/>
    <n v="-65"/>
    <s v=""/>
    <n v="1116103"/>
    <s v=""/>
    <s v="4000"/>
    <s v=""/>
    <s v="GL IMPORT"/>
    <s v=""/>
    <d v="2019-10-15T00:00:00"/>
    <s v="4235 Miscellaneous Service (Other Op. Revenues)"/>
    <s v=""/>
    <s v="Reg. Service Revenue"/>
    <s v="Reg. Service Revenue"/>
    <s v="dross"/>
  </r>
  <r>
    <s v="247-4000-10"/>
    <d v="2019-10-11T00:00:00"/>
    <x v="6"/>
    <s v="4235 Reconnect Charge Residential"/>
    <s v=""/>
    <s v="BJ0021918"/>
    <n v="0"/>
    <n v="185"/>
    <n v="-185"/>
    <s v=""/>
    <n v="1116105"/>
    <s v=""/>
    <s v="4000"/>
    <s v=""/>
    <s v="GL IMPORT"/>
    <s v=""/>
    <d v="2019-10-15T00:00:00"/>
    <s v="4235 Miscellaneous Service (Other Op. Revenues)"/>
    <s v=""/>
    <s v="Reg. Service Revenue"/>
    <s v="Reg. Service Revenue"/>
    <s v="dross"/>
  </r>
  <r>
    <s v="247-4000-10"/>
    <d v="2019-10-01T00:00:00"/>
    <x v="6"/>
    <s v="4235 Reconnect Charge Residential"/>
    <s v=""/>
    <s v="BJ0021895"/>
    <n v="0"/>
    <n v="130"/>
    <n v="-130"/>
    <s v=""/>
    <n v="1114437"/>
    <s v=""/>
    <s v="4000"/>
    <s v=""/>
    <s v="GL IMPORT"/>
    <s v=""/>
    <d v="2019-10-02T00:00:00"/>
    <s v="4235 Miscellaneous Service (Other Op. Revenues)"/>
    <s v=""/>
    <s v="Reg. Service Revenue"/>
    <s v="Reg. Service Revenue"/>
    <s v="dross"/>
  </r>
  <r>
    <s v="247-4000-10"/>
    <d v="2019-10-23T00:00:00"/>
    <x v="6"/>
    <s v="4235 Reconnect Charge Residential"/>
    <s v=""/>
    <s v="BJ0021946"/>
    <n v="0"/>
    <n v="325"/>
    <n v="-325"/>
    <s v=""/>
    <n v="1118482"/>
    <s v=""/>
    <s v="4000"/>
    <s v=""/>
    <s v="GL IMPORT"/>
    <s v=""/>
    <d v="2019-10-24T00:00:00"/>
    <s v="4235 Miscellaneous Service (Other Op. Revenues)"/>
    <s v=""/>
    <s v="Reg. Service Revenue"/>
    <s v="Reg. Service Revenue"/>
    <s v="dross"/>
  </r>
  <r>
    <s v="247-4000-10"/>
    <d v="2019-10-25T00:00:00"/>
    <x v="6"/>
    <s v="4235 Reconnect Charge Residential"/>
    <s v=""/>
    <s v="BJ0021964"/>
    <n v="0"/>
    <n v="65"/>
    <n v="-65"/>
    <s v=""/>
    <n v="1118789"/>
    <s v=""/>
    <s v="4000"/>
    <s v=""/>
    <s v="GL IMPORT"/>
    <s v=""/>
    <d v="2019-10-30T00:00:00"/>
    <s v="4235 Miscellaneous Service (Other Op. Revenues)"/>
    <s v=""/>
    <s v="Reg. Service Revenue"/>
    <s v="Reg. Service Revenue"/>
    <s v="dross"/>
  </r>
  <r>
    <s v="247-4000-10"/>
    <d v="2019-10-01T00:00:00"/>
    <x v="6"/>
    <s v="4235 Reconnect Charge Residential"/>
    <s v=""/>
    <s v="BJ0021894"/>
    <n v="0"/>
    <n v="445"/>
    <n v="-445"/>
    <s v=""/>
    <n v="1114436"/>
    <s v=""/>
    <s v="4000"/>
    <s v=""/>
    <s v="GL IMPORT"/>
    <s v=""/>
    <d v="2019-10-02T00:00:00"/>
    <s v="4235 Miscellaneous Service (Other Op. Revenues)"/>
    <s v=""/>
    <s v="Reg. Service Revenue"/>
    <s v="Reg. Service Revenue"/>
    <s v="dross"/>
  </r>
  <r>
    <s v="247-4000-10"/>
    <d v="2019-10-01T00:00:00"/>
    <x v="6"/>
    <s v="4235 Reconnect Charge Residential"/>
    <s v=""/>
    <s v="BJ0021893"/>
    <n v="0"/>
    <n v="510"/>
    <n v="-510"/>
    <s v=""/>
    <n v="1114435"/>
    <s v=""/>
    <s v="4000"/>
    <s v=""/>
    <s v="GL IMPORT"/>
    <s v=""/>
    <d v="2019-10-02T00:00:00"/>
    <s v="4235 Miscellaneous Service (Other Op. Revenues)"/>
    <s v=""/>
    <s v="Reg. Service Revenue"/>
    <s v="Reg. Service Revenue"/>
    <s v="dross"/>
  </r>
  <r>
    <s v="247-4000-10"/>
    <d v="2019-10-09T00:00:00"/>
    <x v="6"/>
    <s v="4235 Reconnect Charge Residential"/>
    <s v=""/>
    <s v="BJ0021914"/>
    <n v="0"/>
    <n v="380"/>
    <n v="-380"/>
    <s v=""/>
    <n v="1115835"/>
    <s v=""/>
    <s v="4000"/>
    <s v=""/>
    <s v="GL IMPORT"/>
    <s v=""/>
    <d v="2019-10-10T00:00:00"/>
    <s v="4235 Miscellaneous Service (Other Op. Revenues)"/>
    <s v=""/>
    <s v="Reg. Service Revenue"/>
    <s v="Reg. Service Revenue"/>
    <s v="dross"/>
  </r>
  <r>
    <s v="247-4000-10"/>
    <d v="2019-11-01T00:00:00"/>
    <x v="7"/>
    <s v="4235 Reconnect Charge Residential"/>
    <s v=""/>
    <s v="BJ0021971"/>
    <n v="0"/>
    <n v="130"/>
    <n v="-130"/>
    <s v=""/>
    <n v="1120092"/>
    <s v=""/>
    <s v="4000"/>
    <s v=""/>
    <s v="GL IMPORT"/>
    <s v=""/>
    <d v="2019-11-04T00:00:00"/>
    <s v="4235 Miscellaneous Service (Other Op. Revenues)"/>
    <s v=""/>
    <s v="Reg. Service Revenue"/>
    <s v="Reg. Service Revenue"/>
    <s v="dross"/>
  </r>
  <r>
    <s v="247-4000-10"/>
    <d v="2019-11-01T00:00:00"/>
    <x v="7"/>
    <s v="4235 Reconnect Charge Residential"/>
    <s v=""/>
    <s v="BJ0021970"/>
    <n v="0"/>
    <n v="325"/>
    <n v="-325"/>
    <s v=""/>
    <n v="1120091"/>
    <s v=""/>
    <s v="4000"/>
    <s v=""/>
    <s v="GL IMPORT"/>
    <s v=""/>
    <d v="2019-11-04T00:00:00"/>
    <s v="4235 Miscellaneous Service (Other Op. Revenues)"/>
    <s v=""/>
    <s v="Reg. Service Revenue"/>
    <s v="Reg. Service Revenue"/>
    <s v="dross"/>
  </r>
  <r>
    <s v="247-4000-10"/>
    <d v="2019-11-05T00:00:00"/>
    <x v="7"/>
    <s v="4235 Reconnect Charge Residential"/>
    <s v=""/>
    <s v="BJ0021972"/>
    <n v="0"/>
    <n v="390"/>
    <n v="-390"/>
    <s v=""/>
    <n v="1120398"/>
    <s v=""/>
    <s v="4000"/>
    <s v=""/>
    <s v="GL IMPORT"/>
    <s v=""/>
    <d v="2019-11-06T00:00:00"/>
    <s v="4235 Miscellaneous Service (Other Op. Revenues)"/>
    <s v=""/>
    <s v="Reg. Service Revenue"/>
    <s v="Reg. Service Revenue"/>
    <s v="dross"/>
  </r>
  <r>
    <s v="247-4000-10"/>
    <d v="2019-11-08T00:00:00"/>
    <x v="7"/>
    <s v="4235 Reconnect Charge Residential"/>
    <s v=""/>
    <s v="BJ0021987"/>
    <n v="0"/>
    <n v="260"/>
    <n v="-260"/>
    <s v=""/>
    <n v="1120616"/>
    <s v=""/>
    <s v="4000"/>
    <s v=""/>
    <s v="GL IMPORT"/>
    <s v=""/>
    <d v="2019-11-11T00:00:00"/>
    <s v="4235 Miscellaneous Service (Other Op. Revenues)"/>
    <s v=""/>
    <s v="Reg. Service Revenue"/>
    <s v="Reg. Service Revenue"/>
    <s v="dross"/>
  </r>
  <r>
    <s v="247-4000-10"/>
    <d v="2019-11-08T00:00:00"/>
    <x v="7"/>
    <s v="4235 Reconnect Charge Residential"/>
    <s v=""/>
    <s v="BJ0021985"/>
    <n v="0"/>
    <n v="1020"/>
    <n v="-1020"/>
    <s v=""/>
    <n v="1120614"/>
    <s v=""/>
    <s v="4000"/>
    <s v=""/>
    <s v="GL IMPORT"/>
    <s v=""/>
    <d v="2019-11-11T00:00:00"/>
    <s v="4235 Miscellaneous Service (Other Op. Revenues)"/>
    <s v=""/>
    <s v="Reg. Service Revenue"/>
    <s v="Reg. Service Revenue"/>
    <s v="dross"/>
  </r>
  <r>
    <s v="247-4000-10"/>
    <d v="2019-11-05T00:00:00"/>
    <x v="7"/>
    <s v="4235 Reconnect Charge Residential"/>
    <s v=""/>
    <s v="BJ0021974"/>
    <n v="0"/>
    <n v="540"/>
    <n v="-540"/>
    <s v=""/>
    <n v="1120400"/>
    <s v=""/>
    <s v="4000"/>
    <s v=""/>
    <s v="GL IMPORT"/>
    <s v=""/>
    <d v="2019-11-06T00:00:00"/>
    <s v="4235 Miscellaneous Service (Other Op. Revenues)"/>
    <s v=""/>
    <s v="Reg. Service Revenue"/>
    <s v="Reg. Service Revenue"/>
    <s v="dross"/>
  </r>
  <r>
    <s v="247-4000-10"/>
    <d v="2019-10-22T00:00:00"/>
    <x v="6"/>
    <s v="4235 Reconnect Charge Residential"/>
    <s v=""/>
    <s v="BJ0021939"/>
    <n v="0"/>
    <n v="445"/>
    <n v="-445"/>
    <s v=""/>
    <n v="1118286"/>
    <s v=""/>
    <s v="4000"/>
    <s v=""/>
    <s v="GL IMPORT"/>
    <s v=""/>
    <d v="2019-10-23T00:00:00"/>
    <s v="4235 Miscellaneous Service (Other Op. Revenues)"/>
    <s v=""/>
    <s v="Reg. Service Revenue"/>
    <s v="Reg. Service Revenue"/>
    <s v="dross"/>
  </r>
  <r>
    <s v="247-4000-10"/>
    <d v="2019-10-22T00:00:00"/>
    <x v="6"/>
    <s v="4235 Reconnect Charge Residential"/>
    <s v=""/>
    <s v="BJ0021941"/>
    <n v="0"/>
    <n v="585"/>
    <n v="-585"/>
    <s v=""/>
    <n v="1118288"/>
    <s v=""/>
    <s v="4000"/>
    <s v=""/>
    <s v="GL IMPORT"/>
    <s v=""/>
    <d v="2019-10-23T00:00:00"/>
    <s v="4235 Miscellaneous Service (Other Op. Revenues)"/>
    <s v=""/>
    <s v="Reg. Service Revenue"/>
    <s v="Reg. Service Revenue"/>
    <s v="dross"/>
  </r>
  <r>
    <s v="247-4000-10"/>
    <d v="2019-10-22T00:00:00"/>
    <x v="6"/>
    <s v="4235 Reconnect Charge Residential"/>
    <s v=""/>
    <s v="BJ0021942"/>
    <n v="0"/>
    <n v="615"/>
    <n v="-615"/>
    <s v=""/>
    <n v="1118289"/>
    <s v=""/>
    <s v="4000"/>
    <s v=""/>
    <s v="GL IMPORT"/>
    <s v=""/>
    <d v="2019-10-23T00:00:00"/>
    <s v="4235 Miscellaneous Service (Other Op. Revenues)"/>
    <s v=""/>
    <s v="Reg. Service Revenue"/>
    <s v="Reg. Service Revenue"/>
    <s v="dross"/>
  </r>
  <r>
    <s v="247-4000-10"/>
    <d v="2019-10-22T00:00:00"/>
    <x v="6"/>
    <s v="4235 Reconnect Charge Residential"/>
    <s v=""/>
    <s v="BJ0021940"/>
    <n v="0"/>
    <n v="955"/>
    <n v="-955"/>
    <s v=""/>
    <n v="1118287"/>
    <s v=""/>
    <s v="4000"/>
    <s v=""/>
    <s v="GL IMPORT"/>
    <s v=""/>
    <d v="2019-10-23T00:00:00"/>
    <s v="4235 Miscellaneous Service (Other Op. Revenues)"/>
    <s v=""/>
    <s v="Reg. Service Revenue"/>
    <s v="Reg. Service Revenue"/>
    <s v="dross"/>
  </r>
  <r>
    <s v="247-4000-10"/>
    <d v="2019-11-05T00:00:00"/>
    <x v="7"/>
    <s v="4235 Reconnect Charge Residential"/>
    <s v=""/>
    <s v="BJ0021973"/>
    <n v="0"/>
    <n v="835"/>
    <n v="-835"/>
    <s v=""/>
    <n v="1120399"/>
    <s v=""/>
    <s v="4000"/>
    <s v=""/>
    <s v="GL IMPORT"/>
    <s v=""/>
    <d v="2019-11-06T00:00:00"/>
    <s v="4235 Miscellaneous Service (Other Op. Revenues)"/>
    <s v=""/>
    <s v="Reg. Service Revenue"/>
    <s v="Reg. Service Revenue"/>
    <s v="dross"/>
  </r>
  <r>
    <s v="247-4000-10"/>
    <d v="2019-10-31T00:00:00"/>
    <x v="6"/>
    <s v="4235 Reconnect Charge Residential"/>
    <s v=""/>
    <s v="BJ0021967"/>
    <n v="0"/>
    <n v="130"/>
    <n v="-130"/>
    <s v=""/>
    <n v="1119144"/>
    <s v=""/>
    <s v="4000"/>
    <s v=""/>
    <s v="GL IMPORT"/>
    <s v=""/>
    <d v="2019-10-31T00:00:00"/>
    <s v="4235 Miscellaneous Service (Other Op. Revenues)"/>
    <s v=""/>
    <s v="Reg. Service Revenue"/>
    <s v="Reg. Service Revenue"/>
    <s v="dross"/>
  </r>
  <r>
    <s v="247-4000-10"/>
    <d v="2019-11-01T00:00:00"/>
    <x v="7"/>
    <s v="4235 Reconnect Charge Residential"/>
    <s v=""/>
    <s v="BJ0021969"/>
    <n v="0"/>
    <n v="130"/>
    <n v="-130"/>
    <s v=""/>
    <n v="1120090"/>
    <s v=""/>
    <s v="4000"/>
    <s v=""/>
    <s v="GL IMPORT"/>
    <s v=""/>
    <d v="2019-11-04T00:00:00"/>
    <s v="4235 Miscellaneous Service (Other Op. Revenues)"/>
    <s v=""/>
    <s v="Reg. Service Revenue"/>
    <s v="Reg. Service Revenue"/>
    <s v="dross"/>
  </r>
  <r>
    <s v="247-4000-10"/>
    <d v="2019-11-06T00:00:00"/>
    <x v="7"/>
    <s v="4235 Reconnect Charge Residential"/>
    <s v=""/>
    <s v="BJ0021975"/>
    <n v="0"/>
    <n v="2215"/>
    <n v="-2215"/>
    <s v=""/>
    <n v="1120518"/>
    <s v=""/>
    <s v="4000"/>
    <s v=""/>
    <s v="GL IMPORT"/>
    <s v=""/>
    <d v="2019-11-07T00:00:00"/>
    <s v="4235 Miscellaneous Service (Other Op. Revenues)"/>
    <s v=""/>
    <s v="Reg. Service Revenue"/>
    <s v="Reg. Service Revenue"/>
    <s v="dross"/>
  </r>
  <r>
    <s v="247-4000-10"/>
    <d v="2019-11-07T00:00:00"/>
    <x v="7"/>
    <s v="4235 Reconnect Charge Residential"/>
    <s v=""/>
    <s v="EC0031869"/>
    <n v="120"/>
    <n v="0"/>
    <n v="120"/>
    <s v=""/>
    <n v="1120569"/>
    <s v=""/>
    <s v="4000"/>
    <s v=""/>
    <s v="GL IMPORT"/>
    <s v=""/>
    <d v="2019-11-08T00:00:00"/>
    <s v="4235 Miscellaneous Service (Other Op. Revenues)"/>
    <s v=""/>
    <s v="Reg. Service Revenue"/>
    <s v="Reg. Service Revenue"/>
    <s v="dross"/>
  </r>
  <r>
    <s v="247-4000-10"/>
    <d v="2019-11-06T00:00:00"/>
    <x v="7"/>
    <s v="4235 Reconnect Charge Residential"/>
    <s v=""/>
    <s v="BJ0021978"/>
    <n v="0"/>
    <n v="65"/>
    <n v="-65"/>
    <s v=""/>
    <n v="1120521"/>
    <s v=""/>
    <s v="4000"/>
    <s v=""/>
    <s v="GL IMPORT"/>
    <s v=""/>
    <d v="2019-11-07T00:00:00"/>
    <s v="4235 Miscellaneous Service (Other Op. Revenues)"/>
    <s v=""/>
    <s v="Reg. Service Revenue"/>
    <s v="Reg. Service Revenue"/>
    <s v="dross"/>
  </r>
  <r>
    <s v="247-4000-10"/>
    <d v="2019-11-06T00:00:00"/>
    <x v="7"/>
    <s v="4235 Reconnect Charge Residential"/>
    <s v=""/>
    <s v="BJ0021976"/>
    <n v="0"/>
    <n v="325"/>
    <n v="-325"/>
    <s v=""/>
    <n v="1120519"/>
    <s v=""/>
    <s v="4000"/>
    <s v=""/>
    <s v="GL IMPORT"/>
    <s v=""/>
    <d v="2019-11-07T00:00:00"/>
    <s v="4235 Miscellaneous Service (Other Op. Revenues)"/>
    <s v=""/>
    <s v="Reg. Service Revenue"/>
    <s v="Reg. Service Revenue"/>
    <s v="dross"/>
  </r>
  <r>
    <s v="247-4000-10"/>
    <d v="2019-11-06T00:00:00"/>
    <x v="7"/>
    <s v="4235 Reconnect Charge Residential"/>
    <s v=""/>
    <s v="BJ0021979"/>
    <n v="0"/>
    <n v="380"/>
    <n v="-380"/>
    <s v=""/>
    <n v="1120522"/>
    <s v=""/>
    <s v="4000"/>
    <s v=""/>
    <s v="GL IMPORT"/>
    <s v=""/>
    <d v="2019-11-07T00:00:00"/>
    <s v="4235 Miscellaneous Service (Other Op. Revenues)"/>
    <s v=""/>
    <s v="Reg. Service Revenue"/>
    <s v="Reg. Service Revenue"/>
    <s v="dross"/>
  </r>
  <r>
    <s v="247-4000-10"/>
    <d v="2019-11-06T00:00:00"/>
    <x v="7"/>
    <s v="4235 Reconnect Charge Residential"/>
    <s v=""/>
    <s v="BJ0021977"/>
    <n v="0"/>
    <n v="770"/>
    <n v="-770"/>
    <s v=""/>
    <n v="1120520"/>
    <s v=""/>
    <s v="4000"/>
    <s v=""/>
    <s v="GL IMPORT"/>
    <s v=""/>
    <d v="2019-11-07T00:00:00"/>
    <s v="4235 Miscellaneous Service (Other Op. Revenues)"/>
    <s v=""/>
    <s v="Reg. Service Revenue"/>
    <s v="Reg. Service Revenue"/>
    <s v="dross"/>
  </r>
  <r>
    <s v="247-4000-10"/>
    <d v="2019-11-06T00:00:00"/>
    <x v="7"/>
    <s v="4235 Reconnect Charge Residential"/>
    <s v=""/>
    <s v="BJ0021981"/>
    <n v="0"/>
    <n v="890"/>
    <n v="-890"/>
    <s v=""/>
    <n v="1120524"/>
    <s v=""/>
    <s v="4000"/>
    <s v=""/>
    <s v="GL IMPORT"/>
    <s v=""/>
    <d v="2019-11-07T00:00:00"/>
    <s v="4235 Miscellaneous Service (Other Op. Revenues)"/>
    <s v=""/>
    <s v="Reg. Service Revenue"/>
    <s v="Reg. Service Revenue"/>
    <s v="dross"/>
  </r>
  <r>
    <s v="247-4000-10"/>
    <d v="2019-11-11T00:00:00"/>
    <x v="7"/>
    <s v="4235 Reconnect Charge Residential"/>
    <s v=""/>
    <s v="BJ0021994"/>
    <n v="0"/>
    <n v="65"/>
    <n v="-65"/>
    <s v=""/>
    <n v="1120747"/>
    <s v=""/>
    <s v="4000"/>
    <s v=""/>
    <s v="GL IMPORT"/>
    <s v=""/>
    <d v="2019-11-12T00:00:00"/>
    <s v="4235 Miscellaneous Service (Other Op. Revenues)"/>
    <s v=""/>
    <s v="Reg. Service Revenue"/>
    <s v="Reg. Service Revenue"/>
    <s v="dross"/>
  </r>
  <r>
    <s v="247-4000-10"/>
    <d v="2019-11-11T00:00:00"/>
    <x v="7"/>
    <s v="4235 Reconnect Charge Residential"/>
    <s v=""/>
    <s v="BJ0021990"/>
    <n v="0"/>
    <n v="195"/>
    <n v="-195"/>
    <s v=""/>
    <n v="1120743"/>
    <s v=""/>
    <s v="4000"/>
    <s v=""/>
    <s v="GL IMPORT"/>
    <s v=""/>
    <d v="2019-11-12T00:00:00"/>
    <s v="4235 Miscellaneous Service (Other Op. Revenues)"/>
    <s v=""/>
    <s v="Reg. Service Revenue"/>
    <s v="Reg. Service Revenue"/>
    <s v="dross"/>
  </r>
  <r>
    <s v="247-4000-10"/>
    <d v="2019-11-12T00:00:00"/>
    <x v="7"/>
    <s v="4235 Reconnect Charge Residential"/>
    <s v=""/>
    <s v="BJ0021997"/>
    <n v="0"/>
    <n v="65"/>
    <n v="-65"/>
    <s v=""/>
    <n v="1120799"/>
    <s v=""/>
    <s v="4000"/>
    <s v=""/>
    <s v="GL IMPORT"/>
    <s v=""/>
    <d v="2019-11-13T00:00:00"/>
    <s v="4235 Miscellaneous Service (Other Op. Revenues)"/>
    <s v=""/>
    <s v="Reg. Service Revenue"/>
    <s v="Reg. Service Revenue"/>
    <s v="dross"/>
  </r>
  <r>
    <s v="247-4000-10"/>
    <d v="2019-11-27T00:00:00"/>
    <x v="7"/>
    <s v="4235 Reconnect Charge Residential"/>
    <s v=""/>
    <s v="BJ0022015"/>
    <n v="0"/>
    <n v="130"/>
    <n v="-130"/>
    <s v=""/>
    <n v="1123520"/>
    <s v=""/>
    <s v="4000"/>
    <s v=""/>
    <s v="GL IMPORT"/>
    <s v=""/>
    <d v="2019-11-28T00:00:00"/>
    <s v="4235 Miscellaneous Service (Other Op. Revenues)"/>
    <s v=""/>
    <s v="Reg. Service Revenue"/>
    <s v="Reg. Service Revenue"/>
    <s v="dross"/>
  </r>
  <r>
    <s v="247-4000-10"/>
    <d v="2019-12-02T00:00:00"/>
    <x v="8"/>
    <s v="4235 Reconnect Charge Residential"/>
    <s v=""/>
    <s v="BJ0022027"/>
    <n v="0"/>
    <n v="250"/>
    <n v="-250"/>
    <s v=""/>
    <n v="1123794"/>
    <s v=""/>
    <s v="4000"/>
    <s v=""/>
    <s v="GL IMPORT"/>
    <s v=""/>
    <d v="2019-12-03T00:00:00"/>
    <s v="4235 Miscellaneous Service (Other Op. Revenues)"/>
    <s v=""/>
    <s v="Reg. Service Revenue"/>
    <s v="Reg. Service Revenue"/>
    <s v="dross"/>
  </r>
  <r>
    <s v="247-4000-10"/>
    <d v="2019-11-25T00:00:00"/>
    <x v="7"/>
    <s v="4235 Reconnect Charge Residential"/>
    <s v=""/>
    <s v="BJ0022011"/>
    <n v="0"/>
    <n v="130"/>
    <n v="-130"/>
    <s v=""/>
    <n v="1123343"/>
    <s v=""/>
    <s v="4000"/>
    <s v=""/>
    <s v="GL IMPORT"/>
    <s v=""/>
    <d v="2019-11-27T00:00:00"/>
    <s v="4235 Miscellaneous Service (Other Op. Revenues)"/>
    <s v=""/>
    <s v="Reg. Service Revenue"/>
    <s v="Reg. Service Revenue"/>
    <s v="dross"/>
  </r>
  <r>
    <s v="247-4000-10"/>
    <d v="2019-11-25T00:00:00"/>
    <x v="7"/>
    <s v="4235 Reconnect Charge Residential"/>
    <s v=""/>
    <s v="BJ0022008"/>
    <n v="0"/>
    <n v="250"/>
    <n v="-250"/>
    <s v=""/>
    <n v="1123340"/>
    <s v=""/>
    <s v="4000"/>
    <s v=""/>
    <s v="GL IMPORT"/>
    <s v=""/>
    <d v="2019-11-27T00:00:00"/>
    <s v="4235 Miscellaneous Service (Other Op. Revenues)"/>
    <s v=""/>
    <s v="Reg. Service Revenue"/>
    <s v="Reg. Service Revenue"/>
    <s v="dross"/>
  </r>
  <r>
    <s v="247-4000-10"/>
    <d v="2019-11-25T00:00:00"/>
    <x v="7"/>
    <s v="4235 Reconnect Charge Residential"/>
    <s v=""/>
    <s v="BJ0022009"/>
    <n v="0"/>
    <n v="325"/>
    <n v="-325"/>
    <s v=""/>
    <n v="1123341"/>
    <s v=""/>
    <s v="4000"/>
    <s v=""/>
    <s v="GL IMPORT"/>
    <s v=""/>
    <d v="2019-11-27T00:00:00"/>
    <s v="4235 Miscellaneous Service (Other Op. Revenues)"/>
    <s v=""/>
    <s v="Reg. Service Revenue"/>
    <s v="Reg. Service Revenue"/>
    <s v="dross"/>
  </r>
  <r>
    <s v="247-4000-10"/>
    <d v="2019-11-25T00:00:00"/>
    <x v="7"/>
    <s v="4235 Reconnect Charge Residential"/>
    <s v=""/>
    <s v="BJ0022010"/>
    <n v="0"/>
    <n v="445"/>
    <n v="-445"/>
    <s v=""/>
    <n v="1123342"/>
    <s v=""/>
    <s v="4000"/>
    <s v=""/>
    <s v="GL IMPORT"/>
    <s v=""/>
    <d v="2019-11-27T00:00:00"/>
    <s v="4235 Miscellaneous Service (Other Op. Revenues)"/>
    <s v=""/>
    <s v="Reg. Service Revenue"/>
    <s v="Reg. Service Revenue"/>
    <s v="dross"/>
  </r>
  <r>
    <s v="247-4000-10"/>
    <d v="2019-12-03T00:00:00"/>
    <x v="8"/>
    <s v="4235 Reconnect Charge Residential"/>
    <s v=""/>
    <s v="BJ0022029"/>
    <n v="0"/>
    <n v="65"/>
    <n v="-65"/>
    <s v=""/>
    <n v="1123796"/>
    <s v=""/>
    <s v="4000"/>
    <s v=""/>
    <s v="GL IMPORT"/>
    <s v=""/>
    <d v="2019-12-03T00:00:00"/>
    <s v="4235 Miscellaneous Service (Other Op. Revenues)"/>
    <s v=""/>
    <s v="Reg. Service Revenue"/>
    <s v="Reg. Service Revenue"/>
    <s v="dross"/>
  </r>
  <r>
    <s v="247-4000-10"/>
    <d v="2019-11-26T00:00:00"/>
    <x v="7"/>
    <s v="4235 Reconnect Charge Residential"/>
    <s v=""/>
    <s v="BJ0022014"/>
    <n v="0"/>
    <n v="185"/>
    <n v="-185"/>
    <s v=""/>
    <n v="1123346"/>
    <s v=""/>
    <s v="4000"/>
    <s v=""/>
    <s v="GL IMPORT"/>
    <s v=""/>
    <d v="2019-11-27T00:00:00"/>
    <s v="4235 Miscellaneous Service (Other Op. Revenues)"/>
    <s v=""/>
    <s v="Reg. Service Revenue"/>
    <s v="Reg. Service Revenue"/>
    <s v="dross"/>
  </r>
  <r>
    <s v="247-4000-10"/>
    <d v="2019-11-26T00:00:00"/>
    <x v="7"/>
    <s v="4235 Reconnect Charge Residential"/>
    <s v=""/>
    <s v="BJ0022012"/>
    <n v="0"/>
    <n v="195"/>
    <n v="-195"/>
    <s v=""/>
    <n v="1123344"/>
    <s v=""/>
    <s v="4000"/>
    <s v=""/>
    <s v="GL IMPORT"/>
    <s v=""/>
    <d v="2019-11-27T00:00:00"/>
    <s v="4235 Miscellaneous Service (Other Op. Revenues)"/>
    <s v=""/>
    <s v="Reg. Service Revenue"/>
    <s v="Reg. Service Revenue"/>
    <s v="dross"/>
  </r>
  <r>
    <s v="247-4000-10"/>
    <d v="2019-12-10T00:00:00"/>
    <x v="8"/>
    <s v="4235 Reconnect Charge Residential"/>
    <s v=""/>
    <s v="BJ0022045"/>
    <n v="0"/>
    <n v="370"/>
    <n v="-370"/>
    <s v=""/>
    <n v="1125534"/>
    <s v=""/>
    <s v="4000"/>
    <s v=""/>
    <s v="GL IMPORT"/>
    <s v=""/>
    <d v="2019-12-11T00:00:00"/>
    <s v="4235 Miscellaneous Service (Other Op. Revenues)"/>
    <s v=""/>
    <s v="Reg. Service Revenue"/>
    <s v="Reg. Service Revenue"/>
    <s v="dross"/>
  </r>
  <r>
    <s v="247-4000-10"/>
    <d v="2019-12-13T00:00:00"/>
    <x v="8"/>
    <s v="4235 Reconnect Charge Residential"/>
    <s v=""/>
    <s v="AJ0029791"/>
    <n v="65"/>
    <n v="0"/>
    <n v="65"/>
    <s v=""/>
    <n v="1126923"/>
    <s v=""/>
    <s v="4000"/>
    <s v=""/>
    <s v="GL IMPORT"/>
    <s v=""/>
    <d v="2019-12-17T00:00:00"/>
    <s v="4235 Miscellaneous Service (Other Op. Revenues)"/>
    <s v=""/>
    <s v="Reg. Service Revenue"/>
    <s v="Reg. Service Revenue"/>
    <s v="dross"/>
  </r>
  <r>
    <s v="247-4000-10"/>
    <d v="2019-12-10T00:00:00"/>
    <x v="8"/>
    <s v="4235 Reconnect Charge Residential"/>
    <s v=""/>
    <s v="BJ0022044"/>
    <n v="0"/>
    <n v="130"/>
    <n v="-130"/>
    <s v=""/>
    <n v="1125533"/>
    <s v=""/>
    <s v="4000"/>
    <s v=""/>
    <s v="GL IMPORT"/>
    <s v=""/>
    <d v="2019-12-11T00:00:00"/>
    <s v="4235 Miscellaneous Service (Other Op. Revenues)"/>
    <s v=""/>
    <s v="Reg. Service Revenue"/>
    <s v="Reg. Service Revenue"/>
    <s v="dross"/>
  </r>
  <r>
    <s v="247-4000-10"/>
    <d v="2019-12-10T00:00:00"/>
    <x v="8"/>
    <s v="4235 Reconnect Charge Residential"/>
    <s v=""/>
    <s v="BJ0022048"/>
    <n v="0"/>
    <n v="185"/>
    <n v="-185"/>
    <s v=""/>
    <n v="1125537"/>
    <s v=""/>
    <s v="4000"/>
    <s v=""/>
    <s v="GL IMPORT"/>
    <s v=""/>
    <d v="2019-12-11T00:00:00"/>
    <s v="4235 Miscellaneous Service (Other Op. Revenues)"/>
    <s v=""/>
    <s v="Reg. Service Revenue"/>
    <s v="Reg. Service Revenue"/>
    <s v="dross"/>
  </r>
  <r>
    <s v="247-4000-10"/>
    <d v="2019-12-10T00:00:00"/>
    <x v="8"/>
    <s v="4235 Reconnect Charge Residential"/>
    <s v=""/>
    <s v="BJ0022047"/>
    <n v="0"/>
    <n v="250"/>
    <n v="-250"/>
    <s v=""/>
    <n v="1125536"/>
    <s v=""/>
    <s v="4000"/>
    <s v=""/>
    <s v="GL IMPORT"/>
    <s v=""/>
    <d v="2019-12-11T00:00:00"/>
    <s v="4235 Miscellaneous Service (Other Op. Revenues)"/>
    <s v=""/>
    <s v="Reg. Service Revenue"/>
    <s v="Reg. Service Revenue"/>
    <s v="dross"/>
  </r>
  <r>
    <s v="247-4000-10"/>
    <d v="2019-12-16T00:00:00"/>
    <x v="8"/>
    <s v="4235 Reconnect Charge Residential"/>
    <s v=""/>
    <s v="BJ0022053"/>
    <n v="0"/>
    <n v="65"/>
    <n v="-65"/>
    <s v=""/>
    <n v="1126929"/>
    <s v=""/>
    <s v="4000"/>
    <s v=""/>
    <s v="GL IMPORT"/>
    <s v=""/>
    <d v="2019-12-17T00:00:00"/>
    <s v="4235 Miscellaneous Service (Other Op. Revenues)"/>
    <s v=""/>
    <s v="Reg. Service Revenue"/>
    <s v="Reg. Service Revenue"/>
    <s v="dross"/>
  </r>
  <r>
    <s v="247-4000-10"/>
    <d v="2019-12-17T00:00:00"/>
    <x v="8"/>
    <s v="4235 Reconnect Charge Residential"/>
    <s v=""/>
    <s v="BJ0022057"/>
    <n v="0"/>
    <n v="65"/>
    <n v="-65"/>
    <s v=""/>
    <n v="1127690"/>
    <s v=""/>
    <s v="4000"/>
    <s v=""/>
    <s v="GL IMPORT"/>
    <s v=""/>
    <d v="2019-12-18T00:00:00"/>
    <s v="4235 Miscellaneous Service (Other Op. Revenues)"/>
    <s v=""/>
    <s v="Reg. Service Revenue"/>
    <s v="Reg. Service Revenue"/>
    <s v="dross"/>
  </r>
  <r>
    <s v="247-4000-10"/>
    <d v="2019-12-19T00:00:00"/>
    <x v="8"/>
    <s v="4235 Reconnect Charge Residential"/>
    <s v=""/>
    <s v="BJ0022062"/>
    <n v="0"/>
    <n v="185"/>
    <n v="-185"/>
    <s v=""/>
    <n v="1127772"/>
    <s v=""/>
    <s v="4000"/>
    <s v=""/>
    <s v="GL IMPORT"/>
    <s v=""/>
    <d v="2019-12-20T00:00:00"/>
    <s v="4235 Miscellaneous Service (Other Op. Revenues)"/>
    <s v=""/>
    <s v="Reg. Service Revenue"/>
    <s v="Reg. Service Revenue"/>
    <s v="dross"/>
  </r>
  <r>
    <s v="247-4000-10"/>
    <d v="2019-12-23T00:00:00"/>
    <x v="8"/>
    <s v="4235 Reconnect Charge Residential"/>
    <s v=""/>
    <s v="BJ0022075"/>
    <n v="0"/>
    <n v="185"/>
    <n v="-185"/>
    <s v=""/>
    <n v="1128797"/>
    <s v=""/>
    <s v="4000"/>
    <s v=""/>
    <s v="GL IMPORT"/>
    <s v=""/>
    <d v="2019-12-31T00:00:00"/>
    <s v="4235 Miscellaneous Service (Other Op. Revenues)"/>
    <s v=""/>
    <s v="Reg. Service Revenue"/>
    <s v="Reg. Service Revenue"/>
    <s v="dross"/>
  </r>
  <r>
    <s v="247-4000-10"/>
    <d v="2019-12-06T00:00:00"/>
    <x v="8"/>
    <s v="4235 Reconnect Charge Residential"/>
    <s v=""/>
    <s v="BJ0022041"/>
    <n v="0"/>
    <n v="130"/>
    <n v="-130"/>
    <s v=""/>
    <n v="1125310"/>
    <s v=""/>
    <s v="4000"/>
    <s v=""/>
    <s v="GL IMPORT"/>
    <s v=""/>
    <d v="2019-12-09T00:00:00"/>
    <s v="4235 Miscellaneous Service (Other Op. Revenues)"/>
    <s v=""/>
    <s v="Reg. Service Revenue"/>
    <s v="Reg. Service Revenue"/>
    <s v="dross"/>
  </r>
  <r>
    <s v="247-4000-10"/>
    <d v="2019-12-06T00:00:00"/>
    <x v="8"/>
    <s v="4235 Reconnect Charge Residential"/>
    <s v=""/>
    <s v="BJ0022043"/>
    <n v="0"/>
    <n v="185"/>
    <n v="-185"/>
    <s v=""/>
    <n v="1125312"/>
    <s v=""/>
    <s v="4000"/>
    <s v=""/>
    <s v="GL IMPORT"/>
    <s v=""/>
    <d v="2019-12-09T00:00:00"/>
    <s v="4235 Miscellaneous Service (Other Op. Revenues)"/>
    <s v=""/>
    <s v="Reg. Service Revenue"/>
    <s v="Reg. Service Revenue"/>
    <s v="dross"/>
  </r>
  <r>
    <s v="247-4000-10"/>
    <d v="2019-12-06T00:00:00"/>
    <x v="8"/>
    <s v="4235 Reconnect Charge Residential"/>
    <s v=""/>
    <s v="BJ0022040"/>
    <n v="0"/>
    <n v="250"/>
    <n v="-250"/>
    <s v=""/>
    <n v="1125309"/>
    <s v=""/>
    <s v="4000"/>
    <s v=""/>
    <s v="GL IMPORT"/>
    <s v=""/>
    <d v="2019-12-09T00:00:00"/>
    <s v="4235 Miscellaneous Service (Other Op. Revenues)"/>
    <s v=""/>
    <s v="Reg. Service Revenue"/>
    <s v="Reg. Service Revenue"/>
    <s v="dross"/>
  </r>
  <r>
    <s v="247-4000-10"/>
    <d v="2019-12-10T00:00:00"/>
    <x v="8"/>
    <s v="4235 Reconnect Charge Residential"/>
    <s v=""/>
    <s v="BJ0022046"/>
    <n v="0"/>
    <n v="65"/>
    <n v="-65"/>
    <s v=""/>
    <n v="1125535"/>
    <s v=""/>
    <s v="4000"/>
    <s v=""/>
    <s v="GL IMPORT"/>
    <s v=""/>
    <d v="2019-12-11T00:00:00"/>
    <s v="4235 Miscellaneous Service (Other Op. Revenues)"/>
    <s v=""/>
    <s v="Reg. Service Revenue"/>
    <s v="Reg. Service Revenue"/>
    <s v="dross"/>
  </r>
  <r>
    <s v="247-4010-10"/>
    <d v="2019-01-17T00:00:00"/>
    <x v="9"/>
    <s v="4235 Reconnect Charge Comm &lt; 50 kw"/>
    <s v=""/>
    <s v="BJ0021346"/>
    <n v="0"/>
    <n v="65"/>
    <n v="-65"/>
    <s v=""/>
    <n v="1077877"/>
    <s v=""/>
    <s v="4010"/>
    <s v=""/>
    <s v="GL IMPORT"/>
    <s v=""/>
    <d v="2019-01-18T00:00:00"/>
    <s v="4235 Miscellaneous Service (Other Op. Revenues)"/>
    <s v=""/>
    <s v="Reg. Service Revenue"/>
    <s v="Reg. Service Revenue"/>
    <s v="dross"/>
  </r>
  <r>
    <s v="247-4010-10"/>
    <d v="2019-01-23T00:00:00"/>
    <x v="9"/>
    <s v="4235 Reconnect Charge Comm &lt; 50 kw"/>
    <s v=""/>
    <s v="BJ0021356"/>
    <n v="0"/>
    <n v="65"/>
    <n v="-65"/>
    <s v=""/>
    <n v="1078985"/>
    <s v=""/>
    <s v="4010"/>
    <s v=""/>
    <s v="GL IMPORT"/>
    <s v=""/>
    <d v="2019-01-24T00:00:00"/>
    <s v="4235 Miscellaneous Service (Other Op. Revenues)"/>
    <s v=""/>
    <s v="Reg. Service Revenue"/>
    <s v="Reg. Service Revenue"/>
    <s v="dross"/>
  </r>
  <r>
    <s v="247-4010-10"/>
    <d v="2019-02-20T00:00:00"/>
    <x v="0"/>
    <s v="4235 Reconnect Charge Comm &lt; 50 kw"/>
    <s v=""/>
    <s v="BJ0021426"/>
    <n v="0"/>
    <n v="1000"/>
    <n v="-1000"/>
    <s v=""/>
    <n v="1082561"/>
    <s v=""/>
    <s v="4010"/>
    <s v=""/>
    <s v="GL IMPORT"/>
    <s v=""/>
    <d v="2019-02-21T00:00:00"/>
    <s v="4235 Miscellaneous Service (Other Op. Revenues)"/>
    <s v=""/>
    <s v="Reg. Service Revenue"/>
    <s v="Reg. Service Revenue"/>
    <s v="dross"/>
  </r>
  <r>
    <s v="247-4010-10"/>
    <d v="2019-03-15T00:00:00"/>
    <x v="10"/>
    <s v="4235 Reconnect Charge Comm &lt; 50 kw"/>
    <s v=""/>
    <s v="BJ0021483"/>
    <n v="0"/>
    <n v="260"/>
    <n v="-260"/>
    <s v=""/>
    <n v="1086509"/>
    <s v=""/>
    <s v="4010"/>
    <s v=""/>
    <s v="GL IMPORT"/>
    <s v=""/>
    <d v="2019-03-18T00:00:00"/>
    <s v="4235 Miscellaneous Service (Other Op. Revenues)"/>
    <s v=""/>
    <s v="Reg. Service Revenue"/>
    <s v="Reg. Service Revenue"/>
    <s v="dross"/>
  </r>
  <r>
    <s v="247-4010-10"/>
    <d v="2019-05-15T00:00:00"/>
    <x v="1"/>
    <s v="4235 Reconnect Charge Comm &lt; 50 kw"/>
    <s v=""/>
    <s v="BJ0021614"/>
    <n v="0"/>
    <n v="195"/>
    <n v="-195"/>
    <s v=""/>
    <n v="1097913"/>
    <s v=""/>
    <s v="4010"/>
    <s v=""/>
    <s v="GL IMPORT"/>
    <s v=""/>
    <d v="2019-05-27T00:00:00"/>
    <s v="4235 Miscellaneous Service (Other Op. Revenues)"/>
    <s v=""/>
    <s v="Reg. Service Revenue"/>
    <s v="Reg. Service Revenue"/>
    <s v="dross"/>
  </r>
  <r>
    <s v="247-4010-10"/>
    <d v="2019-05-17T00:00:00"/>
    <x v="1"/>
    <s v="4235 Reconnect Charge Comm &lt; 50 kw"/>
    <s v=""/>
    <s v="BJ0021622"/>
    <n v="0"/>
    <n v="65"/>
    <n v="-65"/>
    <s v=""/>
    <n v="1097921"/>
    <s v=""/>
    <s v="4010"/>
    <s v=""/>
    <s v="GL IMPORT"/>
    <s v=""/>
    <d v="2019-05-27T00:00:00"/>
    <s v="4235 Miscellaneous Service (Other Op. Revenues)"/>
    <s v=""/>
    <s v="Reg. Service Revenue"/>
    <s v="Reg. Service Revenue"/>
    <s v="dross"/>
  </r>
  <r>
    <s v="247-4010-10"/>
    <d v="2019-08-12T00:00:00"/>
    <x v="4"/>
    <s v="4235 Reconnect Charge Comm &lt; 50 kw"/>
    <s v=""/>
    <s v="BJ0021783"/>
    <n v="0"/>
    <n v="185"/>
    <n v="-185"/>
    <s v=""/>
    <n v="1110422"/>
    <s v=""/>
    <s v="4010"/>
    <s v=""/>
    <s v="GL IMPORT"/>
    <s v=""/>
    <d v="2019-08-13T00:00:00"/>
    <s v="4235 Miscellaneous Service (Other Op. Revenues)"/>
    <s v=""/>
    <s v="Reg. Service Revenue"/>
    <s v="Reg. Service Revenue"/>
    <s v="dross"/>
  </r>
  <r>
    <s v="247-4010-10"/>
    <d v="2019-12-19T00:00:00"/>
    <x v="8"/>
    <s v="4235 Reconnect Charge Comm &lt; 50 kw"/>
    <s v=""/>
    <s v="BJ0022063"/>
    <n v="0"/>
    <n v="65"/>
    <n v="-65"/>
    <s v=""/>
    <n v="1127773"/>
    <s v=""/>
    <s v="4010"/>
    <s v=""/>
    <s v="GL IMPORT"/>
    <s v=""/>
    <d v="2019-12-20T00:00:00"/>
    <s v="4235 Miscellaneous Service (Other Op. Revenues)"/>
    <s v=""/>
    <s v="Reg. Service Revenue"/>
    <s v="Reg. Service Revenue"/>
    <s v="dross"/>
  </r>
  <r>
    <s v="247-4010-10"/>
    <d v="2019-09-17T00:00:00"/>
    <x v="5"/>
    <s v="4235 Reconnect Charge Comm &lt; 50 kw"/>
    <s v=""/>
    <s v="BJ0021869"/>
    <n v="0"/>
    <n v="130"/>
    <n v="-130"/>
    <s v=""/>
    <n v="30264"/>
    <s v=""/>
    <s v="4010"/>
    <s v=""/>
    <s v="GL IMPORT"/>
    <s v=""/>
    <d v="2019-09-18T00:00:00"/>
    <s v="4235 Miscellaneous Service (Other Op. Revenues)"/>
    <s v=""/>
    <s v="Reg. Service Revenue"/>
    <s v="Reg. Service Revenue"/>
    <s v="dross"/>
  </r>
  <r>
    <s v="247-4010-10"/>
    <d v="2019-10-23T00:00:00"/>
    <x v="6"/>
    <s v="4235 Reconnect Charge Comm &lt; 50 kw"/>
    <s v=""/>
    <s v="BJ0021943"/>
    <n v="0"/>
    <n v="65"/>
    <n v="-65"/>
    <s v=""/>
    <n v="1118479"/>
    <s v=""/>
    <s v="4010"/>
    <s v=""/>
    <s v="GL IMPORT"/>
    <s v=""/>
    <d v="2019-10-24T00:00:00"/>
    <s v="4235 Miscellaneous Service (Other Op. Revenues)"/>
    <s v=""/>
    <s v="Reg. Service Revenue"/>
    <s v="Reg. Service Revenue"/>
    <s v="dross"/>
  </r>
  <r>
    <s v="247-4010-10"/>
    <d v="2019-11-18T00:00:00"/>
    <x v="7"/>
    <s v="4235 Reconnect Charge Comm &lt; 50 kw"/>
    <s v=""/>
    <s v="BJ0022001"/>
    <n v="0"/>
    <n v="195"/>
    <n v="-195"/>
    <s v=""/>
    <n v="1121285"/>
    <s v=""/>
    <s v="4010"/>
    <s v=""/>
    <s v="GL IMPORT"/>
    <s v=""/>
    <d v="2019-11-19T00:00:00"/>
    <s v="4235 Miscellaneous Service (Other Op. Revenues)"/>
    <s v=""/>
    <s v="Reg. Service Revenue"/>
    <s v="Reg. Service Revenue"/>
    <s v="dross"/>
  </r>
  <r>
    <s v="247-4010-10"/>
    <d v="2019-06-19T00:00:00"/>
    <x v="2"/>
    <s v="4235 Reconnect Charge Comm &lt; 50 kw"/>
    <s v=""/>
    <s v="BJ0021685"/>
    <n v="0"/>
    <n v="65"/>
    <n v="-65"/>
    <s v=""/>
    <n v="1102197"/>
    <s v=""/>
    <s v="4010"/>
    <s v=""/>
    <s v="GL IMPORT"/>
    <s v=""/>
    <d v="2019-06-24T00:00:00"/>
    <s v="4235 Miscellaneous Service (Other Op. Revenues)"/>
    <s v=""/>
    <s v="Reg. Service Revenue"/>
    <s v="Reg. Service Revenue"/>
    <s v="dross"/>
  </r>
  <r>
    <s v="247-4010-10"/>
    <d v="2019-07-16T00:00:00"/>
    <x v="3"/>
    <s v="4235 Reconnect Charge Comm &lt; 50 kw"/>
    <s v=""/>
    <s v="BJ0021731"/>
    <n v="0"/>
    <n v="65"/>
    <n v="-65"/>
    <s v=""/>
    <n v="1106074"/>
    <s v=""/>
    <s v="4010"/>
    <s v=""/>
    <s v="GL IMPORT"/>
    <s v=""/>
    <d v="2019-07-17T00:00:00"/>
    <s v="4235 Miscellaneous Service (Other Op. Revenues)"/>
    <s v=""/>
    <s v="Reg. Service Revenue"/>
    <s v="Reg. Service Revenue"/>
    <s v="dross"/>
  </r>
  <r>
    <s v="247-4010-10"/>
    <d v="2019-08-16T00:00:00"/>
    <x v="4"/>
    <s v="4235 Reconnect Charge Comm &lt; 50 kw"/>
    <s v=""/>
    <s v="BJ0021802"/>
    <n v="0"/>
    <n v="195"/>
    <n v="-195"/>
    <s v=""/>
    <n v="1111437"/>
    <s v=""/>
    <s v="4010"/>
    <s v=""/>
    <s v="GL IMPORT"/>
    <s v=""/>
    <d v="2019-08-19T00:00:00"/>
    <s v="4235 Miscellaneous Service (Other Op. Revenues)"/>
    <s v=""/>
    <s v="Reg. Service Revenue"/>
    <s v="Reg. Service Revenue"/>
    <s v="dro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B53:C65" firstHeaderRow="1" firstDataRow="1" firstDataCol="1"/>
  <pivotFields count="22">
    <pivotField showAll="0"/>
    <pivotField numFmtId="14" showAll="0"/>
    <pivotField axis="axisRow" showAll="0">
      <items count="12">
        <item x="9"/>
        <item x="0"/>
        <item x="10"/>
        <item x="1"/>
        <item x="2"/>
        <item x="3"/>
        <item x="4"/>
        <item x="5"/>
        <item x="6"/>
        <item x="7"/>
        <item x="8"/>
        <item t="default"/>
      </items>
    </pivotField>
    <pivotField showAll="0"/>
    <pivotField showAll="0"/>
    <pivotField showAll="0"/>
    <pivotField numFmtId="43" showAll="0"/>
    <pivotField numFmtId="43" showAll="0"/>
    <pivotField dataField="1" numFmtId="43" showAll="0"/>
    <pivotField showAll="0"/>
    <pivotField numFmtId="1" showAll="0"/>
    <pivotField showAll="0"/>
    <pivotField showAll="0"/>
    <pivotField showAll="0"/>
    <pivotField showAll="0"/>
    <pivotField showAll="0"/>
    <pivotField numFmtId="14" showAll="0"/>
    <pivotField showAll="0"/>
    <pivotField showAll="0"/>
    <pivotField showAll="0"/>
    <pivotField showAll="0"/>
    <pivotField showAll="0"/>
  </pivotFields>
  <rowFields count="1">
    <field x="2"/>
  </rowFields>
  <rowItems count="12">
    <i>
      <x/>
    </i>
    <i>
      <x v="1"/>
    </i>
    <i>
      <x v="2"/>
    </i>
    <i>
      <x v="3"/>
    </i>
    <i>
      <x v="4"/>
    </i>
    <i>
      <x v="5"/>
    </i>
    <i>
      <x v="6"/>
    </i>
    <i>
      <x v="7"/>
    </i>
    <i>
      <x v="8"/>
    </i>
    <i>
      <x v="9"/>
    </i>
    <i>
      <x v="10"/>
    </i>
    <i t="grand">
      <x/>
    </i>
  </rowItems>
  <colItems count="1">
    <i/>
  </colItems>
  <dataFields count="1">
    <dataField name="Sum of Net" fld="8" baseField="0" baseItem="0" numFmtId="165"/>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B36:C47" firstHeaderRow="1" firstDataRow="1" firstDataCol="1"/>
  <pivotFields count="22">
    <pivotField showAll="0"/>
    <pivotField numFmtId="14" showAll="0"/>
    <pivotField axis="axisRow" showAll="0">
      <items count="11">
        <item x="0"/>
        <item x="1"/>
        <item x="2"/>
        <item x="3"/>
        <item x="4"/>
        <item x="5"/>
        <item x="6"/>
        <item x="7"/>
        <item x="8"/>
        <item x="9"/>
        <item t="default"/>
      </items>
    </pivotField>
    <pivotField showAll="0"/>
    <pivotField showAll="0"/>
    <pivotField showAll="0"/>
    <pivotField numFmtId="43" showAll="0"/>
    <pivotField numFmtId="43" showAll="0"/>
    <pivotField dataField="1" numFmtId="43" showAll="0"/>
    <pivotField showAll="0"/>
    <pivotField numFmtId="1" showAll="0"/>
    <pivotField showAll="0"/>
    <pivotField showAll="0"/>
    <pivotField showAll="0"/>
    <pivotField showAll="0"/>
    <pivotField showAll="0"/>
    <pivotField numFmtId="14" showAll="0"/>
    <pivotField showAll="0"/>
    <pivotField showAll="0"/>
    <pivotField showAll="0"/>
    <pivotField showAll="0"/>
    <pivotField showAll="0"/>
  </pivotFields>
  <rowFields count="1">
    <field x="2"/>
  </rowFields>
  <rowItems count="11">
    <i>
      <x/>
    </i>
    <i>
      <x v="1"/>
    </i>
    <i>
      <x v="2"/>
    </i>
    <i>
      <x v="3"/>
    </i>
    <i>
      <x v="4"/>
    </i>
    <i>
      <x v="5"/>
    </i>
    <i>
      <x v="6"/>
    </i>
    <i>
      <x v="7"/>
    </i>
    <i>
      <x v="8"/>
    </i>
    <i>
      <x v="9"/>
    </i>
    <i t="grand">
      <x/>
    </i>
  </rowItems>
  <colItems count="1">
    <i/>
  </colItems>
  <dataFields count="1">
    <dataField name="Sum of Net" fld="8" baseField="0" baseItem="0" numFmtId="165"/>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31"/>
  <sheetViews>
    <sheetView tabSelected="1" zoomScale="85" zoomScaleNormal="85" workbookViewId="0">
      <pane xSplit="2" ySplit="3" topLeftCell="C4" activePane="bottomRight" state="frozen"/>
      <selection pane="topRight" activeCell="C1" sqref="C1"/>
      <selection pane="bottomLeft" activeCell="A4" sqref="A4"/>
      <selection pane="bottomRight" activeCell="I37" sqref="I37"/>
    </sheetView>
  </sheetViews>
  <sheetFormatPr defaultRowHeight="15" x14ac:dyDescent="0.25"/>
  <cols>
    <col min="2" max="2" width="69" bestFit="1" customWidth="1"/>
    <col min="29" max="29" width="10.5703125" bestFit="1" customWidth="1"/>
  </cols>
  <sheetData>
    <row r="1" spans="1:29" ht="23.25" x14ac:dyDescent="0.35">
      <c r="A1" s="53" t="s">
        <v>349</v>
      </c>
      <c r="B1" s="54"/>
    </row>
    <row r="2" spans="1:29" ht="23.25" x14ac:dyDescent="0.35">
      <c r="C2" s="57"/>
      <c r="D2" s="57"/>
      <c r="E2" s="57"/>
      <c r="F2" s="57"/>
      <c r="G2" s="57"/>
      <c r="H2" s="57"/>
      <c r="I2" s="57"/>
      <c r="J2" s="57"/>
      <c r="K2" s="57"/>
      <c r="L2" s="57"/>
      <c r="M2" s="57"/>
      <c r="N2" s="57"/>
      <c r="O2" s="58" t="s">
        <v>51</v>
      </c>
      <c r="Q2" s="57"/>
      <c r="R2" s="57"/>
      <c r="S2" s="57"/>
      <c r="T2" s="57"/>
      <c r="U2" s="57"/>
      <c r="V2" s="57"/>
      <c r="W2" s="57"/>
      <c r="X2" s="57"/>
      <c r="Y2" s="57"/>
      <c r="Z2" s="57"/>
      <c r="AA2" s="57"/>
      <c r="AB2" s="57"/>
      <c r="AC2" s="58" t="s">
        <v>380</v>
      </c>
    </row>
    <row r="3" spans="1:29" x14ac:dyDescent="0.25">
      <c r="C3" s="59" t="s">
        <v>354</v>
      </c>
      <c r="D3" s="59" t="s">
        <v>355</v>
      </c>
      <c r="E3" s="59" t="s">
        <v>356</v>
      </c>
      <c r="F3" s="59" t="s">
        <v>357</v>
      </c>
      <c r="G3" s="59" t="s">
        <v>358</v>
      </c>
      <c r="H3" s="59" t="s">
        <v>359</v>
      </c>
      <c r="I3" s="59" t="s">
        <v>360</v>
      </c>
      <c r="J3" s="59" t="s">
        <v>361</v>
      </c>
      <c r="K3" s="59" t="s">
        <v>362</v>
      </c>
      <c r="L3" s="59" t="s">
        <v>363</v>
      </c>
      <c r="M3" s="59" t="s">
        <v>364</v>
      </c>
      <c r="N3" s="59" t="s">
        <v>365</v>
      </c>
      <c r="O3" s="60" t="s">
        <v>366</v>
      </c>
      <c r="Q3" s="59" t="s">
        <v>381</v>
      </c>
      <c r="R3" s="59" t="s">
        <v>382</v>
      </c>
      <c r="S3" s="59" t="s">
        <v>383</v>
      </c>
      <c r="T3" s="59" t="s">
        <v>384</v>
      </c>
      <c r="U3" s="59" t="s">
        <v>385</v>
      </c>
      <c r="V3" s="59" t="s">
        <v>386</v>
      </c>
      <c r="W3" s="59" t="s">
        <v>387</v>
      </c>
      <c r="X3" s="59" t="s">
        <v>388</v>
      </c>
      <c r="Y3" s="59" t="s">
        <v>389</v>
      </c>
      <c r="Z3" s="59" t="s">
        <v>390</v>
      </c>
      <c r="AA3" s="59" t="s">
        <v>391</v>
      </c>
      <c r="AB3" s="59" t="s">
        <v>392</v>
      </c>
      <c r="AC3" s="60" t="s">
        <v>366</v>
      </c>
    </row>
    <row r="4" spans="1:29" x14ac:dyDescent="0.25">
      <c r="B4" s="55" t="s">
        <v>353</v>
      </c>
    </row>
    <row r="5" spans="1:29" x14ac:dyDescent="0.25">
      <c r="B5" s="68" t="s">
        <v>373</v>
      </c>
    </row>
    <row r="6" spans="1:29" x14ac:dyDescent="0.25">
      <c r="B6" s="56" t="s">
        <v>374</v>
      </c>
      <c r="C6" s="69">
        <f>-377759/12</f>
        <v>-31479.916666666668</v>
      </c>
      <c r="D6" s="69">
        <f t="shared" ref="D6:N6" si="0">-377759/12</f>
        <v>-31479.916666666668</v>
      </c>
      <c r="E6" s="69">
        <f t="shared" si="0"/>
        <v>-31479.916666666668</v>
      </c>
      <c r="F6" s="69">
        <f t="shared" si="0"/>
        <v>-31479.916666666668</v>
      </c>
      <c r="G6" s="69">
        <f t="shared" si="0"/>
        <v>-31479.916666666668</v>
      </c>
      <c r="H6" s="69">
        <f t="shared" si="0"/>
        <v>-31479.916666666668</v>
      </c>
      <c r="I6" s="69">
        <f t="shared" si="0"/>
        <v>-31479.916666666668</v>
      </c>
      <c r="J6" s="69">
        <f t="shared" si="0"/>
        <v>-31479.916666666668</v>
      </c>
      <c r="K6" s="69">
        <f t="shared" si="0"/>
        <v>-31479.916666666668</v>
      </c>
      <c r="L6" s="69">
        <f t="shared" si="0"/>
        <v>-31479.916666666668</v>
      </c>
      <c r="M6" s="69">
        <f t="shared" si="0"/>
        <v>-31479.916666666668</v>
      </c>
      <c r="N6" s="69">
        <f t="shared" si="0"/>
        <v>-31479.916666666668</v>
      </c>
      <c r="O6" s="69">
        <f>SUM(C6:N6)</f>
        <v>-377759.00000000006</v>
      </c>
    </row>
    <row r="7" spans="1:29" x14ac:dyDescent="0.25">
      <c r="B7" s="56" t="s">
        <v>375</v>
      </c>
      <c r="C7" s="69">
        <v>-3780</v>
      </c>
      <c r="D7" s="69">
        <v>-6060</v>
      </c>
      <c r="E7" s="69">
        <v>-4766.1000000000004</v>
      </c>
      <c r="F7" s="69">
        <v>-2190</v>
      </c>
      <c r="G7" s="69">
        <v>-1470</v>
      </c>
      <c r="H7" s="69">
        <v>-4740</v>
      </c>
      <c r="I7" s="69">
        <v>-4980</v>
      </c>
      <c r="J7" s="69">
        <v>-3450</v>
      </c>
      <c r="K7" s="69">
        <v>3720</v>
      </c>
      <c r="L7" s="69">
        <v>0</v>
      </c>
      <c r="M7" s="69">
        <v>120</v>
      </c>
      <c r="N7" s="69">
        <v>0</v>
      </c>
      <c r="O7" s="69">
        <f>SUM(C7:N7)</f>
        <v>-27596.1</v>
      </c>
    </row>
    <row r="8" spans="1:29" x14ac:dyDescent="0.25">
      <c r="B8" s="56"/>
      <c r="O8" s="69"/>
    </row>
    <row r="9" spans="1:29" x14ac:dyDescent="0.25">
      <c r="B9" s="56" t="s">
        <v>376</v>
      </c>
      <c r="C9" s="69">
        <f>-100377/12</f>
        <v>-8364.75</v>
      </c>
      <c r="D9" s="69">
        <f t="shared" ref="D9:N9" si="1">-100377/12</f>
        <v>-8364.75</v>
      </c>
      <c r="E9" s="69">
        <f t="shared" si="1"/>
        <v>-8364.75</v>
      </c>
      <c r="F9" s="69">
        <f t="shared" si="1"/>
        <v>-8364.75</v>
      </c>
      <c r="G9" s="69">
        <f t="shared" si="1"/>
        <v>-8364.75</v>
      </c>
      <c r="H9" s="69">
        <f t="shared" si="1"/>
        <v>-8364.75</v>
      </c>
      <c r="I9" s="69">
        <f t="shared" si="1"/>
        <v>-8364.75</v>
      </c>
      <c r="J9" s="69">
        <f t="shared" si="1"/>
        <v>-8364.75</v>
      </c>
      <c r="K9" s="69">
        <f t="shared" si="1"/>
        <v>-8364.75</v>
      </c>
      <c r="L9" s="69">
        <f t="shared" si="1"/>
        <v>-8364.75</v>
      </c>
      <c r="M9" s="69">
        <f t="shared" si="1"/>
        <v>-8364.75</v>
      </c>
      <c r="N9" s="69">
        <f t="shared" si="1"/>
        <v>-8364.75</v>
      </c>
      <c r="O9" s="69">
        <f>SUM(C9:N9)</f>
        <v>-100377</v>
      </c>
    </row>
    <row r="10" spans="1:29" x14ac:dyDescent="0.25">
      <c r="B10" s="56" t="s">
        <v>377</v>
      </c>
      <c r="C10" s="69">
        <v>-130</v>
      </c>
      <c r="D10" s="69">
        <v>-1370</v>
      </c>
      <c r="E10" s="69">
        <v>-260</v>
      </c>
      <c r="F10" s="69">
        <v>0</v>
      </c>
      <c r="G10" s="69">
        <v>-455</v>
      </c>
      <c r="H10" s="69">
        <v>-10400</v>
      </c>
      <c r="I10" s="69">
        <v>-10465</v>
      </c>
      <c r="J10" s="69">
        <v>-8080</v>
      </c>
      <c r="K10" s="69">
        <v>-13175</v>
      </c>
      <c r="L10" s="69">
        <v>-11410</v>
      </c>
      <c r="M10" s="69">
        <v>-10335</v>
      </c>
      <c r="N10" s="69">
        <v>-2380</v>
      </c>
      <c r="O10" s="69">
        <f>SUM(C10:N10)</f>
        <v>-68460</v>
      </c>
    </row>
    <row r="11" spans="1:29" x14ac:dyDescent="0.25">
      <c r="B11" s="56"/>
      <c r="C11" s="69"/>
      <c r="D11" s="69"/>
      <c r="E11" s="69"/>
      <c r="F11" s="69"/>
      <c r="G11" s="69"/>
      <c r="H11" s="69"/>
      <c r="I11" s="69"/>
      <c r="J11" s="69"/>
      <c r="K11" s="69"/>
      <c r="L11" s="69"/>
      <c r="M11" s="69"/>
      <c r="N11" s="69"/>
      <c r="O11" s="69"/>
    </row>
    <row r="12" spans="1:29" x14ac:dyDescent="0.25">
      <c r="B12" s="56"/>
      <c r="C12" s="69"/>
      <c r="D12" s="69"/>
      <c r="E12" s="69"/>
      <c r="F12" s="69"/>
      <c r="G12" s="69"/>
      <c r="H12" s="69"/>
      <c r="I12" s="69"/>
      <c r="J12" s="69"/>
      <c r="K12" s="69"/>
      <c r="L12" s="69"/>
      <c r="M12" s="69"/>
      <c r="N12" s="69"/>
      <c r="O12" s="69"/>
    </row>
    <row r="13" spans="1:29" x14ac:dyDescent="0.25">
      <c r="B13" s="56"/>
      <c r="C13" s="69"/>
      <c r="D13" s="69"/>
      <c r="E13" s="69"/>
      <c r="F13" s="69"/>
      <c r="G13" s="69"/>
      <c r="H13" s="69"/>
      <c r="I13" s="69"/>
      <c r="J13" s="69"/>
      <c r="K13" s="69"/>
      <c r="L13" s="69"/>
      <c r="M13" s="69"/>
      <c r="N13" s="69"/>
      <c r="O13" s="69"/>
    </row>
    <row r="14" spans="1:29" x14ac:dyDescent="0.25">
      <c r="B14" s="56" t="s">
        <v>350</v>
      </c>
      <c r="C14" s="69">
        <v>0</v>
      </c>
      <c r="D14" s="69">
        <v>0</v>
      </c>
      <c r="E14" s="69">
        <v>0</v>
      </c>
      <c r="F14" s="69">
        <v>0</v>
      </c>
      <c r="G14" s="69">
        <v>0</v>
      </c>
      <c r="H14" s="69">
        <v>0</v>
      </c>
      <c r="I14" s="69">
        <v>0</v>
      </c>
      <c r="J14" s="47">
        <f>I16</f>
        <v>24399.666666666668</v>
      </c>
      <c r="K14" s="47">
        <f t="shared" ref="K14:N14" si="2">J16</f>
        <v>52714.333333333336</v>
      </c>
      <c r="L14" s="47">
        <f t="shared" si="2"/>
        <v>83104</v>
      </c>
      <c r="M14" s="47">
        <f t="shared" si="2"/>
        <v>111538.66666666667</v>
      </c>
      <c r="N14" s="47">
        <f t="shared" si="2"/>
        <v>141168.33333333334</v>
      </c>
      <c r="O14" s="69"/>
      <c r="Q14" s="47">
        <f>N16</f>
        <v>178633</v>
      </c>
      <c r="R14" s="47">
        <f>Q16</f>
        <v>178633</v>
      </c>
      <c r="S14" s="47">
        <f t="shared" ref="S14:AB14" si="3">R16</f>
        <v>178633</v>
      </c>
      <c r="T14" s="47">
        <f t="shared" si="3"/>
        <v>178633</v>
      </c>
      <c r="U14" s="47">
        <f t="shared" si="3"/>
        <v>178633</v>
      </c>
      <c r="V14" s="47">
        <f t="shared" si="3"/>
        <v>178633</v>
      </c>
      <c r="W14" s="47">
        <f t="shared" si="3"/>
        <v>178633</v>
      </c>
      <c r="X14" s="47">
        <f t="shared" si="3"/>
        <v>178633</v>
      </c>
      <c r="Y14" s="47">
        <f t="shared" si="3"/>
        <v>178633</v>
      </c>
      <c r="Z14" s="47">
        <f t="shared" si="3"/>
        <v>178633</v>
      </c>
      <c r="AA14" s="47">
        <f t="shared" si="3"/>
        <v>178633</v>
      </c>
      <c r="AB14" s="47">
        <f t="shared" si="3"/>
        <v>178633</v>
      </c>
    </row>
    <row r="15" spans="1:29" x14ac:dyDescent="0.25">
      <c r="B15" s="56" t="s">
        <v>378</v>
      </c>
      <c r="C15" s="69"/>
      <c r="D15" s="69"/>
      <c r="E15" s="69"/>
      <c r="F15" s="69"/>
      <c r="G15" s="69"/>
      <c r="H15" s="69"/>
      <c r="I15" s="69">
        <f t="shared" ref="I15:N15" si="4">(I7-I6)+(I10-I9)</f>
        <v>24399.666666666668</v>
      </c>
      <c r="J15" s="69">
        <f t="shared" si="4"/>
        <v>28314.666666666668</v>
      </c>
      <c r="K15" s="69">
        <f t="shared" si="4"/>
        <v>30389.666666666672</v>
      </c>
      <c r="L15" s="69">
        <f t="shared" si="4"/>
        <v>28434.666666666668</v>
      </c>
      <c r="M15" s="69">
        <f t="shared" si="4"/>
        <v>29629.666666666668</v>
      </c>
      <c r="N15" s="69">
        <f t="shared" si="4"/>
        <v>37464.666666666672</v>
      </c>
      <c r="O15" s="69"/>
      <c r="Q15">
        <v>0</v>
      </c>
      <c r="R15">
        <v>0</v>
      </c>
      <c r="S15">
        <v>0</v>
      </c>
      <c r="T15">
        <v>0</v>
      </c>
      <c r="U15">
        <v>0</v>
      </c>
      <c r="V15">
        <v>0</v>
      </c>
      <c r="W15">
        <v>0</v>
      </c>
      <c r="X15">
        <v>0</v>
      </c>
      <c r="Y15">
        <v>0</v>
      </c>
      <c r="Z15">
        <v>0</v>
      </c>
      <c r="AA15">
        <v>0</v>
      </c>
      <c r="AB15">
        <v>0</v>
      </c>
    </row>
    <row r="16" spans="1:29" s="71" customFormat="1" x14ac:dyDescent="0.25">
      <c r="B16" s="68" t="s">
        <v>351</v>
      </c>
      <c r="C16" s="72"/>
      <c r="D16" s="72"/>
      <c r="E16" s="72"/>
      <c r="F16" s="72"/>
      <c r="G16" s="72"/>
      <c r="H16" s="72"/>
      <c r="I16" s="72">
        <f>I14+I15</f>
        <v>24399.666666666668</v>
      </c>
      <c r="J16" s="72">
        <f t="shared" ref="J16:N16" si="5">J14+J15</f>
        <v>52714.333333333336</v>
      </c>
      <c r="K16" s="72">
        <f t="shared" si="5"/>
        <v>83104</v>
      </c>
      <c r="L16" s="72">
        <f t="shared" si="5"/>
        <v>111538.66666666667</v>
      </c>
      <c r="M16" s="72">
        <f t="shared" si="5"/>
        <v>141168.33333333334</v>
      </c>
      <c r="N16" s="72">
        <f t="shared" si="5"/>
        <v>178633</v>
      </c>
      <c r="O16" s="72">
        <f>N16</f>
        <v>178633</v>
      </c>
      <c r="Q16" s="72">
        <f t="shared" ref="Q16" si="6">Q14+Q15</f>
        <v>178633</v>
      </c>
      <c r="R16" s="72">
        <f>R14+R15</f>
        <v>178633</v>
      </c>
      <c r="S16" s="72">
        <f t="shared" ref="S16" si="7">S14+S15</f>
        <v>178633</v>
      </c>
      <c r="T16" s="72">
        <f t="shared" ref="T16" si="8">T14+T15</f>
        <v>178633</v>
      </c>
      <c r="U16" s="72">
        <f t="shared" ref="U16" si="9">U14+U15</f>
        <v>178633</v>
      </c>
      <c r="V16" s="72">
        <f t="shared" ref="V16" si="10">V14+V15</f>
        <v>178633</v>
      </c>
      <c r="W16" s="72">
        <f t="shared" ref="W16" si="11">W14+W15</f>
        <v>178633</v>
      </c>
      <c r="X16" s="72">
        <f t="shared" ref="X16" si="12">X14+X15</f>
        <v>178633</v>
      </c>
      <c r="Y16" s="72">
        <f t="shared" ref="Y16" si="13">Y14+Y15</f>
        <v>178633</v>
      </c>
      <c r="Z16" s="72">
        <f t="shared" ref="Z16" si="14">Z14+Z15</f>
        <v>178633</v>
      </c>
      <c r="AA16" s="72">
        <f t="shared" ref="AA16" si="15">AA14+AA15</f>
        <v>178633</v>
      </c>
      <c r="AB16" s="72">
        <f>AB14+AB15</f>
        <v>178633</v>
      </c>
      <c r="AC16" s="76">
        <f>AB16</f>
        <v>178633</v>
      </c>
    </row>
    <row r="17" spans="2:29" x14ac:dyDescent="0.25">
      <c r="B17" s="56"/>
    </row>
    <row r="18" spans="2:29" x14ac:dyDescent="0.25">
      <c r="B18" s="68" t="s">
        <v>352</v>
      </c>
      <c r="C18" s="62" t="s">
        <v>367</v>
      </c>
      <c r="D18" s="67"/>
      <c r="E18" s="67"/>
      <c r="F18" s="63" t="s">
        <v>368</v>
      </c>
      <c r="G18" s="64"/>
      <c r="H18" s="64"/>
      <c r="I18" s="63" t="s">
        <v>369</v>
      </c>
      <c r="J18" s="64"/>
      <c r="K18" s="61"/>
      <c r="L18" s="63" t="s">
        <v>370</v>
      </c>
      <c r="M18" s="61"/>
      <c r="N18" s="61"/>
      <c r="Q18" s="77" t="s">
        <v>367</v>
      </c>
      <c r="R18" s="47"/>
      <c r="S18" s="47"/>
      <c r="T18" s="77" t="s">
        <v>368</v>
      </c>
      <c r="U18" s="78"/>
      <c r="V18" s="78"/>
      <c r="W18" s="77" t="s">
        <v>369</v>
      </c>
      <c r="X18" s="78"/>
      <c r="Y18" s="47"/>
      <c r="Z18" s="77" t="s">
        <v>370</v>
      </c>
      <c r="AA18" s="47"/>
      <c r="AB18" s="47"/>
    </row>
    <row r="19" spans="2:29" x14ac:dyDescent="0.25">
      <c r="B19" t="s">
        <v>371</v>
      </c>
      <c r="C19" s="65">
        <v>2.4500000000000001E-2</v>
      </c>
      <c r="D19" s="65">
        <v>2.4500000000000001E-2</v>
      </c>
      <c r="E19" s="65">
        <v>2.4500000000000001E-2</v>
      </c>
      <c r="F19" s="65">
        <v>2.18E-2</v>
      </c>
      <c r="G19" s="65">
        <v>2.18E-2</v>
      </c>
      <c r="H19" s="65">
        <v>2.18E-2</v>
      </c>
      <c r="I19" s="65">
        <v>2.18E-2</v>
      </c>
      <c r="J19" s="65">
        <v>2.18E-2</v>
      </c>
      <c r="K19" s="65">
        <v>2.18E-2</v>
      </c>
      <c r="L19" s="65">
        <v>2.18E-2</v>
      </c>
      <c r="M19" s="65">
        <v>2.18E-2</v>
      </c>
      <c r="N19" s="65">
        <v>2.18E-2</v>
      </c>
      <c r="Q19" s="79">
        <v>2.18E-2</v>
      </c>
      <c r="R19" s="79">
        <v>2.18E-2</v>
      </c>
      <c r="S19" s="79">
        <v>2.18E-2</v>
      </c>
      <c r="T19" s="79">
        <v>2.18E-2</v>
      </c>
      <c r="U19" s="79">
        <v>2.18E-2</v>
      </c>
      <c r="V19" s="79">
        <v>2.18E-2</v>
      </c>
      <c r="W19" s="79">
        <v>5.7000000000000002E-3</v>
      </c>
      <c r="X19" s="79">
        <v>5.7000000000000002E-3</v>
      </c>
      <c r="Y19" s="79">
        <v>5.7000000000000002E-3</v>
      </c>
      <c r="Z19" s="79">
        <v>5.7000000000000002E-3</v>
      </c>
      <c r="AA19" s="79">
        <v>5.7000000000000002E-3</v>
      </c>
      <c r="AB19" s="79">
        <v>5.7000000000000002E-3</v>
      </c>
    </row>
    <row r="20" spans="2:29" x14ac:dyDescent="0.25">
      <c r="B20" t="s">
        <v>372</v>
      </c>
      <c r="C20" s="66">
        <v>2.0416666666666669E-3</v>
      </c>
      <c r="D20" s="66">
        <v>2.0416666666666669E-3</v>
      </c>
      <c r="E20" s="66">
        <v>2.0416666666666669E-3</v>
      </c>
      <c r="F20" s="66">
        <v>1.8166666666666667E-3</v>
      </c>
      <c r="G20" s="66">
        <v>1.8166666666666667E-3</v>
      </c>
      <c r="H20" s="66">
        <v>1.8166666666666667E-3</v>
      </c>
      <c r="I20" s="66">
        <v>1.8166666666666667E-3</v>
      </c>
      <c r="J20" s="66">
        <v>1.8166666666666667E-3</v>
      </c>
      <c r="K20" s="66">
        <v>1.8166666666666667E-3</v>
      </c>
      <c r="L20" s="66">
        <v>1.8166666666666667E-3</v>
      </c>
      <c r="M20" s="66">
        <v>1.8166666666666667E-3</v>
      </c>
      <c r="N20" s="66">
        <v>1.8166666666666667E-3</v>
      </c>
      <c r="Q20" s="79">
        <v>1.8166666666666667E-3</v>
      </c>
      <c r="R20" s="79">
        <v>1.8166666666666667E-3</v>
      </c>
      <c r="S20" s="79">
        <v>1.8166666666666667E-3</v>
      </c>
      <c r="T20" s="79">
        <v>1.8166666666666667E-3</v>
      </c>
      <c r="U20" s="79">
        <v>1.8166666666666667E-3</v>
      </c>
      <c r="V20" s="79">
        <v>1.8166666666666667E-3</v>
      </c>
      <c r="W20" s="79">
        <v>4.75E-4</v>
      </c>
      <c r="X20" s="79">
        <v>4.75E-4</v>
      </c>
      <c r="Y20" s="79">
        <v>4.75E-4</v>
      </c>
      <c r="Z20" s="79">
        <v>4.75E-4</v>
      </c>
      <c r="AA20" s="79">
        <v>4.75E-4</v>
      </c>
      <c r="AB20" s="79">
        <v>4.75E-4</v>
      </c>
    </row>
    <row r="22" spans="2:29" x14ac:dyDescent="0.25">
      <c r="B22" t="s">
        <v>393</v>
      </c>
      <c r="C22" s="69">
        <v>0</v>
      </c>
      <c r="D22" s="69">
        <f>C24</f>
        <v>0</v>
      </c>
      <c r="E22" s="69">
        <f t="shared" ref="E22:N22" si="16">D24</f>
        <v>0</v>
      </c>
      <c r="F22" s="69">
        <f t="shared" si="16"/>
        <v>0</v>
      </c>
      <c r="G22" s="69">
        <f t="shared" si="16"/>
        <v>0</v>
      </c>
      <c r="H22" s="69">
        <f t="shared" si="16"/>
        <v>0</v>
      </c>
      <c r="I22" s="69">
        <f t="shared" si="16"/>
        <v>0</v>
      </c>
      <c r="J22" s="69">
        <f t="shared" si="16"/>
        <v>0</v>
      </c>
      <c r="K22" s="69">
        <f t="shared" si="16"/>
        <v>44.326061111111116</v>
      </c>
      <c r="L22" s="69">
        <f t="shared" si="16"/>
        <v>140.09043333333335</v>
      </c>
      <c r="M22" s="69">
        <f t="shared" si="16"/>
        <v>291.06270000000006</v>
      </c>
      <c r="N22" s="69">
        <f t="shared" si="16"/>
        <v>493.69127777777783</v>
      </c>
      <c r="O22" s="69"/>
      <c r="Q22" s="47">
        <f>O24</f>
        <v>750.1470833333334</v>
      </c>
      <c r="R22" s="47">
        <f>Q24</f>
        <v>1074.6637000000001</v>
      </c>
      <c r="S22" s="47">
        <f t="shared" ref="S22:AB22" si="17">R24</f>
        <v>1399.1803166666668</v>
      </c>
      <c r="T22" s="47">
        <f t="shared" si="17"/>
        <v>1723.6969333333336</v>
      </c>
      <c r="U22" s="47">
        <f t="shared" si="17"/>
        <v>2048.2135500000004</v>
      </c>
      <c r="V22" s="47">
        <f t="shared" si="17"/>
        <v>2372.7301666666672</v>
      </c>
      <c r="W22" s="47">
        <f t="shared" si="17"/>
        <v>2697.246783333334</v>
      </c>
      <c r="X22" s="47">
        <f t="shared" si="17"/>
        <v>2782.0974583333341</v>
      </c>
      <c r="Y22" s="47">
        <f t="shared" si="17"/>
        <v>2866.9481333333342</v>
      </c>
      <c r="Z22" s="47">
        <f t="shared" si="17"/>
        <v>2951.7988083333344</v>
      </c>
      <c r="AA22" s="47">
        <f t="shared" si="17"/>
        <v>3036.6494833333345</v>
      </c>
      <c r="AB22" s="47">
        <f t="shared" si="17"/>
        <v>3121.5001583333346</v>
      </c>
    </row>
    <row r="23" spans="2:29" x14ac:dyDescent="0.25">
      <c r="B23" t="s">
        <v>352</v>
      </c>
      <c r="C23" s="69">
        <f>C14*C20</f>
        <v>0</v>
      </c>
      <c r="D23" s="69">
        <f t="shared" ref="D23:N23" si="18">D14*D20</f>
        <v>0</v>
      </c>
      <c r="E23" s="69">
        <f t="shared" si="18"/>
        <v>0</v>
      </c>
      <c r="F23" s="69">
        <f t="shared" si="18"/>
        <v>0</v>
      </c>
      <c r="G23" s="69">
        <f t="shared" si="18"/>
        <v>0</v>
      </c>
      <c r="H23" s="69">
        <f t="shared" si="18"/>
        <v>0</v>
      </c>
      <c r="I23" s="69">
        <f t="shared" si="18"/>
        <v>0</v>
      </c>
      <c r="J23" s="69">
        <f t="shared" si="18"/>
        <v>44.326061111111116</v>
      </c>
      <c r="K23" s="69">
        <f t="shared" si="18"/>
        <v>95.764372222222235</v>
      </c>
      <c r="L23" s="69">
        <f t="shared" si="18"/>
        <v>150.97226666666668</v>
      </c>
      <c r="M23" s="69">
        <f t="shared" si="18"/>
        <v>202.62857777777779</v>
      </c>
      <c r="N23" s="69">
        <f t="shared" si="18"/>
        <v>256.45580555555557</v>
      </c>
      <c r="O23" s="69"/>
      <c r="P23" s="69"/>
      <c r="Q23" s="69">
        <f>Q14*Q20</f>
        <v>324.51661666666666</v>
      </c>
      <c r="R23" s="69">
        <f t="shared" ref="R23:AB23" si="19">R14*R20</f>
        <v>324.51661666666666</v>
      </c>
      <c r="S23" s="69">
        <f t="shared" si="19"/>
        <v>324.51661666666666</v>
      </c>
      <c r="T23" s="69">
        <f t="shared" si="19"/>
        <v>324.51661666666666</v>
      </c>
      <c r="U23" s="69">
        <f t="shared" si="19"/>
        <v>324.51661666666666</v>
      </c>
      <c r="V23" s="69">
        <f t="shared" si="19"/>
        <v>324.51661666666666</v>
      </c>
      <c r="W23" s="69">
        <f t="shared" si="19"/>
        <v>84.850674999999995</v>
      </c>
      <c r="X23" s="69">
        <f t="shared" si="19"/>
        <v>84.850674999999995</v>
      </c>
      <c r="Y23" s="69">
        <f t="shared" si="19"/>
        <v>84.850674999999995</v>
      </c>
      <c r="Z23" s="69">
        <f t="shared" si="19"/>
        <v>84.850674999999995</v>
      </c>
      <c r="AA23" s="69">
        <f t="shared" si="19"/>
        <v>84.850674999999995</v>
      </c>
      <c r="AB23" s="69">
        <f t="shared" si="19"/>
        <v>84.850674999999995</v>
      </c>
      <c r="AC23" s="47"/>
    </row>
    <row r="24" spans="2:29" x14ac:dyDescent="0.25">
      <c r="B24" t="s">
        <v>394</v>
      </c>
      <c r="C24" s="70">
        <f>C22+C23</f>
        <v>0</v>
      </c>
      <c r="D24" s="70">
        <f t="shared" ref="D24:N24" si="20">D22+D23</f>
        <v>0</v>
      </c>
      <c r="E24" s="70">
        <f t="shared" si="20"/>
        <v>0</v>
      </c>
      <c r="F24" s="70">
        <f t="shared" si="20"/>
        <v>0</v>
      </c>
      <c r="G24" s="70">
        <f t="shared" si="20"/>
        <v>0</v>
      </c>
      <c r="H24" s="70">
        <f t="shared" si="20"/>
        <v>0</v>
      </c>
      <c r="I24" s="70">
        <f t="shared" si="20"/>
        <v>0</v>
      </c>
      <c r="J24" s="70">
        <f t="shared" si="20"/>
        <v>44.326061111111116</v>
      </c>
      <c r="K24" s="70">
        <f t="shared" si="20"/>
        <v>140.09043333333335</v>
      </c>
      <c r="L24" s="70">
        <f t="shared" si="20"/>
        <v>291.06270000000006</v>
      </c>
      <c r="M24" s="70">
        <f t="shared" si="20"/>
        <v>493.69127777777783</v>
      </c>
      <c r="N24" s="70">
        <f t="shared" si="20"/>
        <v>750.1470833333334</v>
      </c>
      <c r="O24" s="70">
        <f>N24</f>
        <v>750.1470833333334</v>
      </c>
      <c r="P24" s="69"/>
      <c r="Q24" s="70">
        <f t="shared" ref="Q24" si="21">Q22+Q23</f>
        <v>1074.6637000000001</v>
      </c>
      <c r="R24" s="70">
        <f t="shared" ref="R24" si="22">R22+R23</f>
        <v>1399.1803166666668</v>
      </c>
      <c r="S24" s="70">
        <f t="shared" ref="S24" si="23">S22+S23</f>
        <v>1723.6969333333336</v>
      </c>
      <c r="T24" s="70">
        <f t="shared" ref="T24" si="24">T22+T23</f>
        <v>2048.2135500000004</v>
      </c>
      <c r="U24" s="70">
        <f t="shared" ref="U24" si="25">U22+U23</f>
        <v>2372.7301666666672</v>
      </c>
      <c r="V24" s="70">
        <f t="shared" ref="V24" si="26">V22+V23</f>
        <v>2697.246783333334</v>
      </c>
      <c r="W24" s="70">
        <f t="shared" ref="W24" si="27">W22+W23</f>
        <v>2782.0974583333341</v>
      </c>
      <c r="X24" s="70">
        <f t="shared" ref="X24" si="28">X22+X23</f>
        <v>2866.9481333333342</v>
      </c>
      <c r="Y24" s="70">
        <f t="shared" ref="Y24" si="29">Y22+Y23</f>
        <v>2951.7988083333344</v>
      </c>
      <c r="Z24" s="70">
        <f t="shared" ref="Z24" si="30">Z22+Z23</f>
        <v>3036.6494833333345</v>
      </c>
      <c r="AA24" s="70">
        <f t="shared" ref="AA24" si="31">AA22+AA23</f>
        <v>3121.5001583333346</v>
      </c>
      <c r="AB24" s="70">
        <f t="shared" ref="AB24" si="32">AB22+AB23</f>
        <v>3206.3508333333348</v>
      </c>
      <c r="AC24" s="81">
        <f>AB24</f>
        <v>3206.3508333333348</v>
      </c>
    </row>
    <row r="25" spans="2:29" x14ac:dyDescent="0.25">
      <c r="C25" s="69"/>
      <c r="D25" s="69"/>
      <c r="E25" s="69"/>
      <c r="F25" s="69"/>
      <c r="G25" s="69"/>
      <c r="H25" s="69"/>
      <c r="I25" s="69"/>
      <c r="J25" s="69"/>
      <c r="K25" s="69"/>
      <c r="L25" s="69"/>
      <c r="M25" s="69"/>
      <c r="N25" s="69"/>
      <c r="O25" s="69"/>
      <c r="P25" s="69"/>
    </row>
    <row r="26" spans="2:29" s="71" customFormat="1" ht="15.75" thickBot="1" x14ac:dyDescent="0.3">
      <c r="B26" s="74" t="s">
        <v>379</v>
      </c>
      <c r="C26" s="75">
        <f>C16+C24</f>
        <v>0</v>
      </c>
      <c r="D26" s="75">
        <f t="shared" ref="D26:N26" si="33">D16+D24</f>
        <v>0</v>
      </c>
      <c r="E26" s="75">
        <f t="shared" si="33"/>
        <v>0</v>
      </c>
      <c r="F26" s="75">
        <f t="shared" si="33"/>
        <v>0</v>
      </c>
      <c r="G26" s="75">
        <f t="shared" si="33"/>
        <v>0</v>
      </c>
      <c r="H26" s="75">
        <f t="shared" si="33"/>
        <v>0</v>
      </c>
      <c r="I26" s="75">
        <f t="shared" si="33"/>
        <v>24399.666666666668</v>
      </c>
      <c r="J26" s="75">
        <f t="shared" si="33"/>
        <v>52758.659394444447</v>
      </c>
      <c r="K26" s="75">
        <f t="shared" si="33"/>
        <v>83244.090433333331</v>
      </c>
      <c r="L26" s="75">
        <f t="shared" si="33"/>
        <v>111829.72936666667</v>
      </c>
      <c r="M26" s="75">
        <f t="shared" si="33"/>
        <v>141662.02461111112</v>
      </c>
      <c r="N26" s="75">
        <f t="shared" si="33"/>
        <v>179383.14708333334</v>
      </c>
      <c r="O26" s="75">
        <f>N26</f>
        <v>179383.14708333334</v>
      </c>
      <c r="P26" s="73"/>
      <c r="Q26" s="80">
        <f>Q16+Q24</f>
        <v>179707.6637</v>
      </c>
      <c r="R26" s="80">
        <f t="shared" ref="R26:AB26" si="34">R16+R24</f>
        <v>180032.18031666667</v>
      </c>
      <c r="S26" s="80">
        <f t="shared" si="34"/>
        <v>180356.69693333333</v>
      </c>
      <c r="T26" s="80">
        <f t="shared" si="34"/>
        <v>180681.21354999999</v>
      </c>
      <c r="U26" s="80">
        <f t="shared" si="34"/>
        <v>181005.73016666668</v>
      </c>
      <c r="V26" s="80">
        <f t="shared" si="34"/>
        <v>181330.24678333334</v>
      </c>
      <c r="W26" s="80">
        <f t="shared" si="34"/>
        <v>181415.09745833333</v>
      </c>
      <c r="X26" s="80">
        <f t="shared" si="34"/>
        <v>181499.94813333332</v>
      </c>
      <c r="Y26" s="80">
        <f t="shared" si="34"/>
        <v>181584.79880833335</v>
      </c>
      <c r="Z26" s="80">
        <f t="shared" si="34"/>
        <v>181669.64948333334</v>
      </c>
      <c r="AA26" s="80">
        <f t="shared" si="34"/>
        <v>181754.50015833334</v>
      </c>
      <c r="AB26" s="80">
        <f t="shared" si="34"/>
        <v>181839.35083333333</v>
      </c>
      <c r="AC26" s="80">
        <f>AB26</f>
        <v>181839.35083333333</v>
      </c>
    </row>
    <row r="27" spans="2:29" ht="15.75" thickTop="1" x14ac:dyDescent="0.25">
      <c r="C27" s="69"/>
      <c r="D27" s="69"/>
      <c r="E27" s="69"/>
      <c r="F27" s="69"/>
      <c r="G27" s="69"/>
      <c r="H27" s="69"/>
      <c r="I27" s="69"/>
      <c r="J27" s="69"/>
      <c r="K27" s="69"/>
      <c r="L27" s="69"/>
      <c r="M27" s="69"/>
      <c r="N27" s="69"/>
      <c r="O27" s="69"/>
      <c r="P27" s="69"/>
    </row>
    <row r="28" spans="2:29" x14ac:dyDescent="0.25">
      <c r="C28" s="69"/>
      <c r="D28" s="69"/>
      <c r="E28" s="69"/>
      <c r="F28" s="69"/>
      <c r="G28" s="69"/>
      <c r="H28" s="69"/>
      <c r="I28" s="69"/>
      <c r="J28" s="69"/>
      <c r="K28" s="69"/>
      <c r="L28" s="69"/>
      <c r="M28" s="69"/>
      <c r="N28" s="69"/>
      <c r="O28" s="69"/>
      <c r="P28" s="69"/>
    </row>
    <row r="29" spans="2:29" x14ac:dyDescent="0.25">
      <c r="C29" s="69"/>
      <c r="D29" s="69"/>
      <c r="E29" s="69"/>
      <c r="F29" s="69"/>
      <c r="G29" s="69"/>
      <c r="H29" s="69"/>
      <c r="I29" s="69"/>
      <c r="J29" s="69"/>
      <c r="K29" s="69"/>
      <c r="L29" s="69"/>
      <c r="M29" s="69"/>
      <c r="N29" s="69"/>
      <c r="O29" s="69"/>
      <c r="X29" s="69"/>
      <c r="AA29" s="85" t="s">
        <v>397</v>
      </c>
      <c r="AC29" s="84">
        <v>55416</v>
      </c>
    </row>
    <row r="30" spans="2:29" x14ac:dyDescent="0.25">
      <c r="AA30" s="82" t="s">
        <v>395</v>
      </c>
      <c r="AC30" s="83">
        <f>AC26/AC29</f>
        <v>3.2813510688850394</v>
      </c>
    </row>
    <row r="31" spans="2:29" x14ac:dyDescent="0.25">
      <c r="AA31" s="82" t="s">
        <v>396</v>
      </c>
      <c r="AC31" s="83">
        <f>AC30/12</f>
        <v>0.27344592240708659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6"/>
  <sheetViews>
    <sheetView topLeftCell="A43" workbookViewId="0">
      <selection activeCell="G67" sqref="G67"/>
    </sheetView>
  </sheetViews>
  <sheetFormatPr defaultRowHeight="15" outlineLevelRow="1" x14ac:dyDescent="0.25"/>
  <cols>
    <col min="2" max="2" width="13.140625" customWidth="1"/>
    <col min="3" max="3" width="10.85546875" bestFit="1" customWidth="1"/>
    <col min="4" max="4" width="4.42578125" customWidth="1"/>
    <col min="7" max="7" width="41" bestFit="1" customWidth="1"/>
    <col min="8" max="14" width="9.140625" hidden="1" customWidth="1"/>
    <col min="15" max="15" width="13.7109375" hidden="1" customWidth="1"/>
    <col min="16" max="20" width="9.140625" hidden="1" customWidth="1"/>
    <col min="24" max="24" width="21" customWidth="1"/>
    <col min="25" max="26" width="14.28515625" bestFit="1" customWidth="1"/>
    <col min="27" max="28" width="16.42578125" bestFit="1" customWidth="1"/>
    <col min="30" max="30" width="9.7109375" bestFit="1" customWidth="1"/>
  </cols>
  <sheetData>
    <row r="1" spans="1:31" s="1" customFormat="1" ht="12.75" x14ac:dyDescent="0.25">
      <c r="A1" s="10"/>
      <c r="B1" s="11">
        <v>1</v>
      </c>
      <c r="C1" s="11">
        <v>2</v>
      </c>
      <c r="D1" s="11">
        <v>3</v>
      </c>
      <c r="E1" s="11">
        <v>4</v>
      </c>
      <c r="F1" s="11">
        <v>5</v>
      </c>
      <c r="G1" s="11">
        <v>6</v>
      </c>
      <c r="H1" s="11">
        <v>7</v>
      </c>
      <c r="I1" s="11">
        <v>8</v>
      </c>
      <c r="J1" s="11">
        <v>9</v>
      </c>
      <c r="K1" s="11">
        <v>10</v>
      </c>
      <c r="L1" s="11">
        <v>11</v>
      </c>
      <c r="M1" s="11">
        <v>12</v>
      </c>
      <c r="N1" s="11">
        <v>13</v>
      </c>
      <c r="O1" s="11">
        <v>14</v>
      </c>
      <c r="P1" s="11">
        <v>15</v>
      </c>
      <c r="Q1" s="11">
        <v>16</v>
      </c>
      <c r="R1" s="11">
        <v>17</v>
      </c>
      <c r="S1" s="11">
        <v>18</v>
      </c>
      <c r="T1" s="11">
        <v>19</v>
      </c>
      <c r="U1" s="11">
        <v>20</v>
      </c>
      <c r="V1" s="11">
        <v>110</v>
      </c>
      <c r="W1" s="11">
        <v>111</v>
      </c>
      <c r="X1" s="11">
        <v>112</v>
      </c>
      <c r="Y1" s="11">
        <v>113</v>
      </c>
      <c r="Z1" s="11">
        <v>114</v>
      </c>
      <c r="AA1" s="11">
        <v>115</v>
      </c>
      <c r="AB1" s="11">
        <v>116</v>
      </c>
      <c r="AD1" s="7"/>
    </row>
    <row r="2" spans="1:31" s="1" customFormat="1" x14ac:dyDescent="0.25">
      <c r="A2" s="2"/>
      <c r="D2" s="3"/>
      <c r="G2" s="12"/>
      <c r="H2"/>
      <c r="I2"/>
      <c r="J2"/>
      <c r="K2"/>
      <c r="L2"/>
      <c r="M2"/>
      <c r="N2"/>
      <c r="O2"/>
      <c r="P2"/>
      <c r="Q2" s="13">
        <v>-3.6199649330228567E-3</v>
      </c>
      <c r="R2" s="13">
        <v>-3.6201250040903687E-3</v>
      </c>
      <c r="S2" s="13">
        <v>-3.6199967653374188E-3</v>
      </c>
      <c r="T2" s="13">
        <v>-3.6199869136908092E-3</v>
      </c>
      <c r="U2" s="13">
        <v>1.0018993634730577E-7</v>
      </c>
      <c r="AD2" s="7"/>
    </row>
    <row r="3" spans="1:31" s="21" customFormat="1" ht="15.75" customHeight="1" x14ac:dyDescent="0.25">
      <c r="A3" s="14"/>
      <c r="B3" s="15"/>
      <c r="C3" s="16"/>
      <c r="D3" s="17"/>
      <c r="E3" s="16"/>
      <c r="F3" s="16"/>
      <c r="G3" s="18" t="s">
        <v>33</v>
      </c>
      <c r="H3"/>
      <c r="I3"/>
      <c r="J3"/>
      <c r="K3"/>
      <c r="L3"/>
      <c r="M3"/>
      <c r="N3"/>
      <c r="O3"/>
      <c r="P3"/>
      <c r="Q3" s="19"/>
      <c r="R3" s="19"/>
      <c r="S3" s="19"/>
      <c r="T3" s="19"/>
      <c r="U3" s="20" t="s">
        <v>34</v>
      </c>
      <c r="X3" s="22" t="s">
        <v>35</v>
      </c>
      <c r="Y3" s="22"/>
      <c r="Z3" s="22"/>
      <c r="AA3" s="22"/>
      <c r="AB3" s="22"/>
      <c r="AD3" s="23" t="s">
        <v>36</v>
      </c>
    </row>
    <row r="4" spans="1:31" s="21" customFormat="1" ht="13.9" customHeight="1" x14ac:dyDescent="0.25">
      <c r="A4" s="24" t="s">
        <v>37</v>
      </c>
      <c r="B4" s="25"/>
      <c r="C4" s="25"/>
      <c r="D4" s="26"/>
      <c r="E4" s="25"/>
      <c r="F4" s="25"/>
      <c r="G4" s="27"/>
      <c r="H4"/>
      <c r="I4"/>
      <c r="J4"/>
      <c r="K4"/>
      <c r="L4"/>
      <c r="M4"/>
      <c r="N4"/>
      <c r="O4"/>
      <c r="P4"/>
      <c r="Q4" s="20" t="s">
        <v>38</v>
      </c>
      <c r="R4" s="20" t="s">
        <v>38</v>
      </c>
      <c r="S4" s="20" t="s">
        <v>38</v>
      </c>
      <c r="T4" s="20" t="s">
        <v>38</v>
      </c>
      <c r="U4" s="20" t="s">
        <v>38</v>
      </c>
      <c r="X4" s="20" t="s">
        <v>40</v>
      </c>
      <c r="Y4" s="20" t="s">
        <v>40</v>
      </c>
      <c r="Z4" s="20" t="s">
        <v>40</v>
      </c>
      <c r="AA4" s="20" t="s">
        <v>40</v>
      </c>
      <c r="AB4" s="20" t="s">
        <v>40</v>
      </c>
      <c r="AD4" s="23" t="s">
        <v>41</v>
      </c>
    </row>
    <row r="5" spans="1:31" s="21" customFormat="1" ht="15.75" x14ac:dyDescent="0.25">
      <c r="A5" s="28" t="s">
        <v>42</v>
      </c>
      <c r="B5" s="29" t="s">
        <v>43</v>
      </c>
      <c r="C5" s="29" t="s">
        <v>44</v>
      </c>
      <c r="D5" s="30"/>
      <c r="E5" s="29" t="s">
        <v>45</v>
      </c>
      <c r="F5" s="29" t="s">
        <v>42</v>
      </c>
      <c r="G5" s="29" t="s">
        <v>46</v>
      </c>
      <c r="H5"/>
      <c r="I5"/>
      <c r="J5"/>
      <c r="K5"/>
      <c r="L5"/>
      <c r="M5"/>
      <c r="N5"/>
      <c r="O5"/>
      <c r="P5"/>
      <c r="Q5" s="31" t="s">
        <v>47</v>
      </c>
      <c r="R5" s="31" t="s">
        <v>48</v>
      </c>
      <c r="S5" s="31" t="s">
        <v>49</v>
      </c>
      <c r="T5" s="31" t="s">
        <v>50</v>
      </c>
      <c r="U5" s="31" t="s">
        <v>51</v>
      </c>
      <c r="X5" s="31" t="s">
        <v>47</v>
      </c>
      <c r="Y5" s="31" t="s">
        <v>48</v>
      </c>
      <c r="Z5" s="31" t="s">
        <v>49</v>
      </c>
      <c r="AA5" s="31" t="s">
        <v>52</v>
      </c>
      <c r="AB5" s="31" t="s">
        <v>53</v>
      </c>
      <c r="AD5" s="23" t="s">
        <v>39</v>
      </c>
      <c r="AE5" s="32" t="s">
        <v>54</v>
      </c>
    </row>
    <row r="10" spans="1:31" s="1" customFormat="1" outlineLevel="1" x14ac:dyDescent="0.25">
      <c r="A10" s="1" t="s">
        <v>0</v>
      </c>
      <c r="B10" s="2" t="s">
        <v>1</v>
      </c>
      <c r="C10" s="1" t="s">
        <v>2</v>
      </c>
      <c r="D10" s="3"/>
      <c r="E10" s="4" t="s">
        <v>3</v>
      </c>
      <c r="F10" s="5" t="s">
        <v>4</v>
      </c>
      <c r="G10" s="1" t="s">
        <v>5</v>
      </c>
      <c r="H10"/>
      <c r="I10"/>
      <c r="J10"/>
      <c r="K10"/>
      <c r="L10"/>
      <c r="M10"/>
      <c r="N10"/>
      <c r="O10"/>
      <c r="P10"/>
      <c r="Q10" s="6">
        <v>-120</v>
      </c>
      <c r="R10" s="6">
        <v>-180</v>
      </c>
      <c r="S10" s="6">
        <v>-30</v>
      </c>
      <c r="T10" s="6">
        <v>-60</v>
      </c>
      <c r="U10" s="6">
        <v>-30</v>
      </c>
      <c r="X10" s="6">
        <v>-10.284399445615815</v>
      </c>
      <c r="Y10" s="6">
        <v>-10.474556961286353</v>
      </c>
      <c r="Z10" s="6">
        <v>-10.668713454170785</v>
      </c>
      <c r="AA10" s="6">
        <v>-10.898984055185133</v>
      </c>
      <c r="AB10" s="6">
        <v>-11.134690293349673</v>
      </c>
      <c r="AD10" s="7"/>
    </row>
    <row r="11" spans="1:31" s="1" customFormat="1" outlineLevel="1" x14ac:dyDescent="0.25">
      <c r="A11" s="2" t="s">
        <v>0</v>
      </c>
      <c r="B11" s="5" t="s">
        <v>6</v>
      </c>
      <c r="C11" s="5" t="s">
        <v>7</v>
      </c>
      <c r="D11" s="8"/>
      <c r="E11" s="4" t="s">
        <v>3</v>
      </c>
      <c r="F11" s="5" t="s">
        <v>4</v>
      </c>
      <c r="G11" s="9" t="s">
        <v>8</v>
      </c>
      <c r="H11"/>
      <c r="I11"/>
      <c r="J11"/>
      <c r="K11"/>
      <c r="L11"/>
      <c r="M11"/>
      <c r="N11"/>
      <c r="O11"/>
      <c r="P11"/>
      <c r="Q11" s="6">
        <v>-39600</v>
      </c>
      <c r="R11" s="6">
        <v>-48690</v>
      </c>
      <c r="S11" s="6">
        <v>-39116.1</v>
      </c>
      <c r="T11" s="6">
        <v>-49440</v>
      </c>
      <c r="U11" s="6">
        <v>-25406.1</v>
      </c>
      <c r="X11" s="6">
        <v>-37115.060627299557</v>
      </c>
      <c r="Y11" s="6">
        <v>-37801.314380877491</v>
      </c>
      <c r="Z11" s="6">
        <v>-38501.999923353331</v>
      </c>
      <c r="AA11" s="6">
        <v>-39333.016587235979</v>
      </c>
      <c r="AB11" s="6">
        <v>-40183.649758960841</v>
      </c>
      <c r="AD11" s="7"/>
    </row>
    <row r="12" spans="1:31" s="1" customFormat="1" outlineLevel="1" x14ac:dyDescent="0.25">
      <c r="A12" s="2" t="s">
        <v>0</v>
      </c>
      <c r="B12" s="5" t="s">
        <v>9</v>
      </c>
      <c r="C12" s="5" t="s">
        <v>10</v>
      </c>
      <c r="D12" s="8"/>
      <c r="E12" s="4" t="s">
        <v>3</v>
      </c>
      <c r="F12" s="5" t="s">
        <v>4</v>
      </c>
      <c r="G12" s="9" t="s">
        <v>11</v>
      </c>
      <c r="H12"/>
      <c r="I12"/>
      <c r="J12"/>
      <c r="K12"/>
      <c r="L12"/>
      <c r="M12"/>
      <c r="N12"/>
      <c r="O12"/>
      <c r="P12"/>
      <c r="Q12" s="6">
        <v>-570</v>
      </c>
      <c r="R12" s="6">
        <v>-150</v>
      </c>
      <c r="S12" s="6">
        <v>-210</v>
      </c>
      <c r="T12" s="6">
        <v>-840</v>
      </c>
      <c r="U12" s="6">
        <v>-300</v>
      </c>
      <c r="X12" s="6">
        <v>-277.67878503162706</v>
      </c>
      <c r="Y12" s="6">
        <v>-282.81303795473161</v>
      </c>
      <c r="Z12" s="6">
        <v>-288.05526326261128</v>
      </c>
      <c r="AA12" s="6">
        <v>-294.2725694899986</v>
      </c>
      <c r="AB12" s="6">
        <v>-300.63663792044122</v>
      </c>
      <c r="AD12" s="7"/>
    </row>
    <row r="13" spans="1:31" s="1" customFormat="1" outlineLevel="1" x14ac:dyDescent="0.25">
      <c r="A13" s="2" t="s">
        <v>0</v>
      </c>
      <c r="B13" s="5" t="s">
        <v>12</v>
      </c>
      <c r="C13" s="5" t="s">
        <v>13</v>
      </c>
      <c r="D13" s="8"/>
      <c r="E13" s="4" t="s">
        <v>3</v>
      </c>
      <c r="F13" s="5" t="s">
        <v>4</v>
      </c>
      <c r="G13" s="9" t="s">
        <v>14</v>
      </c>
      <c r="H13"/>
      <c r="I13"/>
      <c r="J13"/>
      <c r="K13"/>
      <c r="L13"/>
      <c r="M13"/>
      <c r="N13"/>
      <c r="O13"/>
      <c r="P13"/>
      <c r="Q13" s="6">
        <v>-1320</v>
      </c>
      <c r="R13" s="6">
        <v>-1080</v>
      </c>
      <c r="S13" s="6">
        <v>-540</v>
      </c>
      <c r="T13" s="6">
        <v>-810</v>
      </c>
      <c r="U13" s="6">
        <v>-1200</v>
      </c>
      <c r="X13" s="6">
        <v>-1175.8770950139299</v>
      </c>
      <c r="Y13" s="6">
        <v>-1197.6189447256363</v>
      </c>
      <c r="Z13" s="6">
        <v>-1219.818021496071</v>
      </c>
      <c r="AA13" s="6">
        <v>-1246.1462409336473</v>
      </c>
      <c r="AB13" s="6">
        <v>-1273.095949380428</v>
      </c>
      <c r="AD13" s="7"/>
    </row>
    <row r="14" spans="1:31" s="1" customFormat="1" outlineLevel="1" x14ac:dyDescent="0.25">
      <c r="A14" s="2" t="s">
        <v>0</v>
      </c>
      <c r="B14" s="5" t="s">
        <v>15</v>
      </c>
      <c r="C14" s="5" t="s">
        <v>16</v>
      </c>
      <c r="D14" s="8"/>
      <c r="E14" s="4" t="s">
        <v>3</v>
      </c>
      <c r="F14" s="5" t="s">
        <v>4</v>
      </c>
      <c r="G14" s="9" t="s">
        <v>17</v>
      </c>
      <c r="H14"/>
      <c r="I14"/>
      <c r="J14"/>
      <c r="K14"/>
      <c r="L14"/>
      <c r="M14"/>
      <c r="N14"/>
      <c r="O14"/>
      <c r="P14"/>
      <c r="Q14" s="6">
        <v>0</v>
      </c>
      <c r="R14" s="6">
        <v>0</v>
      </c>
      <c r="S14" s="6">
        <v>0</v>
      </c>
      <c r="T14" s="6">
        <v>0</v>
      </c>
      <c r="U14" s="6">
        <v>0</v>
      </c>
      <c r="X14" s="6">
        <v>-92.559595010542367</v>
      </c>
      <c r="Y14" s="6">
        <v>-94.271012651577195</v>
      </c>
      <c r="Z14" s="6">
        <v>-96.018421087537092</v>
      </c>
      <c r="AA14" s="6">
        <v>-98.09085649666622</v>
      </c>
      <c r="AB14" s="6">
        <v>-100.21221264014709</v>
      </c>
      <c r="AD14" s="7"/>
    </row>
    <row r="15" spans="1:31" s="1" customFormat="1" outlineLevel="1" x14ac:dyDescent="0.25">
      <c r="A15" s="2" t="s">
        <v>0</v>
      </c>
      <c r="B15" s="5" t="s">
        <v>18</v>
      </c>
      <c r="C15" s="5" t="s">
        <v>19</v>
      </c>
      <c r="D15" s="8"/>
      <c r="E15" s="4" t="s">
        <v>3</v>
      </c>
      <c r="F15" s="5" t="s">
        <v>4</v>
      </c>
      <c r="G15" s="9" t="s">
        <v>20</v>
      </c>
      <c r="H15"/>
      <c r="I15"/>
      <c r="J15"/>
      <c r="K15"/>
      <c r="L15"/>
      <c r="M15"/>
      <c r="N15"/>
      <c r="O15"/>
      <c r="P15"/>
      <c r="Q15" s="6">
        <v>-459707.12</v>
      </c>
      <c r="R15" s="6">
        <v>-556708.65</v>
      </c>
      <c r="S15" s="6">
        <v>-248971.1</v>
      </c>
      <c r="T15" s="6">
        <v>53.5</v>
      </c>
      <c r="U15" s="6">
        <v>-660</v>
      </c>
      <c r="X15" s="6">
        <v>-310240.73290823039</v>
      </c>
      <c r="Y15" s="6">
        <v>-315977.05298618937</v>
      </c>
      <c r="Z15" s="6">
        <v>-321834.00680929626</v>
      </c>
      <c r="AA15" s="6">
        <v>-328780.38422332832</v>
      </c>
      <c r="AB15" s="6">
        <v>-335890.73388116685</v>
      </c>
      <c r="AD15" s="7"/>
    </row>
    <row r="16" spans="1:31" ht="15.75" thickBot="1" x14ac:dyDescent="0.3">
      <c r="U16" s="33">
        <f>SUM(U10:U15)</f>
        <v>-27596.1</v>
      </c>
      <c r="X16" s="33">
        <f>SUM(X10:X15)</f>
        <v>-348912.19341003167</v>
      </c>
      <c r="Y16" s="33">
        <f t="shared" ref="Y16:AB16" si="0">SUM(Y10:Y15)</f>
        <v>-355363.54491936008</v>
      </c>
      <c r="Z16" s="33">
        <f t="shared" si="0"/>
        <v>-361950.56715194997</v>
      </c>
      <c r="AA16" s="33">
        <f t="shared" si="0"/>
        <v>-369762.80946153979</v>
      </c>
      <c r="AB16" s="33">
        <f t="shared" si="0"/>
        <v>-377759.46313036204</v>
      </c>
    </row>
    <row r="17" spans="1:30" ht="15.75" thickTop="1" x14ac:dyDescent="0.25"/>
    <row r="21" spans="1:30" s="1" customFormat="1" outlineLevel="1" x14ac:dyDescent="0.25">
      <c r="A21" s="2" t="s">
        <v>0</v>
      </c>
      <c r="B21" s="5" t="s">
        <v>21</v>
      </c>
      <c r="C21" s="5" t="s">
        <v>7</v>
      </c>
      <c r="D21" s="8"/>
      <c r="E21" s="4" t="s">
        <v>3</v>
      </c>
      <c r="F21" s="5" t="s">
        <v>4</v>
      </c>
      <c r="G21" s="9" t="s">
        <v>22</v>
      </c>
      <c r="H21"/>
      <c r="I21"/>
      <c r="J21"/>
      <c r="K21"/>
      <c r="L21"/>
      <c r="M21"/>
      <c r="N21"/>
      <c r="O21"/>
      <c r="P21"/>
      <c r="Q21" s="6">
        <v>-1465</v>
      </c>
      <c r="R21" s="6">
        <v>-2445</v>
      </c>
      <c r="S21" s="6">
        <v>-3290</v>
      </c>
      <c r="T21" s="6">
        <v>-4924</v>
      </c>
      <c r="U21" s="6">
        <v>-2615</v>
      </c>
      <c r="X21" s="6">
        <v>-5418.1644412652649</v>
      </c>
      <c r="Y21" s="6">
        <v>-5518.3457591043598</v>
      </c>
      <c r="Z21" s="6">
        <v>-5620.6338714389749</v>
      </c>
      <c r="AA21" s="6">
        <v>-5741.9480997400333</v>
      </c>
      <c r="AB21" s="6">
        <v>-5866.1260028797187</v>
      </c>
      <c r="AD21" s="7"/>
    </row>
    <row r="22" spans="1:30" s="1" customFormat="1" outlineLevel="1" x14ac:dyDescent="0.25">
      <c r="A22" s="2" t="s">
        <v>0</v>
      </c>
      <c r="B22" s="5" t="s">
        <v>23</v>
      </c>
      <c r="C22" s="5" t="s">
        <v>10</v>
      </c>
      <c r="D22" s="8"/>
      <c r="E22" s="4" t="s">
        <v>3</v>
      </c>
      <c r="F22" s="5" t="s">
        <v>4</v>
      </c>
      <c r="G22" s="9" t="s">
        <v>24</v>
      </c>
      <c r="H22"/>
      <c r="I22"/>
      <c r="J22"/>
      <c r="K22"/>
      <c r="L22"/>
      <c r="M22"/>
      <c r="N22"/>
      <c r="O22"/>
      <c r="P22"/>
      <c r="Q22" s="6">
        <v>0</v>
      </c>
      <c r="R22" s="6">
        <v>0</v>
      </c>
      <c r="S22" s="6">
        <v>0</v>
      </c>
      <c r="T22" s="6">
        <v>0</v>
      </c>
      <c r="U22" s="6">
        <v>0</v>
      </c>
      <c r="X22" s="6">
        <v>0</v>
      </c>
      <c r="Y22" s="6">
        <v>0</v>
      </c>
      <c r="Z22" s="6">
        <v>0</v>
      </c>
      <c r="AA22" s="6">
        <v>0</v>
      </c>
      <c r="AB22" s="6">
        <v>0</v>
      </c>
      <c r="AD22" s="7"/>
    </row>
    <row r="23" spans="1:30" s="1" customFormat="1" outlineLevel="1" x14ac:dyDescent="0.25">
      <c r="A23" s="2" t="s">
        <v>0</v>
      </c>
      <c r="B23" s="5" t="s">
        <v>25</v>
      </c>
      <c r="C23" s="5" t="s">
        <v>13</v>
      </c>
      <c r="D23" s="8"/>
      <c r="E23" s="4" t="s">
        <v>3</v>
      </c>
      <c r="F23" s="5" t="s">
        <v>4</v>
      </c>
      <c r="G23" s="9" t="s">
        <v>26</v>
      </c>
      <c r="H23"/>
      <c r="I23"/>
      <c r="J23"/>
      <c r="K23"/>
      <c r="L23"/>
      <c r="M23"/>
      <c r="N23"/>
      <c r="O23"/>
      <c r="P23"/>
      <c r="Q23" s="6">
        <v>0</v>
      </c>
      <c r="R23" s="6">
        <v>0</v>
      </c>
      <c r="S23" s="6">
        <v>0</v>
      </c>
      <c r="T23" s="6">
        <v>-415</v>
      </c>
      <c r="U23" s="6">
        <v>0</v>
      </c>
      <c r="X23" s="6">
        <v>-73.704862693580026</v>
      </c>
      <c r="Y23" s="6">
        <v>-75.067658222552211</v>
      </c>
      <c r="Z23" s="6">
        <v>-76.459113088223987</v>
      </c>
      <c r="AA23" s="6">
        <v>-78.109385728826808</v>
      </c>
      <c r="AB23" s="6">
        <v>-79.79861376900601</v>
      </c>
      <c r="AD23" s="7"/>
    </row>
    <row r="24" spans="1:30" s="1" customFormat="1" outlineLevel="1" x14ac:dyDescent="0.25">
      <c r="A24" s="2" t="s">
        <v>0</v>
      </c>
      <c r="B24" s="5" t="s">
        <v>27</v>
      </c>
      <c r="C24" s="5" t="s">
        <v>16</v>
      </c>
      <c r="D24" s="8"/>
      <c r="E24" s="4" t="s">
        <v>3</v>
      </c>
      <c r="F24" s="5" t="s">
        <v>4</v>
      </c>
      <c r="G24" s="9" t="s">
        <v>28</v>
      </c>
      <c r="H24"/>
      <c r="I24"/>
      <c r="J24"/>
      <c r="K24"/>
      <c r="L24"/>
      <c r="M24"/>
      <c r="N24"/>
      <c r="O24"/>
      <c r="P24"/>
      <c r="Q24" s="6">
        <v>0</v>
      </c>
      <c r="R24" s="6">
        <v>0</v>
      </c>
      <c r="S24" s="6">
        <v>0</v>
      </c>
      <c r="T24" s="6">
        <v>0</v>
      </c>
      <c r="U24" s="6">
        <v>0</v>
      </c>
      <c r="X24" s="6">
        <v>-284.5350513287043</v>
      </c>
      <c r="Y24" s="6">
        <v>-289.79607592892245</v>
      </c>
      <c r="Z24" s="6">
        <v>-295.16773889872508</v>
      </c>
      <c r="AA24" s="6">
        <v>-301.53855886012201</v>
      </c>
      <c r="AB24" s="6">
        <v>-308.05976478267428</v>
      </c>
      <c r="AD24" s="7"/>
    </row>
    <row r="25" spans="1:30" s="1" customFormat="1" outlineLevel="1" x14ac:dyDescent="0.25">
      <c r="A25" s="2" t="s">
        <v>0</v>
      </c>
      <c r="B25" s="5" t="s">
        <v>29</v>
      </c>
      <c r="C25" s="5" t="s">
        <v>19</v>
      </c>
      <c r="D25" s="8"/>
      <c r="E25" s="4" t="s">
        <v>3</v>
      </c>
      <c r="F25" s="5" t="s">
        <v>4</v>
      </c>
      <c r="G25" s="9" t="s">
        <v>30</v>
      </c>
      <c r="H25"/>
      <c r="I25"/>
      <c r="J25"/>
      <c r="K25"/>
      <c r="L25"/>
      <c r="M25"/>
      <c r="N25"/>
      <c r="O25"/>
      <c r="P25"/>
      <c r="Q25" s="6">
        <v>-60680</v>
      </c>
      <c r="R25" s="6">
        <v>-57985</v>
      </c>
      <c r="S25" s="6">
        <v>-39410</v>
      </c>
      <c r="T25" s="6">
        <v>-66418.149999999994</v>
      </c>
      <c r="U25" s="6">
        <v>-65845</v>
      </c>
      <c r="X25" s="6">
        <v>-86925.458180919159</v>
      </c>
      <c r="Y25" s="6">
        <v>-88532.701196285823</v>
      </c>
      <c r="Z25" s="6">
        <v>-90173.74423356053</v>
      </c>
      <c r="AA25" s="6">
        <v>-92120.029731767296</v>
      </c>
      <c r="AB25" s="6">
        <v>-94112.258141107013</v>
      </c>
      <c r="AD25" s="7"/>
    </row>
    <row r="26" spans="1:30" s="1" customFormat="1" outlineLevel="1" x14ac:dyDescent="0.25">
      <c r="A26" s="1" t="s">
        <v>0</v>
      </c>
      <c r="B26" s="2" t="s">
        <v>31</v>
      </c>
      <c r="C26" s="1" t="s">
        <v>2</v>
      </c>
      <c r="D26" s="3"/>
      <c r="E26" s="4" t="s">
        <v>3</v>
      </c>
      <c r="F26" s="5" t="s">
        <v>4</v>
      </c>
      <c r="G26" s="1" t="s">
        <v>32</v>
      </c>
      <c r="H26"/>
      <c r="I26"/>
      <c r="J26"/>
      <c r="K26"/>
      <c r="L26"/>
      <c r="M26"/>
      <c r="N26"/>
      <c r="O26"/>
      <c r="P26"/>
      <c r="Q26" s="6">
        <v>0</v>
      </c>
      <c r="R26" s="6">
        <v>0</v>
      </c>
      <c r="S26" s="6">
        <v>0</v>
      </c>
      <c r="T26" s="6">
        <v>0</v>
      </c>
      <c r="U26" s="6">
        <v>0</v>
      </c>
      <c r="X26" s="6">
        <v>-10.284399445615815</v>
      </c>
      <c r="Y26" s="6">
        <v>-10.474556961286353</v>
      </c>
      <c r="Z26" s="6">
        <v>-10.668713454170785</v>
      </c>
      <c r="AA26" s="6">
        <v>-10.898984055185133</v>
      </c>
      <c r="AB26" s="6">
        <v>-11.134690293349673</v>
      </c>
      <c r="AD26" s="7"/>
    </row>
    <row r="27" spans="1:30" ht="15.75" thickBot="1" x14ac:dyDescent="0.3">
      <c r="U27" s="33">
        <f>SUM(U21:U26)</f>
        <v>-68460</v>
      </c>
      <c r="X27" s="33">
        <f>SUM(X21:X26)</f>
        <v>-92712.14693565233</v>
      </c>
      <c r="Y27" s="33">
        <f t="shared" ref="Y27:AB27" si="1">SUM(Y21:Y26)</f>
        <v>-94426.385246502949</v>
      </c>
      <c r="Z27" s="33">
        <f t="shared" si="1"/>
        <v>-96176.673670440621</v>
      </c>
      <c r="AA27" s="33">
        <f t="shared" si="1"/>
        <v>-98252.524760151457</v>
      </c>
      <c r="AB27" s="33">
        <f t="shared" si="1"/>
        <v>-100377.37721283175</v>
      </c>
    </row>
    <row r="28" spans="1:30" ht="15.75" thickTop="1" x14ac:dyDescent="0.25"/>
    <row r="34" spans="2:25" x14ac:dyDescent="0.25">
      <c r="B34" s="46" t="s">
        <v>312</v>
      </c>
    </row>
    <row r="36" spans="2:25" x14ac:dyDescent="0.25">
      <c r="B36" s="44" t="s">
        <v>309</v>
      </c>
      <c r="C36" t="s">
        <v>311</v>
      </c>
      <c r="G36" t="s">
        <v>315</v>
      </c>
      <c r="X36" s="47">
        <f>SUM(C43:C46)</f>
        <v>-4590</v>
      </c>
    </row>
    <row r="37" spans="2:25" x14ac:dyDescent="0.25">
      <c r="B37" s="45">
        <v>1</v>
      </c>
      <c r="C37" s="6">
        <v>-3780</v>
      </c>
      <c r="G37" t="s">
        <v>314</v>
      </c>
      <c r="X37" s="47">
        <f>AB16/2</f>
        <v>-188879.73156518102</v>
      </c>
    </row>
    <row r="38" spans="2:25" x14ac:dyDescent="0.25">
      <c r="B38" s="45">
        <v>2</v>
      </c>
      <c r="C38" s="6">
        <v>-6060</v>
      </c>
    </row>
    <row r="39" spans="2:25" ht="15.75" thickBot="1" x14ac:dyDescent="0.3">
      <c r="B39" s="45">
        <v>3</v>
      </c>
      <c r="C39" s="6">
        <v>-4766.1000000000004</v>
      </c>
      <c r="U39" t="s">
        <v>316</v>
      </c>
      <c r="X39" s="48">
        <f>X36-X37</f>
        <v>184289.73156518102</v>
      </c>
      <c r="Y39" t="s">
        <v>319</v>
      </c>
    </row>
    <row r="40" spans="2:25" x14ac:dyDescent="0.25">
      <c r="B40" s="45">
        <v>4</v>
      </c>
      <c r="C40" s="6">
        <v>-2190</v>
      </c>
    </row>
    <row r="41" spans="2:25" x14ac:dyDescent="0.25">
      <c r="B41" s="45">
        <v>5</v>
      </c>
      <c r="C41" s="6">
        <v>-1470</v>
      </c>
    </row>
    <row r="42" spans="2:25" x14ac:dyDescent="0.25">
      <c r="B42" s="45">
        <v>6</v>
      </c>
      <c r="C42" s="6">
        <v>-4740</v>
      </c>
    </row>
    <row r="43" spans="2:25" x14ac:dyDescent="0.25">
      <c r="B43" s="45">
        <v>7</v>
      </c>
      <c r="C43" s="6">
        <v>-4980</v>
      </c>
    </row>
    <row r="44" spans="2:25" x14ac:dyDescent="0.25">
      <c r="B44" s="45">
        <v>8</v>
      </c>
      <c r="C44" s="6">
        <v>-3450</v>
      </c>
    </row>
    <row r="45" spans="2:25" x14ac:dyDescent="0.25">
      <c r="B45" s="45">
        <v>9</v>
      </c>
      <c r="C45" s="6">
        <v>3720</v>
      </c>
    </row>
    <row r="46" spans="2:25" x14ac:dyDescent="0.25">
      <c r="B46" s="45">
        <v>11</v>
      </c>
      <c r="C46" s="6">
        <v>120</v>
      </c>
    </row>
    <row r="47" spans="2:25" x14ac:dyDescent="0.25">
      <c r="B47" s="45" t="s">
        <v>310</v>
      </c>
      <c r="C47" s="6">
        <v>-27596.1</v>
      </c>
    </row>
    <row r="51" spans="2:25" x14ac:dyDescent="0.25">
      <c r="B51" s="46" t="s">
        <v>313</v>
      </c>
    </row>
    <row r="53" spans="2:25" x14ac:dyDescent="0.25">
      <c r="B53" s="44" t="s">
        <v>309</v>
      </c>
      <c r="C53" t="s">
        <v>311</v>
      </c>
    </row>
    <row r="54" spans="2:25" x14ac:dyDescent="0.25">
      <c r="B54" s="45">
        <v>1</v>
      </c>
      <c r="C54" s="6">
        <v>-130</v>
      </c>
      <c r="G54" t="s">
        <v>317</v>
      </c>
      <c r="X54" s="47">
        <f>SUM(C59:C64)</f>
        <v>-55845</v>
      </c>
    </row>
    <row r="55" spans="2:25" x14ac:dyDescent="0.25">
      <c r="B55" s="45">
        <v>2</v>
      </c>
      <c r="C55" s="6">
        <v>-1370</v>
      </c>
      <c r="G55" t="s">
        <v>318</v>
      </c>
      <c r="X55" s="47">
        <f>AB27/2</f>
        <v>-50188.688606415875</v>
      </c>
    </row>
    <row r="56" spans="2:25" x14ac:dyDescent="0.25">
      <c r="B56" s="45">
        <v>3</v>
      </c>
      <c r="C56" s="6">
        <v>-260</v>
      </c>
    </row>
    <row r="57" spans="2:25" ht="15.75" thickBot="1" x14ac:dyDescent="0.3">
      <c r="B57" s="45">
        <v>5</v>
      </c>
      <c r="C57" s="6">
        <v>-455</v>
      </c>
      <c r="U57" t="s">
        <v>316</v>
      </c>
      <c r="X57" s="48">
        <f>X54-X55</f>
        <v>-5656.3113935841247</v>
      </c>
      <c r="Y57" t="s">
        <v>319</v>
      </c>
    </row>
    <row r="58" spans="2:25" x14ac:dyDescent="0.25">
      <c r="B58" s="45">
        <v>6</v>
      </c>
      <c r="C58" s="6">
        <v>-10400</v>
      </c>
    </row>
    <row r="59" spans="2:25" x14ac:dyDescent="0.25">
      <c r="B59" s="45">
        <v>7</v>
      </c>
      <c r="C59" s="6">
        <v>-10465</v>
      </c>
    </row>
    <row r="60" spans="2:25" x14ac:dyDescent="0.25">
      <c r="B60" s="45">
        <v>8</v>
      </c>
      <c r="C60" s="6">
        <v>-8080</v>
      </c>
    </row>
    <row r="61" spans="2:25" x14ac:dyDescent="0.25">
      <c r="B61" s="45">
        <v>9</v>
      </c>
      <c r="C61" s="6">
        <v>-13175</v>
      </c>
    </row>
    <row r="62" spans="2:25" x14ac:dyDescent="0.25">
      <c r="B62" s="45">
        <v>10</v>
      </c>
      <c r="C62" s="6">
        <v>-11410</v>
      </c>
    </row>
    <row r="63" spans="2:25" x14ac:dyDescent="0.25">
      <c r="B63" s="45">
        <v>11</v>
      </c>
      <c r="C63" s="6">
        <v>-10335</v>
      </c>
    </row>
    <row r="64" spans="2:25" x14ac:dyDescent="0.25">
      <c r="B64" s="45">
        <v>12</v>
      </c>
      <c r="C64" s="6">
        <v>-2380</v>
      </c>
      <c r="G64" t="s">
        <v>320</v>
      </c>
    </row>
    <row r="65" spans="2:25" ht="15.75" thickBot="1" x14ac:dyDescent="0.3">
      <c r="B65" s="45" t="s">
        <v>310</v>
      </c>
      <c r="C65" s="6">
        <v>-68460</v>
      </c>
      <c r="G65" t="s">
        <v>321</v>
      </c>
      <c r="U65" t="s">
        <v>322</v>
      </c>
      <c r="X65" s="49">
        <f>X39+X57</f>
        <v>178633.4201715969</v>
      </c>
      <c r="Y65" t="s">
        <v>319</v>
      </c>
    </row>
    <row r="66" spans="2:25" ht="15.75" thickTop="1" x14ac:dyDescent="0.25"/>
  </sheetData>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39"/>
  <sheetViews>
    <sheetView workbookViewId="0">
      <selection activeCell="D27" sqref="D27"/>
    </sheetView>
  </sheetViews>
  <sheetFormatPr defaultRowHeight="15" x14ac:dyDescent="0.25"/>
  <cols>
    <col min="2" max="2" width="81.5703125" style="37" bestFit="1" customWidth="1"/>
  </cols>
  <sheetData>
    <row r="6" spans="2:2" x14ac:dyDescent="0.25">
      <c r="B6" s="50" t="s">
        <v>323</v>
      </c>
    </row>
    <row r="7" spans="2:2" x14ac:dyDescent="0.25">
      <c r="B7" s="50" t="s">
        <v>324</v>
      </c>
    </row>
    <row r="8" spans="2:2" x14ac:dyDescent="0.25">
      <c r="B8" s="50" t="s">
        <v>325</v>
      </c>
    </row>
    <row r="9" spans="2:2" x14ac:dyDescent="0.25">
      <c r="B9" s="37" t="s">
        <v>326</v>
      </c>
    </row>
    <row r="10" spans="2:2" x14ac:dyDescent="0.25">
      <c r="B10" s="37" t="s">
        <v>327</v>
      </c>
    </row>
    <row r="11" spans="2:2" x14ac:dyDescent="0.25">
      <c r="B11" s="37" t="s">
        <v>328</v>
      </c>
    </row>
    <row r="12" spans="2:2" x14ac:dyDescent="0.25">
      <c r="B12" s="37" t="s">
        <v>329</v>
      </c>
    </row>
    <row r="13" spans="2:2" x14ac:dyDescent="0.25">
      <c r="B13" s="37" t="s">
        <v>330</v>
      </c>
    </row>
    <row r="14" spans="2:2" x14ac:dyDescent="0.25">
      <c r="B14" s="37" t="s">
        <v>331</v>
      </c>
    </row>
    <row r="16" spans="2:2" x14ac:dyDescent="0.25">
      <c r="B16" s="51" t="s">
        <v>332</v>
      </c>
    </row>
    <row r="17" spans="2:2" x14ac:dyDescent="0.25">
      <c r="B17" s="51" t="s">
        <v>333</v>
      </c>
    </row>
    <row r="18" spans="2:2" x14ac:dyDescent="0.25">
      <c r="B18" s="51" t="s">
        <v>334</v>
      </c>
    </row>
    <row r="20" spans="2:2" x14ac:dyDescent="0.25">
      <c r="B20" s="37" t="s">
        <v>335</v>
      </c>
    </row>
    <row r="21" spans="2:2" x14ac:dyDescent="0.25">
      <c r="B21" s="37" t="s">
        <v>336</v>
      </c>
    </row>
    <row r="22" spans="2:2" x14ac:dyDescent="0.25">
      <c r="B22" s="37" t="s">
        <v>337</v>
      </c>
    </row>
    <row r="23" spans="2:2" x14ac:dyDescent="0.25">
      <c r="B23" s="37" t="s">
        <v>338</v>
      </c>
    </row>
    <row r="25" spans="2:2" x14ac:dyDescent="0.25">
      <c r="B25" s="37" t="s">
        <v>339</v>
      </c>
    </row>
    <row r="28" spans="2:2" x14ac:dyDescent="0.25">
      <c r="B28" s="52" t="s">
        <v>340</v>
      </c>
    </row>
    <row r="29" spans="2:2" x14ac:dyDescent="0.25">
      <c r="B29" s="37" t="s">
        <v>341</v>
      </c>
    </row>
    <row r="30" spans="2:2" x14ac:dyDescent="0.25">
      <c r="B30" s="37" t="s">
        <v>321</v>
      </c>
    </row>
    <row r="31" spans="2:2" x14ac:dyDescent="0.25">
      <c r="B31" s="37" t="s">
        <v>342</v>
      </c>
    </row>
    <row r="32" spans="2:2" x14ac:dyDescent="0.25">
      <c r="B32" s="37" t="s">
        <v>343</v>
      </c>
    </row>
    <row r="33" spans="2:2" x14ac:dyDescent="0.25">
      <c r="B33" s="37" t="s">
        <v>344</v>
      </c>
    </row>
    <row r="35" spans="2:2" x14ac:dyDescent="0.25">
      <c r="B35" s="37" t="s">
        <v>341</v>
      </c>
    </row>
    <row r="36" spans="2:2" x14ac:dyDescent="0.25">
      <c r="B36" s="37" t="s">
        <v>345</v>
      </c>
    </row>
    <row r="37" spans="2:2" x14ac:dyDescent="0.25">
      <c r="B37" s="37" t="s">
        <v>346</v>
      </c>
    </row>
    <row r="38" spans="2:2" x14ac:dyDescent="0.25">
      <c r="B38" s="37" t="s">
        <v>347</v>
      </c>
    </row>
    <row r="39" spans="2:2" x14ac:dyDescent="0.25">
      <c r="B39" s="37" t="s">
        <v>348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E19"/>
  <sheetViews>
    <sheetView workbookViewId="0">
      <selection activeCell="D23" sqref="D23"/>
    </sheetView>
  </sheetViews>
  <sheetFormatPr defaultRowHeight="15" x14ac:dyDescent="0.25"/>
  <cols>
    <col min="4" max="5" width="61" style="36" customWidth="1"/>
  </cols>
  <sheetData>
    <row r="6" spans="4:5" ht="15.75" thickBot="1" x14ac:dyDescent="0.3">
      <c r="D6" s="38" t="s">
        <v>60</v>
      </c>
      <c r="E6" s="38" t="s">
        <v>61</v>
      </c>
    </row>
    <row r="10" spans="4:5" s="36" customFormat="1" x14ac:dyDescent="0.25">
      <c r="D10" s="87" t="s">
        <v>55</v>
      </c>
      <c r="E10" s="87"/>
    </row>
    <row r="11" spans="4:5" s="36" customFormat="1" x14ac:dyDescent="0.25">
      <c r="D11" s="88" t="s">
        <v>56</v>
      </c>
      <c r="E11" s="88"/>
    </row>
    <row r="12" spans="4:5" s="36" customFormat="1" ht="15.75" thickBot="1" x14ac:dyDescent="0.3">
      <c r="D12" s="86" t="s">
        <v>57</v>
      </c>
      <c r="E12" s="86"/>
    </row>
    <row r="13" spans="4:5" s="36" customFormat="1" ht="57.75" thickBot="1" x14ac:dyDescent="0.3">
      <c r="D13" s="35" t="s">
        <v>58</v>
      </c>
      <c r="E13" s="35" t="s">
        <v>59</v>
      </c>
    </row>
    <row r="16" spans="4:5" ht="15" customHeight="1" x14ac:dyDescent="0.25">
      <c r="D16" s="87" t="s">
        <v>62</v>
      </c>
      <c r="E16" s="87"/>
    </row>
    <row r="17" spans="4:5" x14ac:dyDescent="0.25">
      <c r="D17" s="88" t="s">
        <v>56</v>
      </c>
      <c r="E17" s="88"/>
    </row>
    <row r="18" spans="4:5" ht="15.75" thickBot="1" x14ac:dyDescent="0.3">
      <c r="D18" s="86" t="s">
        <v>63</v>
      </c>
      <c r="E18" s="86"/>
    </row>
    <row r="19" spans="4:5" ht="72" thickBot="1" x14ac:dyDescent="0.3">
      <c r="D19" s="34" t="s">
        <v>64</v>
      </c>
      <c r="E19" s="34" t="s">
        <v>65</v>
      </c>
    </row>
  </sheetData>
  <mergeCells count="6">
    <mergeCell ref="D18:E18"/>
    <mergeCell ref="D10:E10"/>
    <mergeCell ref="D11:E11"/>
    <mergeCell ref="D12:E12"/>
    <mergeCell ref="D16:E16"/>
    <mergeCell ref="D17:E17"/>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V80"/>
  <sheetViews>
    <sheetView zoomScale="85" zoomScaleNormal="85" workbookViewId="0">
      <selection activeCell="E20" sqref="E20"/>
    </sheetView>
  </sheetViews>
  <sheetFormatPr defaultRowHeight="12" x14ac:dyDescent="0.25"/>
  <cols>
    <col min="1" max="1" width="17.85546875" style="39" customWidth="1"/>
    <col min="2" max="3" width="12.5703125" style="40" customWidth="1"/>
    <col min="4" max="4" width="36" style="39" bestFit="1" customWidth="1"/>
    <col min="5" max="5" width="14" style="39" customWidth="1"/>
    <col min="6" max="6" width="13" style="39" customWidth="1"/>
    <col min="7" max="7" width="19.28515625" style="42" customWidth="1"/>
    <col min="8" max="9" width="19.7109375" style="42" customWidth="1"/>
    <col min="10" max="10" width="23" style="39" customWidth="1"/>
    <col min="11" max="11" width="15" style="41" customWidth="1"/>
    <col min="12" max="12" width="16" style="39" customWidth="1"/>
    <col min="13" max="13" width="22" style="39" customWidth="1"/>
    <col min="14" max="14" width="27" style="39" customWidth="1"/>
    <col min="15" max="15" width="18.7109375" style="39" customWidth="1"/>
    <col min="16" max="16" width="25" style="39" customWidth="1"/>
    <col min="17" max="17" width="22" style="40" customWidth="1"/>
    <col min="18" max="18" width="24.140625" style="39" customWidth="1"/>
    <col min="19" max="19" width="20.42578125" style="39" customWidth="1"/>
    <col min="20" max="22" width="17.7109375" style="39" customWidth="1"/>
    <col min="23" max="16384" width="9.140625" style="39"/>
  </cols>
  <sheetData>
    <row r="1" spans="1:22" ht="17.45" customHeight="1" x14ac:dyDescent="0.25">
      <c r="A1" s="39" t="s">
        <v>66</v>
      </c>
      <c r="B1" s="39" t="s">
        <v>67</v>
      </c>
      <c r="C1" s="39" t="s">
        <v>141</v>
      </c>
      <c r="D1" s="39" t="s">
        <v>68</v>
      </c>
      <c r="E1" s="39" t="s">
        <v>46</v>
      </c>
      <c r="F1" s="39" t="s">
        <v>69</v>
      </c>
      <c r="G1" s="42" t="s">
        <v>70</v>
      </c>
      <c r="H1" s="42" t="s">
        <v>71</v>
      </c>
      <c r="I1" s="42" t="s">
        <v>140</v>
      </c>
      <c r="J1" s="39" t="s">
        <v>72</v>
      </c>
      <c r="K1" s="39" t="s">
        <v>73</v>
      </c>
      <c r="L1" s="39" t="s">
        <v>74</v>
      </c>
      <c r="M1" s="39" t="s">
        <v>75</v>
      </c>
      <c r="N1" s="39" t="s">
        <v>76</v>
      </c>
      <c r="O1" s="39" t="s">
        <v>77</v>
      </c>
      <c r="P1" s="39" t="s">
        <v>78</v>
      </c>
      <c r="Q1" s="39" t="s">
        <v>79</v>
      </c>
      <c r="R1" s="39" t="s">
        <v>80</v>
      </c>
      <c r="S1" s="39" t="s">
        <v>81</v>
      </c>
      <c r="T1" s="39" t="s">
        <v>82</v>
      </c>
      <c r="U1" s="39" t="s">
        <v>83</v>
      </c>
      <c r="V1" s="39" t="s">
        <v>84</v>
      </c>
    </row>
    <row r="2" spans="1:22" ht="17.45" hidden="1" customHeight="1" x14ac:dyDescent="0.25">
      <c r="A2" s="39" t="s">
        <v>18</v>
      </c>
      <c r="B2" s="40">
        <f>DATE(2019,1,18)</f>
        <v>43483</v>
      </c>
      <c r="C2" s="43">
        <f t="shared" ref="C2:C33" si="0">MONTH(B2)</f>
        <v>1</v>
      </c>
      <c r="D2" s="39" t="s">
        <v>20</v>
      </c>
      <c r="E2" s="39" t="s">
        <v>85</v>
      </c>
      <c r="F2" s="39" t="s">
        <v>95</v>
      </c>
      <c r="G2" s="42">
        <v>30</v>
      </c>
      <c r="H2" s="42">
        <v>0</v>
      </c>
      <c r="I2" s="42">
        <f t="shared" ref="I2:I33" si="1">G2-H2</f>
        <v>30</v>
      </c>
      <c r="J2" s="39" t="s">
        <v>85</v>
      </c>
      <c r="K2" s="41">
        <v>1078048</v>
      </c>
      <c r="L2" s="39" t="s">
        <v>85</v>
      </c>
      <c r="M2" s="39" t="s">
        <v>19</v>
      </c>
      <c r="N2" s="39" t="s">
        <v>85</v>
      </c>
      <c r="O2" s="39" t="s">
        <v>87</v>
      </c>
      <c r="P2" s="39" t="s">
        <v>85</v>
      </c>
      <c r="Q2" s="40">
        <f>DATE(2019,1,21)</f>
        <v>43486</v>
      </c>
      <c r="R2" s="39" t="s">
        <v>88</v>
      </c>
      <c r="S2" s="39" t="s">
        <v>85</v>
      </c>
      <c r="T2" s="39" t="s">
        <v>89</v>
      </c>
      <c r="U2" s="39" t="s">
        <v>89</v>
      </c>
      <c r="V2" s="39" t="s">
        <v>90</v>
      </c>
    </row>
    <row r="3" spans="1:22" ht="17.45" hidden="1" customHeight="1" x14ac:dyDescent="0.25">
      <c r="A3" s="39" t="s">
        <v>18</v>
      </c>
      <c r="B3" s="40">
        <f>DATE(2019,1,9)</f>
        <v>43474</v>
      </c>
      <c r="C3" s="43">
        <f t="shared" si="0"/>
        <v>1</v>
      </c>
      <c r="D3" s="39" t="s">
        <v>20</v>
      </c>
      <c r="E3" s="39" t="s">
        <v>85</v>
      </c>
      <c r="F3" s="39" t="s">
        <v>96</v>
      </c>
      <c r="G3" s="42">
        <v>0</v>
      </c>
      <c r="H3" s="42">
        <v>30</v>
      </c>
      <c r="I3" s="42">
        <f t="shared" si="1"/>
        <v>-30</v>
      </c>
      <c r="J3" s="39" t="s">
        <v>85</v>
      </c>
      <c r="K3" s="41">
        <v>1076731</v>
      </c>
      <c r="L3" s="39" t="s">
        <v>85</v>
      </c>
      <c r="M3" s="39" t="s">
        <v>19</v>
      </c>
      <c r="N3" s="39" t="s">
        <v>85</v>
      </c>
      <c r="O3" s="39" t="s">
        <v>87</v>
      </c>
      <c r="P3" s="39" t="s">
        <v>85</v>
      </c>
      <c r="Q3" s="40">
        <f>DATE(2019,1,10)</f>
        <v>43475</v>
      </c>
      <c r="R3" s="39" t="s">
        <v>88</v>
      </c>
      <c r="S3" s="39" t="s">
        <v>85</v>
      </c>
      <c r="T3" s="39" t="s">
        <v>89</v>
      </c>
      <c r="U3" s="39" t="s">
        <v>89</v>
      </c>
      <c r="V3" s="39" t="s">
        <v>90</v>
      </c>
    </row>
    <row r="4" spans="1:22" ht="17.45" hidden="1" customHeight="1" x14ac:dyDescent="0.25">
      <c r="A4" s="39" t="s">
        <v>6</v>
      </c>
      <c r="B4" s="40">
        <f>DATE(2019,1,9)</f>
        <v>43474</v>
      </c>
      <c r="C4" s="43">
        <f t="shared" si="0"/>
        <v>1</v>
      </c>
      <c r="D4" s="39" t="s">
        <v>8</v>
      </c>
      <c r="E4" s="39" t="s">
        <v>85</v>
      </c>
      <c r="F4" s="39" t="s">
        <v>96</v>
      </c>
      <c r="G4" s="42">
        <v>0</v>
      </c>
      <c r="H4" s="42">
        <v>2700</v>
      </c>
      <c r="I4" s="42">
        <f t="shared" si="1"/>
        <v>-2700</v>
      </c>
      <c r="J4" s="39" t="s">
        <v>85</v>
      </c>
      <c r="K4" s="41">
        <v>1076731</v>
      </c>
      <c r="L4" s="39" t="s">
        <v>85</v>
      </c>
      <c r="M4" s="39" t="s">
        <v>7</v>
      </c>
      <c r="N4" s="39" t="s">
        <v>85</v>
      </c>
      <c r="O4" s="39" t="s">
        <v>87</v>
      </c>
      <c r="P4" s="39" t="s">
        <v>85</v>
      </c>
      <c r="Q4" s="40">
        <f>DATE(2019,1,10)</f>
        <v>43475</v>
      </c>
      <c r="R4" s="39" t="s">
        <v>88</v>
      </c>
      <c r="S4" s="39" t="s">
        <v>85</v>
      </c>
      <c r="T4" s="39" t="s">
        <v>89</v>
      </c>
      <c r="U4" s="39" t="s">
        <v>89</v>
      </c>
      <c r="V4" s="39" t="s">
        <v>90</v>
      </c>
    </row>
    <row r="5" spans="1:22" ht="17.45" hidden="1" customHeight="1" x14ac:dyDescent="0.25">
      <c r="A5" s="39" t="s">
        <v>6</v>
      </c>
      <c r="B5" s="40">
        <f>DATE(2019,1,23)</f>
        <v>43488</v>
      </c>
      <c r="C5" s="43">
        <f t="shared" si="0"/>
        <v>1</v>
      </c>
      <c r="D5" s="39" t="s">
        <v>8</v>
      </c>
      <c r="E5" s="39" t="s">
        <v>85</v>
      </c>
      <c r="F5" s="39" t="s">
        <v>102</v>
      </c>
      <c r="G5" s="42">
        <v>0</v>
      </c>
      <c r="H5" s="42">
        <v>60</v>
      </c>
      <c r="I5" s="42">
        <f t="shared" si="1"/>
        <v>-60</v>
      </c>
      <c r="J5" s="39" t="s">
        <v>85</v>
      </c>
      <c r="K5" s="41">
        <v>1078985</v>
      </c>
      <c r="L5" s="39" t="s">
        <v>85</v>
      </c>
      <c r="M5" s="39" t="s">
        <v>7</v>
      </c>
      <c r="N5" s="39" t="s">
        <v>85</v>
      </c>
      <c r="O5" s="39" t="s">
        <v>87</v>
      </c>
      <c r="P5" s="39" t="s">
        <v>85</v>
      </c>
      <c r="Q5" s="40">
        <f>DATE(2019,1,24)</f>
        <v>43489</v>
      </c>
      <c r="R5" s="39" t="s">
        <v>88</v>
      </c>
      <c r="S5" s="39" t="s">
        <v>85</v>
      </c>
      <c r="T5" s="39" t="s">
        <v>89</v>
      </c>
      <c r="U5" s="39" t="s">
        <v>89</v>
      </c>
      <c r="V5" s="39" t="s">
        <v>90</v>
      </c>
    </row>
    <row r="6" spans="1:22" ht="17.45" hidden="1" customHeight="1" x14ac:dyDescent="0.25">
      <c r="A6" s="39" t="s">
        <v>6</v>
      </c>
      <c r="B6" s="40">
        <f>DATE(2019,1,17)</f>
        <v>43482</v>
      </c>
      <c r="C6" s="43">
        <f t="shared" si="0"/>
        <v>1</v>
      </c>
      <c r="D6" s="39" t="s">
        <v>8</v>
      </c>
      <c r="E6" s="39" t="s">
        <v>85</v>
      </c>
      <c r="F6" s="39" t="s">
        <v>103</v>
      </c>
      <c r="G6" s="42">
        <v>0</v>
      </c>
      <c r="H6" s="42">
        <v>900</v>
      </c>
      <c r="I6" s="42">
        <f t="shared" si="1"/>
        <v>-900</v>
      </c>
      <c r="J6" s="39" t="s">
        <v>85</v>
      </c>
      <c r="K6" s="41">
        <v>1077877</v>
      </c>
      <c r="L6" s="39" t="s">
        <v>85</v>
      </c>
      <c r="M6" s="39" t="s">
        <v>7</v>
      </c>
      <c r="N6" s="39" t="s">
        <v>85</v>
      </c>
      <c r="O6" s="39" t="s">
        <v>87</v>
      </c>
      <c r="P6" s="39" t="s">
        <v>85</v>
      </c>
      <c r="Q6" s="40">
        <f>DATE(2019,1,18)</f>
        <v>43483</v>
      </c>
      <c r="R6" s="39" t="s">
        <v>88</v>
      </c>
      <c r="S6" s="39" t="s">
        <v>85</v>
      </c>
      <c r="T6" s="39" t="s">
        <v>89</v>
      </c>
      <c r="U6" s="39" t="s">
        <v>89</v>
      </c>
      <c r="V6" s="39" t="s">
        <v>90</v>
      </c>
    </row>
    <row r="7" spans="1:22" ht="17.45" hidden="1" customHeight="1" x14ac:dyDescent="0.25">
      <c r="A7" s="39" t="s">
        <v>6</v>
      </c>
      <c r="B7" s="40">
        <f>DATE(2019,1,15)</f>
        <v>43480</v>
      </c>
      <c r="C7" s="43">
        <f t="shared" si="0"/>
        <v>1</v>
      </c>
      <c r="D7" s="39" t="s">
        <v>8</v>
      </c>
      <c r="E7" s="39" t="s">
        <v>85</v>
      </c>
      <c r="F7" s="39" t="s">
        <v>104</v>
      </c>
      <c r="G7" s="42">
        <v>30</v>
      </c>
      <c r="H7" s="42">
        <v>0</v>
      </c>
      <c r="I7" s="42">
        <f t="shared" si="1"/>
        <v>30</v>
      </c>
      <c r="J7" s="39" t="s">
        <v>85</v>
      </c>
      <c r="K7" s="41">
        <v>1077754</v>
      </c>
      <c r="L7" s="39" t="s">
        <v>85</v>
      </c>
      <c r="M7" s="39" t="s">
        <v>7</v>
      </c>
      <c r="N7" s="39" t="s">
        <v>85</v>
      </c>
      <c r="O7" s="39" t="s">
        <v>87</v>
      </c>
      <c r="P7" s="39" t="s">
        <v>85</v>
      </c>
      <c r="Q7" s="40">
        <f>DATE(2019,1,16)</f>
        <v>43481</v>
      </c>
      <c r="R7" s="39" t="s">
        <v>88</v>
      </c>
      <c r="S7" s="39" t="s">
        <v>85</v>
      </c>
      <c r="T7" s="39" t="s">
        <v>89</v>
      </c>
      <c r="U7" s="39" t="s">
        <v>89</v>
      </c>
      <c r="V7" s="39" t="s">
        <v>90</v>
      </c>
    </row>
    <row r="8" spans="1:22" ht="17.45" hidden="1" customHeight="1" x14ac:dyDescent="0.25">
      <c r="A8" s="39" t="s">
        <v>6</v>
      </c>
      <c r="B8" s="40">
        <f>DATE(2019,1,3)</f>
        <v>43468</v>
      </c>
      <c r="C8" s="43">
        <f t="shared" si="0"/>
        <v>1</v>
      </c>
      <c r="D8" s="39" t="s">
        <v>8</v>
      </c>
      <c r="E8" s="39" t="s">
        <v>85</v>
      </c>
      <c r="F8" s="39" t="s">
        <v>105</v>
      </c>
      <c r="G8" s="42">
        <v>30</v>
      </c>
      <c r="H8" s="42">
        <v>0</v>
      </c>
      <c r="I8" s="42">
        <f t="shared" si="1"/>
        <v>30</v>
      </c>
      <c r="J8" s="39" t="s">
        <v>85</v>
      </c>
      <c r="K8" s="41">
        <v>1075608</v>
      </c>
      <c r="L8" s="39" t="s">
        <v>85</v>
      </c>
      <c r="M8" s="39" t="s">
        <v>7</v>
      </c>
      <c r="N8" s="39" t="s">
        <v>85</v>
      </c>
      <c r="O8" s="39" t="s">
        <v>87</v>
      </c>
      <c r="P8" s="39" t="s">
        <v>85</v>
      </c>
      <c r="Q8" s="40">
        <f>DATE(2019,1,4)</f>
        <v>43469</v>
      </c>
      <c r="R8" s="39" t="s">
        <v>88</v>
      </c>
      <c r="S8" s="39" t="s">
        <v>85</v>
      </c>
      <c r="T8" s="39" t="s">
        <v>89</v>
      </c>
      <c r="U8" s="39" t="s">
        <v>89</v>
      </c>
      <c r="V8" s="39" t="s">
        <v>90</v>
      </c>
    </row>
    <row r="9" spans="1:22" ht="17.45" hidden="1" customHeight="1" x14ac:dyDescent="0.25">
      <c r="A9" s="39" t="s">
        <v>12</v>
      </c>
      <c r="B9" s="40">
        <f>DATE(2019,1,9)</f>
        <v>43474</v>
      </c>
      <c r="C9" s="43">
        <f t="shared" si="0"/>
        <v>1</v>
      </c>
      <c r="D9" s="39" t="s">
        <v>14</v>
      </c>
      <c r="E9" s="39" t="s">
        <v>85</v>
      </c>
      <c r="F9" s="39" t="s">
        <v>96</v>
      </c>
      <c r="G9" s="42">
        <v>0</v>
      </c>
      <c r="H9" s="42">
        <v>90</v>
      </c>
      <c r="I9" s="42">
        <f t="shared" si="1"/>
        <v>-90</v>
      </c>
      <c r="J9" s="39" t="s">
        <v>85</v>
      </c>
      <c r="K9" s="41">
        <v>1076731</v>
      </c>
      <c r="L9" s="39" t="s">
        <v>85</v>
      </c>
      <c r="M9" s="39" t="s">
        <v>13</v>
      </c>
      <c r="N9" s="39" t="s">
        <v>85</v>
      </c>
      <c r="O9" s="39" t="s">
        <v>87</v>
      </c>
      <c r="P9" s="39" t="s">
        <v>85</v>
      </c>
      <c r="Q9" s="40">
        <f>DATE(2019,1,10)</f>
        <v>43475</v>
      </c>
      <c r="R9" s="39" t="s">
        <v>88</v>
      </c>
      <c r="S9" s="39" t="s">
        <v>85</v>
      </c>
      <c r="T9" s="39" t="s">
        <v>89</v>
      </c>
      <c r="U9" s="39" t="s">
        <v>89</v>
      </c>
      <c r="V9" s="39" t="s">
        <v>90</v>
      </c>
    </row>
    <row r="10" spans="1:22" ht="17.45" hidden="1" customHeight="1" x14ac:dyDescent="0.25">
      <c r="A10" s="39" t="s">
        <v>12</v>
      </c>
      <c r="B10" s="40">
        <f>DATE(2019,1,23)</f>
        <v>43488</v>
      </c>
      <c r="C10" s="43">
        <f t="shared" si="0"/>
        <v>1</v>
      </c>
      <c r="D10" s="39" t="s">
        <v>14</v>
      </c>
      <c r="E10" s="39" t="s">
        <v>85</v>
      </c>
      <c r="F10" s="39" t="s">
        <v>130</v>
      </c>
      <c r="G10" s="42">
        <v>0</v>
      </c>
      <c r="H10" s="42">
        <v>30</v>
      </c>
      <c r="I10" s="42">
        <f t="shared" si="1"/>
        <v>-30</v>
      </c>
      <c r="J10" s="39" t="s">
        <v>85</v>
      </c>
      <c r="K10" s="41">
        <v>1079002</v>
      </c>
      <c r="L10" s="39" t="s">
        <v>85</v>
      </c>
      <c r="M10" s="39" t="s">
        <v>13</v>
      </c>
      <c r="N10" s="39" t="s">
        <v>85</v>
      </c>
      <c r="O10" s="39" t="s">
        <v>87</v>
      </c>
      <c r="P10" s="39" t="s">
        <v>85</v>
      </c>
      <c r="Q10" s="40">
        <f>DATE(2019,1,24)</f>
        <v>43489</v>
      </c>
      <c r="R10" s="39" t="s">
        <v>88</v>
      </c>
      <c r="S10" s="39" t="s">
        <v>85</v>
      </c>
      <c r="T10" s="39" t="s">
        <v>89</v>
      </c>
      <c r="U10" s="39" t="s">
        <v>89</v>
      </c>
      <c r="V10" s="39" t="s">
        <v>90</v>
      </c>
    </row>
    <row r="11" spans="1:22" ht="17.45" hidden="1" customHeight="1" x14ac:dyDescent="0.25">
      <c r="A11" s="39" t="s">
        <v>12</v>
      </c>
      <c r="B11" s="40">
        <f>DATE(2019,1,28)</f>
        <v>43493</v>
      </c>
      <c r="C11" s="43">
        <f t="shared" si="0"/>
        <v>1</v>
      </c>
      <c r="D11" s="39" t="s">
        <v>14</v>
      </c>
      <c r="E11" s="39" t="s">
        <v>85</v>
      </c>
      <c r="F11" s="39" t="s">
        <v>134</v>
      </c>
      <c r="G11" s="42">
        <v>0</v>
      </c>
      <c r="H11" s="42">
        <v>30</v>
      </c>
      <c r="I11" s="42">
        <f t="shared" si="1"/>
        <v>-30</v>
      </c>
      <c r="J11" s="39" t="s">
        <v>85</v>
      </c>
      <c r="K11" s="41">
        <v>1079977</v>
      </c>
      <c r="L11" s="39" t="s">
        <v>85</v>
      </c>
      <c r="M11" s="39" t="s">
        <v>13</v>
      </c>
      <c r="N11" s="39" t="s">
        <v>85</v>
      </c>
      <c r="O11" s="39" t="s">
        <v>87</v>
      </c>
      <c r="P11" s="39" t="s">
        <v>85</v>
      </c>
      <c r="Q11" s="40">
        <f>DATE(2019,1,29)</f>
        <v>43494</v>
      </c>
      <c r="R11" s="39" t="s">
        <v>88</v>
      </c>
      <c r="S11" s="39" t="s">
        <v>85</v>
      </c>
      <c r="T11" s="39" t="s">
        <v>89</v>
      </c>
      <c r="U11" s="39" t="s">
        <v>89</v>
      </c>
      <c r="V11" s="39" t="s">
        <v>90</v>
      </c>
    </row>
    <row r="12" spans="1:22" ht="17.45" hidden="1" customHeight="1" x14ac:dyDescent="0.25">
      <c r="A12" s="39" t="s">
        <v>12</v>
      </c>
      <c r="B12" s="40">
        <f>DATE(2019,1,28)</f>
        <v>43493</v>
      </c>
      <c r="C12" s="43">
        <f t="shared" si="0"/>
        <v>1</v>
      </c>
      <c r="D12" s="39" t="s">
        <v>14</v>
      </c>
      <c r="E12" s="39" t="s">
        <v>85</v>
      </c>
      <c r="F12" s="39" t="s">
        <v>135</v>
      </c>
      <c r="G12" s="42">
        <v>0</v>
      </c>
      <c r="H12" s="42">
        <v>30</v>
      </c>
      <c r="I12" s="42">
        <f t="shared" si="1"/>
        <v>-30</v>
      </c>
      <c r="J12" s="39" t="s">
        <v>85</v>
      </c>
      <c r="K12" s="41">
        <v>1079987</v>
      </c>
      <c r="L12" s="39" t="s">
        <v>85</v>
      </c>
      <c r="M12" s="39" t="s">
        <v>13</v>
      </c>
      <c r="N12" s="39" t="s">
        <v>85</v>
      </c>
      <c r="O12" s="39" t="s">
        <v>87</v>
      </c>
      <c r="P12" s="39" t="s">
        <v>85</v>
      </c>
      <c r="Q12" s="40">
        <f>DATE(2019,1,29)</f>
        <v>43494</v>
      </c>
      <c r="R12" s="39" t="s">
        <v>88</v>
      </c>
      <c r="S12" s="39" t="s">
        <v>85</v>
      </c>
      <c r="T12" s="39" t="s">
        <v>89</v>
      </c>
      <c r="U12" s="39" t="s">
        <v>89</v>
      </c>
      <c r="V12" s="39" t="s">
        <v>90</v>
      </c>
    </row>
    <row r="13" spans="1:22" ht="17.45" hidden="1" customHeight="1" x14ac:dyDescent="0.25">
      <c r="A13" s="39" t="s">
        <v>9</v>
      </c>
      <c r="B13" s="40">
        <f>DATE(2019,1,9)</f>
        <v>43474</v>
      </c>
      <c r="C13" s="43">
        <f t="shared" si="0"/>
        <v>1</v>
      </c>
      <c r="D13" s="39" t="s">
        <v>11</v>
      </c>
      <c r="E13" s="39" t="s">
        <v>85</v>
      </c>
      <c r="F13" s="39" t="s">
        <v>96</v>
      </c>
      <c r="G13" s="42">
        <v>0</v>
      </c>
      <c r="H13" s="42">
        <v>30</v>
      </c>
      <c r="I13" s="42">
        <f t="shared" si="1"/>
        <v>-30</v>
      </c>
      <c r="J13" s="39" t="s">
        <v>85</v>
      </c>
      <c r="K13" s="41">
        <v>1076731</v>
      </c>
      <c r="L13" s="39" t="s">
        <v>85</v>
      </c>
      <c r="M13" s="39" t="s">
        <v>10</v>
      </c>
      <c r="N13" s="39" t="s">
        <v>85</v>
      </c>
      <c r="O13" s="39" t="s">
        <v>87</v>
      </c>
      <c r="P13" s="39" t="s">
        <v>85</v>
      </c>
      <c r="Q13" s="40">
        <f>DATE(2019,1,10)</f>
        <v>43475</v>
      </c>
      <c r="R13" s="39" t="s">
        <v>88</v>
      </c>
      <c r="S13" s="39" t="s">
        <v>85</v>
      </c>
      <c r="T13" s="39" t="s">
        <v>89</v>
      </c>
      <c r="U13" s="39" t="s">
        <v>89</v>
      </c>
      <c r="V13" s="39" t="s">
        <v>90</v>
      </c>
    </row>
    <row r="14" spans="1:22" ht="17.45" hidden="1" customHeight="1" x14ac:dyDescent="0.25">
      <c r="A14" s="39" t="s">
        <v>9</v>
      </c>
      <c r="B14" s="40">
        <f>DATE(2019,1,10)</f>
        <v>43475</v>
      </c>
      <c r="C14" s="43">
        <f t="shared" si="0"/>
        <v>1</v>
      </c>
      <c r="D14" s="39" t="s">
        <v>11</v>
      </c>
      <c r="E14" s="39" t="s">
        <v>85</v>
      </c>
      <c r="F14" s="39" t="s">
        <v>138</v>
      </c>
      <c r="G14" s="42">
        <v>30</v>
      </c>
      <c r="H14" s="42">
        <v>0</v>
      </c>
      <c r="I14" s="42">
        <f t="shared" si="1"/>
        <v>30</v>
      </c>
      <c r="J14" s="39" t="s">
        <v>85</v>
      </c>
      <c r="K14" s="41">
        <v>1077053</v>
      </c>
      <c r="L14" s="39" t="s">
        <v>85</v>
      </c>
      <c r="M14" s="39" t="s">
        <v>10</v>
      </c>
      <c r="N14" s="39" t="s">
        <v>85</v>
      </c>
      <c r="O14" s="39" t="s">
        <v>87</v>
      </c>
      <c r="P14" s="39" t="s">
        <v>85</v>
      </c>
      <c r="Q14" s="40">
        <f>DATE(2019,1,11)</f>
        <v>43476</v>
      </c>
      <c r="R14" s="39" t="s">
        <v>88</v>
      </c>
      <c r="S14" s="39" t="s">
        <v>85</v>
      </c>
      <c r="T14" s="39" t="s">
        <v>89</v>
      </c>
      <c r="U14" s="39" t="s">
        <v>89</v>
      </c>
      <c r="V14" s="39" t="s">
        <v>90</v>
      </c>
    </row>
    <row r="15" spans="1:22" ht="17.45" hidden="1" customHeight="1" x14ac:dyDescent="0.25">
      <c r="A15" s="39" t="s">
        <v>6</v>
      </c>
      <c r="B15" s="40">
        <f>DATE(2019,2,13)</f>
        <v>43509</v>
      </c>
      <c r="C15" s="43">
        <f t="shared" si="0"/>
        <v>2</v>
      </c>
      <c r="D15" s="39" t="s">
        <v>8</v>
      </c>
      <c r="E15" s="39" t="s">
        <v>85</v>
      </c>
      <c r="F15" s="39" t="s">
        <v>97</v>
      </c>
      <c r="G15" s="42">
        <v>30</v>
      </c>
      <c r="H15" s="42">
        <v>0</v>
      </c>
      <c r="I15" s="42">
        <f t="shared" si="1"/>
        <v>30</v>
      </c>
      <c r="J15" s="39" t="s">
        <v>85</v>
      </c>
      <c r="K15" s="41">
        <v>1081965</v>
      </c>
      <c r="L15" s="39" t="s">
        <v>85</v>
      </c>
      <c r="M15" s="39" t="s">
        <v>7</v>
      </c>
      <c r="N15" s="39" t="s">
        <v>85</v>
      </c>
      <c r="O15" s="39" t="s">
        <v>87</v>
      </c>
      <c r="P15" s="39" t="s">
        <v>85</v>
      </c>
      <c r="Q15" s="40">
        <f>DATE(2019,2,14)</f>
        <v>43510</v>
      </c>
      <c r="R15" s="39" t="s">
        <v>88</v>
      </c>
      <c r="S15" s="39" t="s">
        <v>85</v>
      </c>
      <c r="T15" s="39" t="s">
        <v>89</v>
      </c>
      <c r="U15" s="39" t="s">
        <v>89</v>
      </c>
      <c r="V15" s="39" t="s">
        <v>90</v>
      </c>
    </row>
    <row r="16" spans="1:22" ht="17.45" hidden="1" customHeight="1" x14ac:dyDescent="0.25">
      <c r="A16" s="39" t="s">
        <v>6</v>
      </c>
      <c r="B16" s="40">
        <f>DATE(2019,2,13)</f>
        <v>43509</v>
      </c>
      <c r="C16" s="43">
        <f t="shared" si="0"/>
        <v>2</v>
      </c>
      <c r="D16" s="39" t="s">
        <v>8</v>
      </c>
      <c r="E16" s="39" t="s">
        <v>85</v>
      </c>
      <c r="F16" s="39" t="s">
        <v>98</v>
      </c>
      <c r="G16" s="42">
        <v>30</v>
      </c>
      <c r="H16" s="42">
        <v>0</v>
      </c>
      <c r="I16" s="42">
        <f t="shared" si="1"/>
        <v>30</v>
      </c>
      <c r="J16" s="39" t="s">
        <v>85</v>
      </c>
      <c r="K16" s="41">
        <v>1081961</v>
      </c>
      <c r="L16" s="39" t="s">
        <v>85</v>
      </c>
      <c r="M16" s="39" t="s">
        <v>7</v>
      </c>
      <c r="N16" s="39" t="s">
        <v>85</v>
      </c>
      <c r="O16" s="39" t="s">
        <v>87</v>
      </c>
      <c r="P16" s="39" t="s">
        <v>85</v>
      </c>
      <c r="Q16" s="40">
        <f>DATE(2019,2,14)</f>
        <v>43510</v>
      </c>
      <c r="R16" s="39" t="s">
        <v>88</v>
      </c>
      <c r="S16" s="39" t="s">
        <v>85</v>
      </c>
      <c r="T16" s="39" t="s">
        <v>89</v>
      </c>
      <c r="U16" s="39" t="s">
        <v>89</v>
      </c>
      <c r="V16" s="39" t="s">
        <v>90</v>
      </c>
    </row>
    <row r="17" spans="1:22" ht="17.45" hidden="1" customHeight="1" x14ac:dyDescent="0.25">
      <c r="A17" s="39" t="s">
        <v>6</v>
      </c>
      <c r="B17" s="40">
        <f>DATE(2019,2,13)</f>
        <v>43509</v>
      </c>
      <c r="C17" s="43">
        <f t="shared" si="0"/>
        <v>2</v>
      </c>
      <c r="D17" s="39" t="s">
        <v>8</v>
      </c>
      <c r="E17" s="39" t="s">
        <v>85</v>
      </c>
      <c r="F17" s="39" t="s">
        <v>99</v>
      </c>
      <c r="G17" s="42">
        <v>30</v>
      </c>
      <c r="H17" s="42">
        <v>0</v>
      </c>
      <c r="I17" s="42">
        <f t="shared" si="1"/>
        <v>30</v>
      </c>
      <c r="J17" s="39" t="s">
        <v>85</v>
      </c>
      <c r="K17" s="41">
        <v>1081960</v>
      </c>
      <c r="L17" s="39" t="s">
        <v>85</v>
      </c>
      <c r="M17" s="39" t="s">
        <v>7</v>
      </c>
      <c r="N17" s="39" t="s">
        <v>85</v>
      </c>
      <c r="O17" s="39" t="s">
        <v>87</v>
      </c>
      <c r="P17" s="39" t="s">
        <v>85</v>
      </c>
      <c r="Q17" s="40">
        <f>DATE(2019,2,14)</f>
        <v>43510</v>
      </c>
      <c r="R17" s="39" t="s">
        <v>88</v>
      </c>
      <c r="S17" s="39" t="s">
        <v>85</v>
      </c>
      <c r="T17" s="39" t="s">
        <v>89</v>
      </c>
      <c r="U17" s="39" t="s">
        <v>89</v>
      </c>
      <c r="V17" s="39" t="s">
        <v>90</v>
      </c>
    </row>
    <row r="18" spans="1:22" ht="17.45" hidden="1" customHeight="1" x14ac:dyDescent="0.25">
      <c r="A18" s="39" t="s">
        <v>6</v>
      </c>
      <c r="B18" s="40">
        <f>DATE(2019,2,1)</f>
        <v>43497</v>
      </c>
      <c r="C18" s="43">
        <f t="shared" si="0"/>
        <v>2</v>
      </c>
      <c r="D18" s="39" t="s">
        <v>8</v>
      </c>
      <c r="E18" s="39" t="s">
        <v>85</v>
      </c>
      <c r="F18" s="39" t="s">
        <v>100</v>
      </c>
      <c r="G18" s="42">
        <v>0</v>
      </c>
      <c r="H18" s="42">
        <v>4290</v>
      </c>
      <c r="I18" s="42">
        <f t="shared" si="1"/>
        <v>-4290</v>
      </c>
      <c r="J18" s="39" t="s">
        <v>85</v>
      </c>
      <c r="K18" s="41">
        <v>1080368</v>
      </c>
      <c r="L18" s="39" t="s">
        <v>85</v>
      </c>
      <c r="M18" s="39" t="s">
        <v>7</v>
      </c>
      <c r="N18" s="39" t="s">
        <v>85</v>
      </c>
      <c r="O18" s="39" t="s">
        <v>87</v>
      </c>
      <c r="P18" s="39" t="s">
        <v>85</v>
      </c>
      <c r="Q18" s="40">
        <f>DATE(2019,2,4)</f>
        <v>43500</v>
      </c>
      <c r="R18" s="39" t="s">
        <v>88</v>
      </c>
      <c r="S18" s="39" t="s">
        <v>85</v>
      </c>
      <c r="T18" s="39" t="s">
        <v>89</v>
      </c>
      <c r="U18" s="39" t="s">
        <v>89</v>
      </c>
      <c r="V18" s="39" t="s">
        <v>90</v>
      </c>
    </row>
    <row r="19" spans="1:22" ht="17.45" hidden="1" customHeight="1" x14ac:dyDescent="0.25">
      <c r="A19" s="39" t="s">
        <v>6</v>
      </c>
      <c r="B19" s="40">
        <f>DATE(2019,2,18)</f>
        <v>43514</v>
      </c>
      <c r="C19" s="43">
        <f t="shared" si="0"/>
        <v>2</v>
      </c>
      <c r="D19" s="39" t="s">
        <v>8</v>
      </c>
      <c r="E19" s="39" t="s">
        <v>85</v>
      </c>
      <c r="F19" s="39" t="s">
        <v>107</v>
      </c>
      <c r="G19" s="42">
        <v>0</v>
      </c>
      <c r="H19" s="42">
        <v>30</v>
      </c>
      <c r="I19" s="42">
        <f t="shared" si="1"/>
        <v>-30</v>
      </c>
      <c r="J19" s="39" t="s">
        <v>85</v>
      </c>
      <c r="K19" s="41">
        <v>1082124</v>
      </c>
      <c r="L19" s="39" t="s">
        <v>85</v>
      </c>
      <c r="M19" s="39" t="s">
        <v>7</v>
      </c>
      <c r="N19" s="39" t="s">
        <v>85</v>
      </c>
      <c r="O19" s="39" t="s">
        <v>87</v>
      </c>
      <c r="P19" s="39" t="s">
        <v>85</v>
      </c>
      <c r="Q19" s="40">
        <f>DATE(2019,2,19)</f>
        <v>43515</v>
      </c>
      <c r="R19" s="39" t="s">
        <v>88</v>
      </c>
      <c r="S19" s="39" t="s">
        <v>85</v>
      </c>
      <c r="T19" s="39" t="s">
        <v>89</v>
      </c>
      <c r="U19" s="39" t="s">
        <v>89</v>
      </c>
      <c r="V19" s="39" t="s">
        <v>90</v>
      </c>
    </row>
    <row r="20" spans="1:22" ht="17.45" hidden="1" customHeight="1" x14ac:dyDescent="0.25">
      <c r="A20" s="39" t="s">
        <v>6</v>
      </c>
      <c r="B20" s="40">
        <f>DATE(2019,2,20)</f>
        <v>43516</v>
      </c>
      <c r="C20" s="43">
        <f t="shared" si="0"/>
        <v>2</v>
      </c>
      <c r="D20" s="39" t="s">
        <v>8</v>
      </c>
      <c r="E20" s="39" t="s">
        <v>85</v>
      </c>
      <c r="F20" s="39" t="s">
        <v>108</v>
      </c>
      <c r="G20" s="42">
        <v>0</v>
      </c>
      <c r="H20" s="42">
        <v>1560</v>
      </c>
      <c r="I20" s="42">
        <f t="shared" si="1"/>
        <v>-1560</v>
      </c>
      <c r="J20" s="39" t="s">
        <v>85</v>
      </c>
      <c r="K20" s="41">
        <v>1082561</v>
      </c>
      <c r="L20" s="39" t="s">
        <v>85</v>
      </c>
      <c r="M20" s="39" t="s">
        <v>7</v>
      </c>
      <c r="N20" s="39" t="s">
        <v>85</v>
      </c>
      <c r="O20" s="39" t="s">
        <v>87</v>
      </c>
      <c r="P20" s="39" t="s">
        <v>85</v>
      </c>
      <c r="Q20" s="40">
        <f>DATE(2019,2,21)</f>
        <v>43517</v>
      </c>
      <c r="R20" s="39" t="s">
        <v>88</v>
      </c>
      <c r="S20" s="39" t="s">
        <v>85</v>
      </c>
      <c r="T20" s="39" t="s">
        <v>89</v>
      </c>
      <c r="U20" s="39" t="s">
        <v>89</v>
      </c>
      <c r="V20" s="39" t="s">
        <v>90</v>
      </c>
    </row>
    <row r="21" spans="1:22" ht="17.45" hidden="1" customHeight="1" x14ac:dyDescent="0.25">
      <c r="A21" s="39" t="s">
        <v>12</v>
      </c>
      <c r="B21" s="40">
        <f>DATE(2019,2,19)</f>
        <v>43515</v>
      </c>
      <c r="C21" s="43">
        <f t="shared" si="0"/>
        <v>2</v>
      </c>
      <c r="D21" s="39" t="s">
        <v>14</v>
      </c>
      <c r="E21" s="39" t="s">
        <v>85</v>
      </c>
      <c r="F21" s="39" t="s">
        <v>131</v>
      </c>
      <c r="G21" s="42">
        <v>0</v>
      </c>
      <c r="H21" s="42">
        <v>270</v>
      </c>
      <c r="I21" s="42">
        <f t="shared" si="1"/>
        <v>-270</v>
      </c>
      <c r="J21" s="39" t="s">
        <v>85</v>
      </c>
      <c r="K21" s="41">
        <v>1082415</v>
      </c>
      <c r="L21" s="39" t="s">
        <v>85</v>
      </c>
      <c r="M21" s="39" t="s">
        <v>13</v>
      </c>
      <c r="N21" s="39" t="s">
        <v>85</v>
      </c>
      <c r="O21" s="39" t="s">
        <v>87</v>
      </c>
      <c r="P21" s="39" t="s">
        <v>85</v>
      </c>
      <c r="Q21" s="40">
        <f>DATE(2019,2,20)</f>
        <v>43516</v>
      </c>
      <c r="R21" s="39" t="s">
        <v>88</v>
      </c>
      <c r="S21" s="39" t="s">
        <v>85</v>
      </c>
      <c r="T21" s="39" t="s">
        <v>89</v>
      </c>
      <c r="U21" s="39" t="s">
        <v>89</v>
      </c>
      <c r="V21" s="39" t="s">
        <v>90</v>
      </c>
    </row>
    <row r="22" spans="1:22" ht="17.45" hidden="1" customHeight="1" x14ac:dyDescent="0.25">
      <c r="A22" s="39" t="s">
        <v>18</v>
      </c>
      <c r="B22" s="40">
        <f>DATE(2019,3,14)</f>
        <v>43538</v>
      </c>
      <c r="C22" s="43">
        <f t="shared" si="0"/>
        <v>3</v>
      </c>
      <c r="D22" s="39" t="s">
        <v>20</v>
      </c>
      <c r="E22" s="39" t="s">
        <v>85</v>
      </c>
      <c r="F22" s="39" t="s">
        <v>94</v>
      </c>
      <c r="G22" s="42">
        <v>0</v>
      </c>
      <c r="H22" s="42">
        <v>30</v>
      </c>
      <c r="I22" s="42">
        <f t="shared" si="1"/>
        <v>-30</v>
      </c>
      <c r="J22" s="39" t="s">
        <v>85</v>
      </c>
      <c r="K22" s="41">
        <v>1086457</v>
      </c>
      <c r="L22" s="39" t="s">
        <v>85</v>
      </c>
      <c r="M22" s="39" t="s">
        <v>19</v>
      </c>
      <c r="N22" s="39" t="s">
        <v>85</v>
      </c>
      <c r="O22" s="39" t="s">
        <v>87</v>
      </c>
      <c r="P22" s="39" t="s">
        <v>85</v>
      </c>
      <c r="Q22" s="40">
        <f>DATE(2019,3,15)</f>
        <v>43539</v>
      </c>
      <c r="R22" s="39" t="s">
        <v>88</v>
      </c>
      <c r="S22" s="39" t="s">
        <v>85</v>
      </c>
      <c r="T22" s="39" t="s">
        <v>89</v>
      </c>
      <c r="U22" s="39" t="s">
        <v>89</v>
      </c>
      <c r="V22" s="39" t="s">
        <v>90</v>
      </c>
    </row>
    <row r="23" spans="1:22" ht="17.45" hidden="1" customHeight="1" x14ac:dyDescent="0.25">
      <c r="A23" s="39" t="s">
        <v>6</v>
      </c>
      <c r="B23" s="40">
        <f>DATE(2019,3,13)</f>
        <v>43537</v>
      </c>
      <c r="C23" s="43">
        <f t="shared" si="0"/>
        <v>3</v>
      </c>
      <c r="D23" s="39" t="s">
        <v>8</v>
      </c>
      <c r="E23" s="39" t="s">
        <v>85</v>
      </c>
      <c r="F23" s="39" t="s">
        <v>101</v>
      </c>
      <c r="G23" s="42">
        <v>30</v>
      </c>
      <c r="H23" s="42">
        <v>0</v>
      </c>
      <c r="I23" s="42">
        <f t="shared" si="1"/>
        <v>30</v>
      </c>
      <c r="J23" s="39" t="s">
        <v>85</v>
      </c>
      <c r="K23" s="41">
        <v>1086451</v>
      </c>
      <c r="L23" s="39" t="s">
        <v>85</v>
      </c>
      <c r="M23" s="39" t="s">
        <v>7</v>
      </c>
      <c r="N23" s="39" t="s">
        <v>85</v>
      </c>
      <c r="O23" s="39" t="s">
        <v>87</v>
      </c>
      <c r="P23" s="39" t="s">
        <v>85</v>
      </c>
      <c r="Q23" s="40">
        <f>DATE(2019,3,15)</f>
        <v>43539</v>
      </c>
      <c r="R23" s="39" t="s">
        <v>88</v>
      </c>
      <c r="S23" s="39" t="s">
        <v>85</v>
      </c>
      <c r="T23" s="39" t="s">
        <v>89</v>
      </c>
      <c r="U23" s="39" t="s">
        <v>89</v>
      </c>
      <c r="V23" s="39" t="s">
        <v>90</v>
      </c>
    </row>
    <row r="24" spans="1:22" ht="17.45" hidden="1" customHeight="1" x14ac:dyDescent="0.25">
      <c r="A24" s="39" t="s">
        <v>6</v>
      </c>
      <c r="B24" s="40">
        <f>DATE(2019,3,14)</f>
        <v>43538</v>
      </c>
      <c r="C24" s="43">
        <f t="shared" si="0"/>
        <v>3</v>
      </c>
      <c r="D24" s="39" t="s">
        <v>8</v>
      </c>
      <c r="E24" s="39" t="s">
        <v>85</v>
      </c>
      <c r="F24" s="39" t="s">
        <v>94</v>
      </c>
      <c r="G24" s="42">
        <v>0</v>
      </c>
      <c r="H24" s="42">
        <v>780</v>
      </c>
      <c r="I24" s="42">
        <f t="shared" si="1"/>
        <v>-780</v>
      </c>
      <c r="J24" s="39" t="s">
        <v>85</v>
      </c>
      <c r="K24" s="41">
        <v>1086457</v>
      </c>
      <c r="L24" s="39" t="s">
        <v>85</v>
      </c>
      <c r="M24" s="39" t="s">
        <v>7</v>
      </c>
      <c r="N24" s="39" t="s">
        <v>85</v>
      </c>
      <c r="O24" s="39" t="s">
        <v>87</v>
      </c>
      <c r="P24" s="39" t="s">
        <v>85</v>
      </c>
      <c r="Q24" s="40">
        <f>DATE(2019,3,15)</f>
        <v>43539</v>
      </c>
      <c r="R24" s="39" t="s">
        <v>88</v>
      </c>
      <c r="S24" s="39" t="s">
        <v>85</v>
      </c>
      <c r="T24" s="39" t="s">
        <v>89</v>
      </c>
      <c r="U24" s="39" t="s">
        <v>89</v>
      </c>
      <c r="V24" s="39" t="s">
        <v>90</v>
      </c>
    </row>
    <row r="25" spans="1:22" ht="17.45" hidden="1" customHeight="1" x14ac:dyDescent="0.25">
      <c r="A25" s="39" t="s">
        <v>6</v>
      </c>
      <c r="B25" s="40">
        <f>DATE(2019,3,4)</f>
        <v>43528</v>
      </c>
      <c r="C25" s="43">
        <f t="shared" si="0"/>
        <v>3</v>
      </c>
      <c r="D25" s="39" t="s">
        <v>8</v>
      </c>
      <c r="E25" s="39" t="s">
        <v>85</v>
      </c>
      <c r="F25" s="39" t="s">
        <v>110</v>
      </c>
      <c r="G25" s="42">
        <v>33.9</v>
      </c>
      <c r="H25" s="42">
        <v>0</v>
      </c>
      <c r="I25" s="42">
        <f t="shared" si="1"/>
        <v>33.9</v>
      </c>
      <c r="J25" s="39" t="s">
        <v>85</v>
      </c>
      <c r="K25" s="41">
        <v>1085015</v>
      </c>
      <c r="L25" s="39" t="s">
        <v>85</v>
      </c>
      <c r="M25" s="39" t="s">
        <v>7</v>
      </c>
      <c r="N25" s="39" t="s">
        <v>85</v>
      </c>
      <c r="O25" s="39" t="s">
        <v>87</v>
      </c>
      <c r="P25" s="39" t="s">
        <v>85</v>
      </c>
      <c r="Q25" s="40">
        <f>DATE(2019,3,5)</f>
        <v>43529</v>
      </c>
      <c r="R25" s="39" t="s">
        <v>88</v>
      </c>
      <c r="S25" s="39" t="s">
        <v>85</v>
      </c>
      <c r="T25" s="39" t="s">
        <v>89</v>
      </c>
      <c r="U25" s="39" t="s">
        <v>89</v>
      </c>
      <c r="V25" s="39" t="s">
        <v>90</v>
      </c>
    </row>
    <row r="26" spans="1:22" ht="17.45" hidden="1" customHeight="1" x14ac:dyDescent="0.25">
      <c r="A26" s="39" t="s">
        <v>6</v>
      </c>
      <c r="B26" s="40">
        <f>DATE(2019,3,7)</f>
        <v>43531</v>
      </c>
      <c r="C26" s="43">
        <f t="shared" si="0"/>
        <v>3</v>
      </c>
      <c r="D26" s="39" t="s">
        <v>8</v>
      </c>
      <c r="E26" s="39" t="s">
        <v>85</v>
      </c>
      <c r="F26" s="39" t="s">
        <v>111</v>
      </c>
      <c r="G26" s="42">
        <v>0</v>
      </c>
      <c r="H26" s="42">
        <v>3150</v>
      </c>
      <c r="I26" s="42">
        <f t="shared" si="1"/>
        <v>-3150</v>
      </c>
      <c r="J26" s="39" t="s">
        <v>85</v>
      </c>
      <c r="K26" s="41">
        <v>1085988</v>
      </c>
      <c r="L26" s="39" t="s">
        <v>85</v>
      </c>
      <c r="M26" s="39" t="s">
        <v>7</v>
      </c>
      <c r="N26" s="39" t="s">
        <v>85</v>
      </c>
      <c r="O26" s="39" t="s">
        <v>87</v>
      </c>
      <c r="P26" s="39" t="s">
        <v>85</v>
      </c>
      <c r="Q26" s="40">
        <f>DATE(2019,3,8)</f>
        <v>43532</v>
      </c>
      <c r="R26" s="39" t="s">
        <v>88</v>
      </c>
      <c r="S26" s="39" t="s">
        <v>85</v>
      </c>
      <c r="T26" s="39" t="s">
        <v>89</v>
      </c>
      <c r="U26" s="39" t="s">
        <v>89</v>
      </c>
      <c r="V26" s="39" t="s">
        <v>90</v>
      </c>
    </row>
    <row r="27" spans="1:22" ht="17.45" hidden="1" customHeight="1" x14ac:dyDescent="0.25">
      <c r="A27" s="39" t="s">
        <v>6</v>
      </c>
      <c r="B27" s="40">
        <f>DATE(2019,3,15)</f>
        <v>43539</v>
      </c>
      <c r="C27" s="43">
        <f t="shared" si="0"/>
        <v>3</v>
      </c>
      <c r="D27" s="39" t="s">
        <v>8</v>
      </c>
      <c r="E27" s="39" t="s">
        <v>85</v>
      </c>
      <c r="F27" s="39" t="s">
        <v>112</v>
      </c>
      <c r="G27" s="42">
        <v>0</v>
      </c>
      <c r="H27" s="42">
        <v>600</v>
      </c>
      <c r="I27" s="42">
        <f t="shared" si="1"/>
        <v>-600</v>
      </c>
      <c r="J27" s="39" t="s">
        <v>85</v>
      </c>
      <c r="K27" s="41">
        <v>1086509</v>
      </c>
      <c r="L27" s="39" t="s">
        <v>85</v>
      </c>
      <c r="M27" s="39" t="s">
        <v>7</v>
      </c>
      <c r="N27" s="39" t="s">
        <v>85</v>
      </c>
      <c r="O27" s="39" t="s">
        <v>87</v>
      </c>
      <c r="P27" s="39" t="s">
        <v>85</v>
      </c>
      <c r="Q27" s="40">
        <f>DATE(2019,3,18)</f>
        <v>43542</v>
      </c>
      <c r="R27" s="39" t="s">
        <v>88</v>
      </c>
      <c r="S27" s="39" t="s">
        <v>85</v>
      </c>
      <c r="T27" s="39" t="s">
        <v>89</v>
      </c>
      <c r="U27" s="39" t="s">
        <v>89</v>
      </c>
      <c r="V27" s="39" t="s">
        <v>90</v>
      </c>
    </row>
    <row r="28" spans="1:22" ht="17.45" hidden="1" customHeight="1" x14ac:dyDescent="0.25">
      <c r="A28" s="39" t="s">
        <v>12</v>
      </c>
      <c r="B28" s="40">
        <f>DATE(2019,3,7)</f>
        <v>43531</v>
      </c>
      <c r="C28" s="43">
        <f t="shared" si="0"/>
        <v>3</v>
      </c>
      <c r="D28" s="39" t="s">
        <v>14</v>
      </c>
      <c r="E28" s="39" t="s">
        <v>85</v>
      </c>
      <c r="F28" s="39" t="s">
        <v>111</v>
      </c>
      <c r="G28" s="42">
        <v>0</v>
      </c>
      <c r="H28" s="42">
        <v>30</v>
      </c>
      <c r="I28" s="42">
        <f t="shared" si="1"/>
        <v>-30</v>
      </c>
      <c r="J28" s="39" t="s">
        <v>85</v>
      </c>
      <c r="K28" s="41">
        <v>1085988</v>
      </c>
      <c r="L28" s="39" t="s">
        <v>85</v>
      </c>
      <c r="M28" s="39" t="s">
        <v>13</v>
      </c>
      <c r="N28" s="39" t="s">
        <v>85</v>
      </c>
      <c r="O28" s="39" t="s">
        <v>87</v>
      </c>
      <c r="P28" s="39" t="s">
        <v>85</v>
      </c>
      <c r="Q28" s="40">
        <f>DATE(2019,3,8)</f>
        <v>43532</v>
      </c>
      <c r="R28" s="39" t="s">
        <v>88</v>
      </c>
      <c r="S28" s="39" t="s">
        <v>85</v>
      </c>
      <c r="T28" s="39" t="s">
        <v>89</v>
      </c>
      <c r="U28" s="39" t="s">
        <v>89</v>
      </c>
      <c r="V28" s="39" t="s">
        <v>90</v>
      </c>
    </row>
    <row r="29" spans="1:22" ht="17.45" hidden="1" customHeight="1" x14ac:dyDescent="0.25">
      <c r="A29" s="39" t="s">
        <v>12</v>
      </c>
      <c r="B29" s="40">
        <f>DATE(2019,3,14)</f>
        <v>43538</v>
      </c>
      <c r="C29" s="43">
        <f t="shared" si="0"/>
        <v>3</v>
      </c>
      <c r="D29" s="39" t="s">
        <v>14</v>
      </c>
      <c r="E29" s="39" t="s">
        <v>85</v>
      </c>
      <c r="F29" s="39" t="s">
        <v>94</v>
      </c>
      <c r="G29" s="42">
        <v>0</v>
      </c>
      <c r="H29" s="42">
        <v>240</v>
      </c>
      <c r="I29" s="42">
        <f t="shared" si="1"/>
        <v>-240</v>
      </c>
      <c r="J29" s="39" t="s">
        <v>85</v>
      </c>
      <c r="K29" s="41">
        <v>1086457</v>
      </c>
      <c r="L29" s="39" t="s">
        <v>85</v>
      </c>
      <c r="M29" s="39" t="s">
        <v>13</v>
      </c>
      <c r="N29" s="39" t="s">
        <v>85</v>
      </c>
      <c r="O29" s="39" t="s">
        <v>87</v>
      </c>
      <c r="P29" s="39" t="s">
        <v>85</v>
      </c>
      <c r="Q29" s="40">
        <f>DATE(2019,3,15)</f>
        <v>43539</v>
      </c>
      <c r="R29" s="39" t="s">
        <v>88</v>
      </c>
      <c r="S29" s="39" t="s">
        <v>85</v>
      </c>
      <c r="T29" s="39" t="s">
        <v>89</v>
      </c>
      <c r="U29" s="39" t="s">
        <v>89</v>
      </c>
      <c r="V29" s="39" t="s">
        <v>90</v>
      </c>
    </row>
    <row r="30" spans="1:22" ht="17.45" hidden="1" customHeight="1" x14ac:dyDescent="0.25">
      <c r="A30" s="39" t="s">
        <v>12</v>
      </c>
      <c r="B30" s="40">
        <f>DATE(2019,3,25)</f>
        <v>43549</v>
      </c>
      <c r="C30" s="43">
        <f t="shared" si="0"/>
        <v>3</v>
      </c>
      <c r="D30" s="39" t="s">
        <v>14</v>
      </c>
      <c r="E30" s="39" t="s">
        <v>85</v>
      </c>
      <c r="F30" s="39" t="s">
        <v>132</v>
      </c>
      <c r="G30" s="42">
        <v>30</v>
      </c>
      <c r="H30" s="42">
        <v>0</v>
      </c>
      <c r="I30" s="42">
        <f t="shared" si="1"/>
        <v>30</v>
      </c>
      <c r="J30" s="39" t="s">
        <v>85</v>
      </c>
      <c r="K30" s="41">
        <v>1088758</v>
      </c>
      <c r="L30" s="39" t="s">
        <v>85</v>
      </c>
      <c r="M30" s="39" t="s">
        <v>13</v>
      </c>
      <c r="N30" s="39" t="s">
        <v>85</v>
      </c>
      <c r="O30" s="39" t="s">
        <v>87</v>
      </c>
      <c r="P30" s="39" t="s">
        <v>85</v>
      </c>
      <c r="Q30" s="40">
        <f>DATE(2019,3,26)</f>
        <v>43550</v>
      </c>
      <c r="R30" s="39" t="s">
        <v>88</v>
      </c>
      <c r="S30" s="39" t="s">
        <v>85</v>
      </c>
      <c r="T30" s="39" t="s">
        <v>89</v>
      </c>
      <c r="U30" s="39" t="s">
        <v>89</v>
      </c>
      <c r="V30" s="39" t="s">
        <v>90</v>
      </c>
    </row>
    <row r="31" spans="1:22" ht="17.45" hidden="1" customHeight="1" x14ac:dyDescent="0.25">
      <c r="A31" s="39" t="s">
        <v>9</v>
      </c>
      <c r="B31" s="40">
        <f>DATE(2019,3,14)</f>
        <v>43538</v>
      </c>
      <c r="C31" s="43">
        <f t="shared" si="0"/>
        <v>3</v>
      </c>
      <c r="D31" s="39" t="s">
        <v>11</v>
      </c>
      <c r="E31" s="39" t="s">
        <v>85</v>
      </c>
      <c r="F31" s="39" t="s">
        <v>94</v>
      </c>
      <c r="G31" s="42">
        <v>0</v>
      </c>
      <c r="H31" s="42">
        <v>30</v>
      </c>
      <c r="I31" s="42">
        <f t="shared" si="1"/>
        <v>-30</v>
      </c>
      <c r="J31" s="39" t="s">
        <v>85</v>
      </c>
      <c r="K31" s="41">
        <v>1086457</v>
      </c>
      <c r="L31" s="39" t="s">
        <v>85</v>
      </c>
      <c r="M31" s="39" t="s">
        <v>10</v>
      </c>
      <c r="N31" s="39" t="s">
        <v>85</v>
      </c>
      <c r="O31" s="39" t="s">
        <v>87</v>
      </c>
      <c r="P31" s="39" t="s">
        <v>85</v>
      </c>
      <c r="Q31" s="40">
        <f>DATE(2019,3,15)</f>
        <v>43539</v>
      </c>
      <c r="R31" s="39" t="s">
        <v>88</v>
      </c>
      <c r="S31" s="39" t="s">
        <v>85</v>
      </c>
      <c r="T31" s="39" t="s">
        <v>89</v>
      </c>
      <c r="U31" s="39" t="s">
        <v>89</v>
      </c>
      <c r="V31" s="39" t="s">
        <v>90</v>
      </c>
    </row>
    <row r="32" spans="1:22" ht="17.45" hidden="1" customHeight="1" x14ac:dyDescent="0.25">
      <c r="A32" s="39" t="s">
        <v>6</v>
      </c>
      <c r="B32" s="40">
        <f>DATE(2019,4,17)</f>
        <v>43572</v>
      </c>
      <c r="C32" s="43">
        <f t="shared" si="0"/>
        <v>4</v>
      </c>
      <c r="D32" s="39" t="s">
        <v>8</v>
      </c>
      <c r="E32" s="39" t="s">
        <v>85</v>
      </c>
      <c r="F32" s="39" t="s">
        <v>113</v>
      </c>
      <c r="G32" s="42">
        <v>0</v>
      </c>
      <c r="H32" s="42">
        <v>2070</v>
      </c>
      <c r="I32" s="42">
        <f t="shared" si="1"/>
        <v>-2070</v>
      </c>
      <c r="J32" s="39" t="s">
        <v>85</v>
      </c>
      <c r="K32" s="41">
        <v>1093181</v>
      </c>
      <c r="L32" s="39" t="s">
        <v>85</v>
      </c>
      <c r="M32" s="39" t="s">
        <v>7</v>
      </c>
      <c r="N32" s="39" t="s">
        <v>85</v>
      </c>
      <c r="O32" s="39" t="s">
        <v>87</v>
      </c>
      <c r="P32" s="39" t="s">
        <v>85</v>
      </c>
      <c r="Q32" s="40">
        <f>DATE(2019,4,18)</f>
        <v>43573</v>
      </c>
      <c r="R32" s="39" t="s">
        <v>88</v>
      </c>
      <c r="S32" s="39" t="s">
        <v>85</v>
      </c>
      <c r="T32" s="39" t="s">
        <v>89</v>
      </c>
      <c r="U32" s="39" t="s">
        <v>89</v>
      </c>
      <c r="V32" s="39" t="s">
        <v>90</v>
      </c>
    </row>
    <row r="33" spans="1:22" ht="17.45" hidden="1" customHeight="1" x14ac:dyDescent="0.25">
      <c r="A33" s="39" t="s">
        <v>12</v>
      </c>
      <c r="B33" s="40">
        <f>DATE(2019,4,17)</f>
        <v>43572</v>
      </c>
      <c r="C33" s="43">
        <f t="shared" si="0"/>
        <v>4</v>
      </c>
      <c r="D33" s="39" t="s">
        <v>14</v>
      </c>
      <c r="E33" s="39" t="s">
        <v>85</v>
      </c>
      <c r="F33" s="39" t="s">
        <v>113</v>
      </c>
      <c r="G33" s="42">
        <v>0</v>
      </c>
      <c r="H33" s="42">
        <v>30</v>
      </c>
      <c r="I33" s="42">
        <f t="shared" si="1"/>
        <v>-30</v>
      </c>
      <c r="J33" s="39" t="s">
        <v>85</v>
      </c>
      <c r="K33" s="41">
        <v>1093181</v>
      </c>
      <c r="L33" s="39" t="s">
        <v>85</v>
      </c>
      <c r="M33" s="39" t="s">
        <v>13</v>
      </c>
      <c r="N33" s="39" t="s">
        <v>85</v>
      </c>
      <c r="O33" s="39" t="s">
        <v>87</v>
      </c>
      <c r="P33" s="39" t="s">
        <v>85</v>
      </c>
      <c r="Q33" s="40">
        <f>DATE(2019,4,18)</f>
        <v>43573</v>
      </c>
      <c r="R33" s="39" t="s">
        <v>88</v>
      </c>
      <c r="S33" s="39" t="s">
        <v>85</v>
      </c>
      <c r="T33" s="39" t="s">
        <v>89</v>
      </c>
      <c r="U33" s="39" t="s">
        <v>89</v>
      </c>
      <c r="V33" s="39" t="s">
        <v>90</v>
      </c>
    </row>
    <row r="34" spans="1:22" ht="17.45" hidden="1" customHeight="1" x14ac:dyDescent="0.25">
      <c r="A34" s="39" t="s">
        <v>12</v>
      </c>
      <c r="B34" s="40">
        <f>DATE(2019,4,10)</f>
        <v>43565</v>
      </c>
      <c r="C34" s="43">
        <f t="shared" ref="C34:C65" si="2">MONTH(B34)</f>
        <v>4</v>
      </c>
      <c r="D34" s="39" t="s">
        <v>14</v>
      </c>
      <c r="E34" s="39" t="s">
        <v>85</v>
      </c>
      <c r="F34" s="39" t="s">
        <v>136</v>
      </c>
      <c r="G34" s="42">
        <v>0</v>
      </c>
      <c r="H34" s="42">
        <v>60</v>
      </c>
      <c r="I34" s="42">
        <f t="shared" ref="I34:I65" si="3">G34-H34</f>
        <v>-60</v>
      </c>
      <c r="J34" s="39" t="s">
        <v>85</v>
      </c>
      <c r="K34" s="41">
        <v>1091057</v>
      </c>
      <c r="L34" s="39" t="s">
        <v>85</v>
      </c>
      <c r="M34" s="39" t="s">
        <v>13</v>
      </c>
      <c r="N34" s="39" t="s">
        <v>85</v>
      </c>
      <c r="O34" s="39" t="s">
        <v>87</v>
      </c>
      <c r="P34" s="39" t="s">
        <v>85</v>
      </c>
      <c r="Q34" s="40">
        <f>DATE(2019,4,11)</f>
        <v>43566</v>
      </c>
      <c r="R34" s="39" t="s">
        <v>88</v>
      </c>
      <c r="S34" s="39" t="s">
        <v>85</v>
      </c>
      <c r="T34" s="39" t="s">
        <v>89</v>
      </c>
      <c r="U34" s="39" t="s">
        <v>89</v>
      </c>
      <c r="V34" s="39" t="s">
        <v>90</v>
      </c>
    </row>
    <row r="35" spans="1:22" ht="17.45" hidden="1" customHeight="1" x14ac:dyDescent="0.25">
      <c r="A35" s="39" t="s">
        <v>9</v>
      </c>
      <c r="B35" s="40">
        <f>DATE(2019,4,29)</f>
        <v>43584</v>
      </c>
      <c r="C35" s="43">
        <f t="shared" si="2"/>
        <v>4</v>
      </c>
      <c r="D35" s="39" t="s">
        <v>11</v>
      </c>
      <c r="E35" s="39" t="s">
        <v>85</v>
      </c>
      <c r="F35" s="39" t="s">
        <v>139</v>
      </c>
      <c r="G35" s="42">
        <v>0</v>
      </c>
      <c r="H35" s="42">
        <v>30</v>
      </c>
      <c r="I35" s="42">
        <f t="shared" si="3"/>
        <v>-30</v>
      </c>
      <c r="J35" s="39" t="s">
        <v>85</v>
      </c>
      <c r="K35" s="41">
        <v>1093772</v>
      </c>
      <c r="L35" s="39" t="s">
        <v>85</v>
      </c>
      <c r="M35" s="39" t="s">
        <v>10</v>
      </c>
      <c r="N35" s="39" t="s">
        <v>85</v>
      </c>
      <c r="O35" s="39" t="s">
        <v>87</v>
      </c>
      <c r="P35" s="39" t="s">
        <v>85</v>
      </c>
      <c r="Q35" s="40">
        <f>DATE(2019,4,30)</f>
        <v>43585</v>
      </c>
      <c r="R35" s="39" t="s">
        <v>88</v>
      </c>
      <c r="S35" s="39" t="s">
        <v>85</v>
      </c>
      <c r="T35" s="39" t="s">
        <v>89</v>
      </c>
      <c r="U35" s="39" t="s">
        <v>89</v>
      </c>
      <c r="V35" s="39" t="s">
        <v>90</v>
      </c>
    </row>
    <row r="36" spans="1:22" ht="17.45" hidden="1" customHeight="1" x14ac:dyDescent="0.25">
      <c r="A36" s="39" t="s">
        <v>18</v>
      </c>
      <c r="B36" s="40">
        <f>DATE(2019,5,24)</f>
        <v>43609</v>
      </c>
      <c r="C36" s="43">
        <f t="shared" si="2"/>
        <v>5</v>
      </c>
      <c r="D36" s="39" t="s">
        <v>20</v>
      </c>
      <c r="E36" s="39" t="s">
        <v>85</v>
      </c>
      <c r="F36" s="39" t="s">
        <v>93</v>
      </c>
      <c r="G36" s="42">
        <v>0</v>
      </c>
      <c r="H36" s="42">
        <v>30</v>
      </c>
      <c r="I36" s="42">
        <f t="shared" si="3"/>
        <v>-30</v>
      </c>
      <c r="J36" s="39" t="s">
        <v>85</v>
      </c>
      <c r="K36" s="41">
        <v>1097929</v>
      </c>
      <c r="L36" s="39" t="s">
        <v>85</v>
      </c>
      <c r="M36" s="39" t="s">
        <v>19</v>
      </c>
      <c r="N36" s="39" t="s">
        <v>85</v>
      </c>
      <c r="O36" s="39" t="s">
        <v>87</v>
      </c>
      <c r="P36" s="39" t="s">
        <v>85</v>
      </c>
      <c r="Q36" s="40">
        <f>DATE(2019,5,27)</f>
        <v>43612</v>
      </c>
      <c r="R36" s="39" t="s">
        <v>88</v>
      </c>
      <c r="S36" s="39" t="s">
        <v>85</v>
      </c>
      <c r="T36" s="39" t="s">
        <v>89</v>
      </c>
      <c r="U36" s="39" t="s">
        <v>89</v>
      </c>
      <c r="V36" s="39" t="s">
        <v>90</v>
      </c>
    </row>
    <row r="37" spans="1:22" ht="17.45" hidden="1" customHeight="1" x14ac:dyDescent="0.25">
      <c r="A37" s="39" t="s">
        <v>6</v>
      </c>
      <c r="B37" s="40">
        <f>DATE(2019,5,15)</f>
        <v>43600</v>
      </c>
      <c r="C37" s="43">
        <f t="shared" si="2"/>
        <v>5</v>
      </c>
      <c r="D37" s="39" t="s">
        <v>8</v>
      </c>
      <c r="E37" s="39" t="s">
        <v>85</v>
      </c>
      <c r="F37" s="39" t="s">
        <v>114</v>
      </c>
      <c r="G37" s="42">
        <v>0</v>
      </c>
      <c r="H37" s="42">
        <v>1410</v>
      </c>
      <c r="I37" s="42">
        <f t="shared" si="3"/>
        <v>-1410</v>
      </c>
      <c r="J37" s="39" t="s">
        <v>85</v>
      </c>
      <c r="K37" s="41">
        <v>1097913</v>
      </c>
      <c r="L37" s="39" t="s">
        <v>85</v>
      </c>
      <c r="M37" s="39" t="s">
        <v>7</v>
      </c>
      <c r="N37" s="39" t="s">
        <v>85</v>
      </c>
      <c r="O37" s="39" t="s">
        <v>87</v>
      </c>
      <c r="P37" s="39" t="s">
        <v>85</v>
      </c>
      <c r="Q37" s="40">
        <f>DATE(2019,5,27)</f>
        <v>43612</v>
      </c>
      <c r="R37" s="39" t="s">
        <v>88</v>
      </c>
      <c r="S37" s="39" t="s">
        <v>85</v>
      </c>
      <c r="T37" s="39" t="s">
        <v>89</v>
      </c>
      <c r="U37" s="39" t="s">
        <v>89</v>
      </c>
      <c r="V37" s="39" t="s">
        <v>90</v>
      </c>
    </row>
    <row r="38" spans="1:22" ht="17.45" hidden="1" customHeight="1" x14ac:dyDescent="0.25">
      <c r="A38" s="39" t="s">
        <v>12</v>
      </c>
      <c r="B38" s="40">
        <f>DATE(2019,5,27)</f>
        <v>43612</v>
      </c>
      <c r="C38" s="43">
        <f t="shared" si="2"/>
        <v>5</v>
      </c>
      <c r="D38" s="39" t="s">
        <v>14</v>
      </c>
      <c r="E38" s="39" t="s">
        <v>85</v>
      </c>
      <c r="F38" s="39" t="s">
        <v>137</v>
      </c>
      <c r="G38" s="42">
        <v>0</v>
      </c>
      <c r="H38" s="42">
        <v>30</v>
      </c>
      <c r="I38" s="42">
        <f t="shared" si="3"/>
        <v>-30</v>
      </c>
      <c r="J38" s="39" t="s">
        <v>85</v>
      </c>
      <c r="K38" s="41">
        <v>1098105</v>
      </c>
      <c r="L38" s="39" t="s">
        <v>85</v>
      </c>
      <c r="M38" s="39" t="s">
        <v>13</v>
      </c>
      <c r="N38" s="39" t="s">
        <v>85</v>
      </c>
      <c r="O38" s="39" t="s">
        <v>87</v>
      </c>
      <c r="P38" s="39" t="s">
        <v>85</v>
      </c>
      <c r="Q38" s="40">
        <f>DATE(2019,5,28)</f>
        <v>43613</v>
      </c>
      <c r="R38" s="39" t="s">
        <v>88</v>
      </c>
      <c r="S38" s="39" t="s">
        <v>85</v>
      </c>
      <c r="T38" s="39" t="s">
        <v>89</v>
      </c>
      <c r="U38" s="39" t="s">
        <v>89</v>
      </c>
      <c r="V38" s="39" t="s">
        <v>90</v>
      </c>
    </row>
    <row r="39" spans="1:22" ht="17.45" hidden="1" customHeight="1" x14ac:dyDescent="0.25">
      <c r="A39" s="39" t="s">
        <v>18</v>
      </c>
      <c r="B39" s="40">
        <f>DATE(2019,6,5)</f>
        <v>43621</v>
      </c>
      <c r="C39" s="43">
        <f t="shared" si="2"/>
        <v>6</v>
      </c>
      <c r="D39" s="39" t="s">
        <v>20</v>
      </c>
      <c r="E39" s="39" t="s">
        <v>85</v>
      </c>
      <c r="F39" s="39" t="s">
        <v>92</v>
      </c>
      <c r="G39" s="42">
        <v>0</v>
      </c>
      <c r="H39" s="42">
        <v>30</v>
      </c>
      <c r="I39" s="42">
        <f t="shared" si="3"/>
        <v>-30</v>
      </c>
      <c r="J39" s="39" t="s">
        <v>85</v>
      </c>
      <c r="K39" s="41">
        <v>1099756</v>
      </c>
      <c r="L39" s="39" t="s">
        <v>85</v>
      </c>
      <c r="M39" s="39" t="s">
        <v>19</v>
      </c>
      <c r="N39" s="39" t="s">
        <v>85</v>
      </c>
      <c r="O39" s="39" t="s">
        <v>87</v>
      </c>
      <c r="P39" s="39" t="s">
        <v>85</v>
      </c>
      <c r="Q39" s="40">
        <f>DATE(2019,6,6)</f>
        <v>43622</v>
      </c>
      <c r="R39" s="39" t="s">
        <v>88</v>
      </c>
      <c r="S39" s="39" t="s">
        <v>85</v>
      </c>
      <c r="T39" s="39" t="s">
        <v>89</v>
      </c>
      <c r="U39" s="39" t="s">
        <v>89</v>
      </c>
      <c r="V39" s="39" t="s">
        <v>90</v>
      </c>
    </row>
    <row r="40" spans="1:22" ht="17.45" hidden="1" customHeight="1" x14ac:dyDescent="0.25">
      <c r="A40" s="39" t="s">
        <v>6</v>
      </c>
      <c r="B40" s="40">
        <f>DATE(2019,6,4)</f>
        <v>43620</v>
      </c>
      <c r="C40" s="43">
        <f t="shared" si="2"/>
        <v>6</v>
      </c>
      <c r="D40" s="39" t="s">
        <v>8</v>
      </c>
      <c r="E40" s="39" t="s">
        <v>85</v>
      </c>
      <c r="F40" s="39" t="s">
        <v>115</v>
      </c>
      <c r="G40" s="42">
        <v>0</v>
      </c>
      <c r="H40" s="42">
        <v>30</v>
      </c>
      <c r="I40" s="42">
        <f t="shared" si="3"/>
        <v>-30</v>
      </c>
      <c r="J40" s="39" t="s">
        <v>85</v>
      </c>
      <c r="K40" s="41">
        <v>1099649</v>
      </c>
      <c r="L40" s="39" t="s">
        <v>85</v>
      </c>
      <c r="M40" s="39" t="s">
        <v>7</v>
      </c>
      <c r="N40" s="39" t="s">
        <v>85</v>
      </c>
      <c r="O40" s="39" t="s">
        <v>87</v>
      </c>
      <c r="P40" s="39" t="s">
        <v>85</v>
      </c>
      <c r="Q40" s="40">
        <f>DATE(2019,6,5)</f>
        <v>43621</v>
      </c>
      <c r="R40" s="39" t="s">
        <v>88</v>
      </c>
      <c r="S40" s="39" t="s">
        <v>85</v>
      </c>
      <c r="T40" s="39" t="s">
        <v>89</v>
      </c>
      <c r="U40" s="39" t="s">
        <v>89</v>
      </c>
      <c r="V40" s="39" t="s">
        <v>90</v>
      </c>
    </row>
    <row r="41" spans="1:22" ht="17.45" hidden="1" customHeight="1" x14ac:dyDescent="0.25">
      <c r="A41" s="39" t="s">
        <v>6</v>
      </c>
      <c r="B41" s="40">
        <f>DATE(2019,6,11)</f>
        <v>43627</v>
      </c>
      <c r="C41" s="43">
        <f t="shared" si="2"/>
        <v>6</v>
      </c>
      <c r="D41" s="39" t="s">
        <v>8</v>
      </c>
      <c r="E41" s="39" t="s">
        <v>85</v>
      </c>
      <c r="F41" s="39" t="s">
        <v>116</v>
      </c>
      <c r="G41" s="42">
        <v>0</v>
      </c>
      <c r="H41" s="42">
        <v>810</v>
      </c>
      <c r="I41" s="42">
        <f t="shared" si="3"/>
        <v>-810</v>
      </c>
      <c r="J41" s="39" t="s">
        <v>85</v>
      </c>
      <c r="K41" s="41">
        <v>1100092</v>
      </c>
      <c r="L41" s="39" t="s">
        <v>85</v>
      </c>
      <c r="M41" s="39" t="s">
        <v>7</v>
      </c>
      <c r="N41" s="39" t="s">
        <v>85</v>
      </c>
      <c r="O41" s="39" t="s">
        <v>87</v>
      </c>
      <c r="P41" s="39" t="s">
        <v>85</v>
      </c>
      <c r="Q41" s="40">
        <f>DATE(2019,6,11)</f>
        <v>43627</v>
      </c>
      <c r="R41" s="39" t="s">
        <v>88</v>
      </c>
      <c r="S41" s="39" t="s">
        <v>85</v>
      </c>
      <c r="T41" s="39" t="s">
        <v>89</v>
      </c>
      <c r="U41" s="39" t="s">
        <v>89</v>
      </c>
      <c r="V41" s="39" t="s">
        <v>90</v>
      </c>
    </row>
    <row r="42" spans="1:22" ht="17.45" hidden="1" customHeight="1" x14ac:dyDescent="0.25">
      <c r="A42" s="39" t="s">
        <v>6</v>
      </c>
      <c r="B42" s="40">
        <f>DATE(2019,6,11)</f>
        <v>43627</v>
      </c>
      <c r="C42" s="43">
        <f t="shared" si="2"/>
        <v>6</v>
      </c>
      <c r="D42" s="39" t="s">
        <v>8</v>
      </c>
      <c r="E42" s="39" t="s">
        <v>85</v>
      </c>
      <c r="F42" s="39" t="s">
        <v>117</v>
      </c>
      <c r="G42" s="42">
        <v>0</v>
      </c>
      <c r="H42" s="42">
        <v>3120</v>
      </c>
      <c r="I42" s="42">
        <f t="shared" si="3"/>
        <v>-3120</v>
      </c>
      <c r="J42" s="39" t="s">
        <v>85</v>
      </c>
      <c r="K42" s="41">
        <v>1100091</v>
      </c>
      <c r="L42" s="39" t="s">
        <v>85</v>
      </c>
      <c r="M42" s="39" t="s">
        <v>7</v>
      </c>
      <c r="N42" s="39" t="s">
        <v>85</v>
      </c>
      <c r="O42" s="39" t="s">
        <v>87</v>
      </c>
      <c r="P42" s="39" t="s">
        <v>85</v>
      </c>
      <c r="Q42" s="40">
        <f>DATE(2019,6,11)</f>
        <v>43627</v>
      </c>
      <c r="R42" s="39" t="s">
        <v>88</v>
      </c>
      <c r="S42" s="39" t="s">
        <v>85</v>
      </c>
      <c r="T42" s="39" t="s">
        <v>89</v>
      </c>
      <c r="U42" s="39" t="s">
        <v>89</v>
      </c>
      <c r="V42" s="39" t="s">
        <v>90</v>
      </c>
    </row>
    <row r="43" spans="1:22" ht="17.45" hidden="1" customHeight="1" x14ac:dyDescent="0.25">
      <c r="A43" s="39" t="s">
        <v>6</v>
      </c>
      <c r="B43" s="40">
        <f>DATE(2019,6,18)</f>
        <v>43634</v>
      </c>
      <c r="C43" s="43">
        <f t="shared" si="2"/>
        <v>6</v>
      </c>
      <c r="D43" s="39" t="s">
        <v>8</v>
      </c>
      <c r="E43" s="39" t="s">
        <v>85</v>
      </c>
      <c r="F43" s="39" t="s">
        <v>118</v>
      </c>
      <c r="G43" s="42">
        <v>0</v>
      </c>
      <c r="H43" s="42">
        <v>120</v>
      </c>
      <c r="I43" s="42">
        <f t="shared" si="3"/>
        <v>-120</v>
      </c>
      <c r="J43" s="39" t="s">
        <v>85</v>
      </c>
      <c r="K43" s="41">
        <v>1101684</v>
      </c>
      <c r="L43" s="39" t="s">
        <v>85</v>
      </c>
      <c r="M43" s="39" t="s">
        <v>7</v>
      </c>
      <c r="N43" s="39" t="s">
        <v>85</v>
      </c>
      <c r="O43" s="39" t="s">
        <v>87</v>
      </c>
      <c r="P43" s="39" t="s">
        <v>85</v>
      </c>
      <c r="Q43" s="40">
        <f>DATE(2019,6,19)</f>
        <v>43635</v>
      </c>
      <c r="R43" s="39" t="s">
        <v>88</v>
      </c>
      <c r="S43" s="39" t="s">
        <v>85</v>
      </c>
      <c r="T43" s="39" t="s">
        <v>89</v>
      </c>
      <c r="U43" s="39" t="s">
        <v>89</v>
      </c>
      <c r="V43" s="39" t="s">
        <v>90</v>
      </c>
    </row>
    <row r="44" spans="1:22" ht="17.45" hidden="1" customHeight="1" x14ac:dyDescent="0.25">
      <c r="A44" s="39" t="s">
        <v>12</v>
      </c>
      <c r="B44" s="40">
        <f>DATE(2019,6,11)</f>
        <v>43627</v>
      </c>
      <c r="C44" s="43">
        <f t="shared" si="2"/>
        <v>6</v>
      </c>
      <c r="D44" s="39" t="s">
        <v>14</v>
      </c>
      <c r="E44" s="39" t="s">
        <v>85</v>
      </c>
      <c r="F44" s="39" t="s">
        <v>117</v>
      </c>
      <c r="G44" s="42">
        <v>0</v>
      </c>
      <c r="H44" s="42">
        <v>120</v>
      </c>
      <c r="I44" s="42">
        <f t="shared" si="3"/>
        <v>-120</v>
      </c>
      <c r="J44" s="39" t="s">
        <v>85</v>
      </c>
      <c r="K44" s="41">
        <v>1100091</v>
      </c>
      <c r="L44" s="39" t="s">
        <v>85</v>
      </c>
      <c r="M44" s="39" t="s">
        <v>13</v>
      </c>
      <c r="N44" s="39" t="s">
        <v>85</v>
      </c>
      <c r="O44" s="39" t="s">
        <v>87</v>
      </c>
      <c r="P44" s="39" t="s">
        <v>85</v>
      </c>
      <c r="Q44" s="40">
        <f>DATE(2019,6,11)</f>
        <v>43627</v>
      </c>
      <c r="R44" s="39" t="s">
        <v>88</v>
      </c>
      <c r="S44" s="39" t="s">
        <v>85</v>
      </c>
      <c r="T44" s="39" t="s">
        <v>89</v>
      </c>
      <c r="U44" s="39" t="s">
        <v>89</v>
      </c>
      <c r="V44" s="39" t="s">
        <v>90</v>
      </c>
    </row>
    <row r="45" spans="1:22" ht="17.45" hidden="1" customHeight="1" x14ac:dyDescent="0.25">
      <c r="A45" s="39" t="s">
        <v>12</v>
      </c>
      <c r="B45" s="40">
        <f>DATE(2019,6,18)</f>
        <v>43634</v>
      </c>
      <c r="C45" s="43">
        <f t="shared" si="2"/>
        <v>6</v>
      </c>
      <c r="D45" s="39" t="s">
        <v>14</v>
      </c>
      <c r="E45" s="39" t="s">
        <v>85</v>
      </c>
      <c r="F45" s="39" t="s">
        <v>118</v>
      </c>
      <c r="G45" s="42">
        <v>0</v>
      </c>
      <c r="H45" s="42">
        <v>270</v>
      </c>
      <c r="I45" s="42">
        <f t="shared" si="3"/>
        <v>-270</v>
      </c>
      <c r="J45" s="39" t="s">
        <v>85</v>
      </c>
      <c r="K45" s="41">
        <v>1101684</v>
      </c>
      <c r="L45" s="39" t="s">
        <v>85</v>
      </c>
      <c r="M45" s="39" t="s">
        <v>13</v>
      </c>
      <c r="N45" s="39" t="s">
        <v>85</v>
      </c>
      <c r="O45" s="39" t="s">
        <v>87</v>
      </c>
      <c r="P45" s="39" t="s">
        <v>85</v>
      </c>
      <c r="Q45" s="40">
        <f>DATE(2019,6,19)</f>
        <v>43635</v>
      </c>
      <c r="R45" s="39" t="s">
        <v>88</v>
      </c>
      <c r="S45" s="39" t="s">
        <v>85</v>
      </c>
      <c r="T45" s="39" t="s">
        <v>89</v>
      </c>
      <c r="U45" s="39" t="s">
        <v>89</v>
      </c>
      <c r="V45" s="39" t="s">
        <v>90</v>
      </c>
    </row>
    <row r="46" spans="1:22" ht="17.45" hidden="1" customHeight="1" x14ac:dyDescent="0.25">
      <c r="A46" s="39" t="s">
        <v>9</v>
      </c>
      <c r="B46" s="40">
        <f>DATE(2019,6,11)</f>
        <v>43627</v>
      </c>
      <c r="C46" s="43">
        <f t="shared" si="2"/>
        <v>6</v>
      </c>
      <c r="D46" s="39" t="s">
        <v>11</v>
      </c>
      <c r="E46" s="39" t="s">
        <v>85</v>
      </c>
      <c r="F46" s="39" t="s">
        <v>117</v>
      </c>
      <c r="G46" s="42">
        <v>0</v>
      </c>
      <c r="H46" s="42">
        <v>210</v>
      </c>
      <c r="I46" s="42">
        <f t="shared" si="3"/>
        <v>-210</v>
      </c>
      <c r="J46" s="39" t="s">
        <v>85</v>
      </c>
      <c r="K46" s="41">
        <v>1100091</v>
      </c>
      <c r="L46" s="39" t="s">
        <v>85</v>
      </c>
      <c r="M46" s="39" t="s">
        <v>10</v>
      </c>
      <c r="N46" s="39" t="s">
        <v>85</v>
      </c>
      <c r="O46" s="39" t="s">
        <v>87</v>
      </c>
      <c r="P46" s="39" t="s">
        <v>85</v>
      </c>
      <c r="Q46" s="40">
        <f>DATE(2019,6,11)</f>
        <v>43627</v>
      </c>
      <c r="R46" s="39" t="s">
        <v>88</v>
      </c>
      <c r="S46" s="39" t="s">
        <v>85</v>
      </c>
      <c r="T46" s="39" t="s">
        <v>89</v>
      </c>
      <c r="U46" s="39" t="s">
        <v>89</v>
      </c>
      <c r="V46" s="39" t="s">
        <v>90</v>
      </c>
    </row>
    <row r="47" spans="1:22" ht="17.45" hidden="1" customHeight="1" x14ac:dyDescent="0.25">
      <c r="A47" s="39" t="s">
        <v>1</v>
      </c>
      <c r="B47" s="40">
        <f>DATE(2019,6,11)</f>
        <v>43627</v>
      </c>
      <c r="C47" s="43">
        <f t="shared" si="2"/>
        <v>6</v>
      </c>
      <c r="D47" s="39" t="s">
        <v>5</v>
      </c>
      <c r="E47" s="39" t="s">
        <v>85</v>
      </c>
      <c r="F47" s="39" t="s">
        <v>117</v>
      </c>
      <c r="G47" s="42">
        <v>0</v>
      </c>
      <c r="H47" s="42">
        <v>30</v>
      </c>
      <c r="I47" s="42">
        <f t="shared" si="3"/>
        <v>-30</v>
      </c>
      <c r="J47" s="39" t="s">
        <v>85</v>
      </c>
      <c r="K47" s="41">
        <v>1100091</v>
      </c>
      <c r="L47" s="39" t="s">
        <v>85</v>
      </c>
      <c r="M47" s="39" t="s">
        <v>2</v>
      </c>
      <c r="N47" s="39" t="s">
        <v>85</v>
      </c>
      <c r="O47" s="39" t="s">
        <v>87</v>
      </c>
      <c r="P47" s="39" t="s">
        <v>85</v>
      </c>
      <c r="Q47" s="40">
        <f>DATE(2019,6,11)</f>
        <v>43627</v>
      </c>
      <c r="R47" s="39" t="s">
        <v>88</v>
      </c>
      <c r="S47" s="39" t="s">
        <v>85</v>
      </c>
      <c r="T47" s="39" t="s">
        <v>89</v>
      </c>
      <c r="U47" s="39" t="s">
        <v>89</v>
      </c>
      <c r="V47" s="39" t="s">
        <v>90</v>
      </c>
    </row>
    <row r="48" spans="1:22" ht="17.45" hidden="1" customHeight="1" x14ac:dyDescent="0.25">
      <c r="A48" s="39" t="s">
        <v>18</v>
      </c>
      <c r="B48" s="40">
        <f>DATE(2019,7,8)</f>
        <v>43654</v>
      </c>
      <c r="C48" s="43">
        <f t="shared" si="2"/>
        <v>7</v>
      </c>
      <c r="D48" s="39" t="s">
        <v>20</v>
      </c>
      <c r="E48" s="39" t="s">
        <v>85</v>
      </c>
      <c r="F48" s="39" t="s">
        <v>91</v>
      </c>
      <c r="G48" s="42">
        <v>0</v>
      </c>
      <c r="H48" s="42">
        <v>690</v>
      </c>
      <c r="I48" s="42">
        <f t="shared" si="3"/>
        <v>-690</v>
      </c>
      <c r="J48" s="39" t="s">
        <v>85</v>
      </c>
      <c r="K48" s="41">
        <v>1104407</v>
      </c>
      <c r="L48" s="39" t="s">
        <v>85</v>
      </c>
      <c r="M48" s="39" t="s">
        <v>19</v>
      </c>
      <c r="N48" s="39" t="s">
        <v>85</v>
      </c>
      <c r="O48" s="39" t="s">
        <v>87</v>
      </c>
      <c r="P48" s="39" t="s">
        <v>85</v>
      </c>
      <c r="Q48" s="40">
        <f>DATE(2019,7,9)</f>
        <v>43655</v>
      </c>
      <c r="R48" s="39" t="s">
        <v>88</v>
      </c>
      <c r="S48" s="39" t="s">
        <v>85</v>
      </c>
      <c r="T48" s="39" t="s">
        <v>89</v>
      </c>
      <c r="U48" s="39" t="s">
        <v>89</v>
      </c>
      <c r="V48" s="39" t="s">
        <v>90</v>
      </c>
    </row>
    <row r="49" spans="1:22" ht="17.45" hidden="1" customHeight="1" x14ac:dyDescent="0.25">
      <c r="A49" s="39" t="s">
        <v>6</v>
      </c>
      <c r="B49" s="40">
        <f>DATE(2019,7,8)</f>
        <v>43654</v>
      </c>
      <c r="C49" s="43">
        <f t="shared" si="2"/>
        <v>7</v>
      </c>
      <c r="D49" s="39" t="s">
        <v>8</v>
      </c>
      <c r="E49" s="39" t="s">
        <v>85</v>
      </c>
      <c r="F49" s="39" t="s">
        <v>91</v>
      </c>
      <c r="G49" s="42">
        <v>0</v>
      </c>
      <c r="H49" s="42">
        <v>3510</v>
      </c>
      <c r="I49" s="42">
        <f t="shared" si="3"/>
        <v>-3510</v>
      </c>
      <c r="J49" s="39" t="s">
        <v>85</v>
      </c>
      <c r="K49" s="41">
        <v>1104407</v>
      </c>
      <c r="L49" s="39" t="s">
        <v>85</v>
      </c>
      <c r="M49" s="39" t="s">
        <v>7</v>
      </c>
      <c r="N49" s="39" t="s">
        <v>85</v>
      </c>
      <c r="O49" s="39" t="s">
        <v>87</v>
      </c>
      <c r="P49" s="39" t="s">
        <v>85</v>
      </c>
      <c r="Q49" s="40">
        <f>DATE(2019,7,9)</f>
        <v>43655</v>
      </c>
      <c r="R49" s="39" t="s">
        <v>88</v>
      </c>
      <c r="S49" s="39" t="s">
        <v>85</v>
      </c>
      <c r="T49" s="39" t="s">
        <v>89</v>
      </c>
      <c r="U49" s="39" t="s">
        <v>89</v>
      </c>
      <c r="V49" s="39" t="s">
        <v>90</v>
      </c>
    </row>
    <row r="50" spans="1:22" ht="17.45" hidden="1" customHeight="1" x14ac:dyDescent="0.25">
      <c r="A50" s="39" t="s">
        <v>6</v>
      </c>
      <c r="B50" s="40">
        <f>DATE(2019,7,10)</f>
        <v>43656</v>
      </c>
      <c r="C50" s="43">
        <f t="shared" si="2"/>
        <v>7</v>
      </c>
      <c r="D50" s="39" t="s">
        <v>8</v>
      </c>
      <c r="E50" s="39" t="s">
        <v>85</v>
      </c>
      <c r="F50" s="39" t="s">
        <v>119</v>
      </c>
      <c r="G50" s="42">
        <v>0</v>
      </c>
      <c r="H50" s="42">
        <v>360</v>
      </c>
      <c r="I50" s="42">
        <f t="shared" si="3"/>
        <v>-360</v>
      </c>
      <c r="J50" s="39" t="s">
        <v>85</v>
      </c>
      <c r="K50" s="41">
        <v>1104723</v>
      </c>
      <c r="L50" s="39" t="s">
        <v>85</v>
      </c>
      <c r="M50" s="39" t="s">
        <v>7</v>
      </c>
      <c r="N50" s="39" t="s">
        <v>85</v>
      </c>
      <c r="O50" s="39" t="s">
        <v>87</v>
      </c>
      <c r="P50" s="39" t="s">
        <v>85</v>
      </c>
      <c r="Q50" s="40">
        <f>DATE(2019,7,11)</f>
        <v>43657</v>
      </c>
      <c r="R50" s="39" t="s">
        <v>88</v>
      </c>
      <c r="S50" s="39" t="s">
        <v>85</v>
      </c>
      <c r="T50" s="39" t="s">
        <v>89</v>
      </c>
      <c r="U50" s="39" t="s">
        <v>89</v>
      </c>
      <c r="V50" s="39" t="s">
        <v>90</v>
      </c>
    </row>
    <row r="51" spans="1:22" ht="17.45" hidden="1" customHeight="1" x14ac:dyDescent="0.25">
      <c r="A51" s="39" t="s">
        <v>6</v>
      </c>
      <c r="B51" s="40">
        <f>DATE(2019,7,22)</f>
        <v>43668</v>
      </c>
      <c r="C51" s="43">
        <f t="shared" si="2"/>
        <v>7</v>
      </c>
      <c r="D51" s="39" t="s">
        <v>8</v>
      </c>
      <c r="E51" s="39" t="s">
        <v>85</v>
      </c>
      <c r="F51" s="39" t="s">
        <v>120</v>
      </c>
      <c r="G51" s="42">
        <v>0</v>
      </c>
      <c r="H51" s="42">
        <v>390</v>
      </c>
      <c r="I51" s="42">
        <f t="shared" si="3"/>
        <v>-390</v>
      </c>
      <c r="J51" s="39" t="s">
        <v>85</v>
      </c>
      <c r="K51" s="41">
        <v>1107140</v>
      </c>
      <c r="L51" s="39" t="s">
        <v>85</v>
      </c>
      <c r="M51" s="39" t="s">
        <v>7</v>
      </c>
      <c r="N51" s="39" t="s">
        <v>85</v>
      </c>
      <c r="O51" s="39" t="s">
        <v>87</v>
      </c>
      <c r="P51" s="39" t="s">
        <v>85</v>
      </c>
      <c r="Q51" s="40">
        <f>DATE(2019,7,23)</f>
        <v>43669</v>
      </c>
      <c r="R51" s="39" t="s">
        <v>88</v>
      </c>
      <c r="S51" s="39" t="s">
        <v>85</v>
      </c>
      <c r="T51" s="39" t="s">
        <v>89</v>
      </c>
      <c r="U51" s="39" t="s">
        <v>89</v>
      </c>
      <c r="V51" s="39" t="s">
        <v>90</v>
      </c>
    </row>
    <row r="52" spans="1:22" ht="17.45" hidden="1" customHeight="1" x14ac:dyDescent="0.25">
      <c r="A52" s="39" t="s">
        <v>9</v>
      </c>
      <c r="B52" s="40">
        <f>DATE(2019,7,8)</f>
        <v>43654</v>
      </c>
      <c r="C52" s="43">
        <f t="shared" si="2"/>
        <v>7</v>
      </c>
      <c r="D52" s="39" t="s">
        <v>11</v>
      </c>
      <c r="E52" s="39" t="s">
        <v>85</v>
      </c>
      <c r="F52" s="39" t="s">
        <v>91</v>
      </c>
      <c r="G52" s="42">
        <v>0</v>
      </c>
      <c r="H52" s="42">
        <v>30</v>
      </c>
      <c r="I52" s="42">
        <f t="shared" si="3"/>
        <v>-30</v>
      </c>
      <c r="J52" s="39" t="s">
        <v>85</v>
      </c>
      <c r="K52" s="41">
        <v>1104407</v>
      </c>
      <c r="L52" s="39" t="s">
        <v>85</v>
      </c>
      <c r="M52" s="39" t="s">
        <v>10</v>
      </c>
      <c r="N52" s="39" t="s">
        <v>85</v>
      </c>
      <c r="O52" s="39" t="s">
        <v>87</v>
      </c>
      <c r="P52" s="39" t="s">
        <v>85</v>
      </c>
      <c r="Q52" s="40">
        <f>DATE(2019,7,9)</f>
        <v>43655</v>
      </c>
      <c r="R52" s="39" t="s">
        <v>88</v>
      </c>
      <c r="S52" s="39" t="s">
        <v>85</v>
      </c>
      <c r="T52" s="39" t="s">
        <v>89</v>
      </c>
      <c r="U52" s="39" t="s">
        <v>89</v>
      </c>
      <c r="V52" s="39" t="s">
        <v>90</v>
      </c>
    </row>
    <row r="53" spans="1:22" ht="17.45" hidden="1" customHeight="1" x14ac:dyDescent="0.25">
      <c r="A53" s="39" t="s">
        <v>6</v>
      </c>
      <c r="B53" s="40">
        <f>DATE(2019,8,20)</f>
        <v>43697</v>
      </c>
      <c r="C53" s="43">
        <f t="shared" si="2"/>
        <v>8</v>
      </c>
      <c r="D53" s="39" t="s">
        <v>8</v>
      </c>
      <c r="E53" s="39" t="s">
        <v>85</v>
      </c>
      <c r="F53" s="39" t="s">
        <v>106</v>
      </c>
      <c r="G53" s="42">
        <v>60</v>
      </c>
      <c r="H53" s="42">
        <v>0</v>
      </c>
      <c r="I53" s="42">
        <f t="shared" si="3"/>
        <v>60</v>
      </c>
      <c r="J53" s="39" t="s">
        <v>85</v>
      </c>
      <c r="K53" s="41">
        <v>1111985</v>
      </c>
      <c r="L53" s="39" t="s">
        <v>85</v>
      </c>
      <c r="M53" s="39" t="s">
        <v>7</v>
      </c>
      <c r="N53" s="39" t="s">
        <v>85</v>
      </c>
      <c r="O53" s="39" t="s">
        <v>87</v>
      </c>
      <c r="P53" s="39" t="s">
        <v>85</v>
      </c>
      <c r="Q53" s="40">
        <f>DATE(2019,8,21)</f>
        <v>43698</v>
      </c>
      <c r="R53" s="39" t="s">
        <v>88</v>
      </c>
      <c r="S53" s="39" t="s">
        <v>85</v>
      </c>
      <c r="T53" s="39" t="s">
        <v>89</v>
      </c>
      <c r="U53" s="39" t="s">
        <v>89</v>
      </c>
      <c r="V53" s="39" t="s">
        <v>90</v>
      </c>
    </row>
    <row r="54" spans="1:22" ht="17.45" hidden="1" customHeight="1" x14ac:dyDescent="0.25">
      <c r="A54" s="39" t="s">
        <v>6</v>
      </c>
      <c r="B54" s="40">
        <f>DATE(2019,8,8)</f>
        <v>43685</v>
      </c>
      <c r="C54" s="43">
        <f t="shared" si="2"/>
        <v>8</v>
      </c>
      <c r="D54" s="39" t="s">
        <v>8</v>
      </c>
      <c r="E54" s="39" t="s">
        <v>85</v>
      </c>
      <c r="F54" s="39" t="s">
        <v>121</v>
      </c>
      <c r="G54" s="42">
        <v>0</v>
      </c>
      <c r="H54" s="42">
        <v>3240</v>
      </c>
      <c r="I54" s="42">
        <f t="shared" si="3"/>
        <v>-3240</v>
      </c>
      <c r="J54" s="39" t="s">
        <v>85</v>
      </c>
      <c r="K54" s="41">
        <v>1110159</v>
      </c>
      <c r="L54" s="39" t="s">
        <v>85</v>
      </c>
      <c r="M54" s="39" t="s">
        <v>7</v>
      </c>
      <c r="N54" s="39" t="s">
        <v>85</v>
      </c>
      <c r="O54" s="39" t="s">
        <v>87</v>
      </c>
      <c r="P54" s="39" t="s">
        <v>85</v>
      </c>
      <c r="Q54" s="40">
        <f>DATE(2019,8,9)</f>
        <v>43686</v>
      </c>
      <c r="R54" s="39" t="s">
        <v>88</v>
      </c>
      <c r="S54" s="39" t="s">
        <v>85</v>
      </c>
      <c r="T54" s="39" t="s">
        <v>89</v>
      </c>
      <c r="U54" s="39" t="s">
        <v>89</v>
      </c>
      <c r="V54" s="39" t="s">
        <v>90</v>
      </c>
    </row>
    <row r="55" spans="1:22" ht="17.45" hidden="1" customHeight="1" x14ac:dyDescent="0.25">
      <c r="A55" s="39" t="s">
        <v>12</v>
      </c>
      <c r="B55" s="40">
        <f>DATE(2019,8,8)</f>
        <v>43685</v>
      </c>
      <c r="C55" s="43">
        <f t="shared" si="2"/>
        <v>8</v>
      </c>
      <c r="D55" s="39" t="s">
        <v>14</v>
      </c>
      <c r="E55" s="39" t="s">
        <v>85</v>
      </c>
      <c r="F55" s="39" t="s">
        <v>121</v>
      </c>
      <c r="G55" s="42">
        <v>0</v>
      </c>
      <c r="H55" s="42">
        <v>150</v>
      </c>
      <c r="I55" s="42">
        <f t="shared" si="3"/>
        <v>-150</v>
      </c>
      <c r="J55" s="39" t="s">
        <v>85</v>
      </c>
      <c r="K55" s="41">
        <v>1110159</v>
      </c>
      <c r="L55" s="39" t="s">
        <v>85</v>
      </c>
      <c r="M55" s="39" t="s">
        <v>13</v>
      </c>
      <c r="N55" s="39" t="s">
        <v>85</v>
      </c>
      <c r="O55" s="39" t="s">
        <v>87</v>
      </c>
      <c r="P55" s="39" t="s">
        <v>85</v>
      </c>
      <c r="Q55" s="40">
        <f>DATE(2019,8,9)</f>
        <v>43686</v>
      </c>
      <c r="R55" s="39" t="s">
        <v>88</v>
      </c>
      <c r="S55" s="39" t="s">
        <v>85</v>
      </c>
      <c r="T55" s="39" t="s">
        <v>89</v>
      </c>
      <c r="U55" s="39" t="s">
        <v>89</v>
      </c>
      <c r="V55" s="39" t="s">
        <v>90</v>
      </c>
    </row>
    <row r="56" spans="1:22" ht="17.45" hidden="1" customHeight="1" x14ac:dyDescent="0.25">
      <c r="A56" s="39" t="s">
        <v>12</v>
      </c>
      <c r="B56" s="40">
        <f>DATE(2019,8,23)</f>
        <v>43700</v>
      </c>
      <c r="C56" s="43">
        <f t="shared" si="2"/>
        <v>8</v>
      </c>
      <c r="D56" s="39" t="s">
        <v>14</v>
      </c>
      <c r="E56" s="39" t="s">
        <v>85</v>
      </c>
      <c r="F56" s="39" t="s">
        <v>133</v>
      </c>
      <c r="G56" s="42">
        <v>30</v>
      </c>
      <c r="H56" s="42">
        <v>0</v>
      </c>
      <c r="I56" s="42">
        <f t="shared" si="3"/>
        <v>30</v>
      </c>
      <c r="J56" s="39" t="s">
        <v>85</v>
      </c>
      <c r="K56" s="41">
        <v>1112986</v>
      </c>
      <c r="L56" s="39" t="s">
        <v>85</v>
      </c>
      <c r="M56" s="39" t="s">
        <v>13</v>
      </c>
      <c r="N56" s="39" t="s">
        <v>85</v>
      </c>
      <c r="O56" s="39" t="s">
        <v>87</v>
      </c>
      <c r="P56" s="39" t="s">
        <v>85</v>
      </c>
      <c r="Q56" s="40">
        <f>DATE(2019,8,27)</f>
        <v>43704</v>
      </c>
      <c r="R56" s="39" t="s">
        <v>88</v>
      </c>
      <c r="S56" s="39" t="s">
        <v>85</v>
      </c>
      <c r="T56" s="39" t="s">
        <v>89</v>
      </c>
      <c r="U56" s="39" t="s">
        <v>89</v>
      </c>
      <c r="V56" s="39" t="s">
        <v>90</v>
      </c>
    </row>
    <row r="57" spans="1:22" ht="17.45" hidden="1" customHeight="1" x14ac:dyDescent="0.25">
      <c r="A57" s="39" t="s">
        <v>9</v>
      </c>
      <c r="B57" s="40">
        <f>DATE(2019,8,8)</f>
        <v>43685</v>
      </c>
      <c r="C57" s="43">
        <f t="shared" si="2"/>
        <v>8</v>
      </c>
      <c r="D57" s="39" t="s">
        <v>11</v>
      </c>
      <c r="E57" s="39" t="s">
        <v>85</v>
      </c>
      <c r="F57" s="39" t="s">
        <v>121</v>
      </c>
      <c r="G57" s="42">
        <v>0</v>
      </c>
      <c r="H57" s="42">
        <v>120</v>
      </c>
      <c r="I57" s="42">
        <f t="shared" si="3"/>
        <v>-120</v>
      </c>
      <c r="J57" s="39" t="s">
        <v>85</v>
      </c>
      <c r="K57" s="41">
        <v>1110159</v>
      </c>
      <c r="L57" s="39" t="s">
        <v>85</v>
      </c>
      <c r="M57" s="39" t="s">
        <v>10</v>
      </c>
      <c r="N57" s="39" t="s">
        <v>85</v>
      </c>
      <c r="O57" s="39" t="s">
        <v>87</v>
      </c>
      <c r="P57" s="39" t="s">
        <v>85</v>
      </c>
      <c r="Q57" s="40">
        <f>DATE(2019,8,9)</f>
        <v>43686</v>
      </c>
      <c r="R57" s="39" t="s">
        <v>88</v>
      </c>
      <c r="S57" s="39" t="s">
        <v>85</v>
      </c>
      <c r="T57" s="39" t="s">
        <v>89</v>
      </c>
      <c r="U57" s="39" t="s">
        <v>89</v>
      </c>
      <c r="V57" s="39" t="s">
        <v>90</v>
      </c>
    </row>
    <row r="58" spans="1:22" ht="17.45" hidden="1" customHeight="1" x14ac:dyDescent="0.25">
      <c r="A58" s="39" t="s">
        <v>1</v>
      </c>
      <c r="B58" s="40">
        <f>DATE(2019,8,8)</f>
        <v>43685</v>
      </c>
      <c r="C58" s="43">
        <f t="shared" si="2"/>
        <v>8</v>
      </c>
      <c r="D58" s="39" t="s">
        <v>5</v>
      </c>
      <c r="E58" s="39" t="s">
        <v>85</v>
      </c>
      <c r="F58" s="39" t="s">
        <v>121</v>
      </c>
      <c r="G58" s="42">
        <v>0</v>
      </c>
      <c r="H58" s="42">
        <v>30</v>
      </c>
      <c r="I58" s="42">
        <f t="shared" si="3"/>
        <v>-30</v>
      </c>
      <c r="J58" s="39" t="s">
        <v>85</v>
      </c>
      <c r="K58" s="41">
        <v>1110159</v>
      </c>
      <c r="L58" s="39" t="s">
        <v>85</v>
      </c>
      <c r="M58" s="39" t="s">
        <v>2</v>
      </c>
      <c r="N58" s="39" t="s">
        <v>85</v>
      </c>
      <c r="O58" s="39" t="s">
        <v>87</v>
      </c>
      <c r="P58" s="39" t="s">
        <v>85</v>
      </c>
      <c r="Q58" s="40">
        <f>DATE(2019,8,9)</f>
        <v>43686</v>
      </c>
      <c r="R58" s="39" t="s">
        <v>88</v>
      </c>
      <c r="S58" s="39" t="s">
        <v>85</v>
      </c>
      <c r="T58" s="39" t="s">
        <v>89</v>
      </c>
      <c r="U58" s="39" t="s">
        <v>89</v>
      </c>
      <c r="V58" s="39" t="s">
        <v>90</v>
      </c>
    </row>
    <row r="59" spans="1:22" ht="17.45" customHeight="1" x14ac:dyDescent="0.25">
      <c r="A59" s="39" t="s">
        <v>6</v>
      </c>
      <c r="B59" s="40">
        <f>DATE(2019,9,11)</f>
        <v>43719</v>
      </c>
      <c r="C59" s="43">
        <f t="shared" si="2"/>
        <v>9</v>
      </c>
      <c r="D59" s="39" t="s">
        <v>8</v>
      </c>
      <c r="E59" s="39" t="s">
        <v>85</v>
      </c>
      <c r="F59" s="39" t="s">
        <v>109</v>
      </c>
      <c r="G59" s="42">
        <v>1170</v>
      </c>
      <c r="H59" s="42">
        <v>0</v>
      </c>
      <c r="I59" s="42">
        <f t="shared" si="3"/>
        <v>1170</v>
      </c>
      <c r="J59" s="39" t="s">
        <v>85</v>
      </c>
      <c r="K59" s="41">
        <v>29961</v>
      </c>
      <c r="L59" s="39" t="s">
        <v>85</v>
      </c>
      <c r="M59" s="39" t="s">
        <v>7</v>
      </c>
      <c r="N59" s="39" t="s">
        <v>85</v>
      </c>
      <c r="O59" s="39" t="s">
        <v>87</v>
      </c>
      <c r="P59" s="39" t="s">
        <v>85</v>
      </c>
      <c r="Q59" s="40">
        <f>DATE(2019,9,12)</f>
        <v>43720</v>
      </c>
      <c r="R59" s="39" t="s">
        <v>88</v>
      </c>
      <c r="S59" s="39" t="s">
        <v>85</v>
      </c>
      <c r="T59" s="39" t="s">
        <v>89</v>
      </c>
      <c r="U59" s="39" t="s">
        <v>89</v>
      </c>
      <c r="V59" s="39" t="s">
        <v>90</v>
      </c>
    </row>
    <row r="60" spans="1:22" ht="17.45" customHeight="1" x14ac:dyDescent="0.25">
      <c r="A60" s="39" t="s">
        <v>6</v>
      </c>
      <c r="B60" s="40">
        <f>DATE(2019,9,11)</f>
        <v>43719</v>
      </c>
      <c r="C60" s="43">
        <f t="shared" si="2"/>
        <v>9</v>
      </c>
      <c r="D60" s="39" t="s">
        <v>8</v>
      </c>
      <c r="E60" s="39" t="s">
        <v>85</v>
      </c>
      <c r="F60" s="39" t="s">
        <v>122</v>
      </c>
      <c r="G60" s="42">
        <v>300</v>
      </c>
      <c r="H60" s="42">
        <v>0</v>
      </c>
      <c r="I60" s="42">
        <f t="shared" si="3"/>
        <v>300</v>
      </c>
      <c r="J60" s="39" t="s">
        <v>85</v>
      </c>
      <c r="K60" s="41">
        <v>29962</v>
      </c>
      <c r="L60" s="39" t="s">
        <v>85</v>
      </c>
      <c r="M60" s="39" t="s">
        <v>7</v>
      </c>
      <c r="N60" s="39" t="s">
        <v>85</v>
      </c>
      <c r="O60" s="39" t="s">
        <v>87</v>
      </c>
      <c r="P60" s="39" t="s">
        <v>85</v>
      </c>
      <c r="Q60" s="40">
        <f>DATE(2019,9,12)</f>
        <v>43720</v>
      </c>
      <c r="R60" s="39" t="s">
        <v>88</v>
      </c>
      <c r="S60" s="39" t="s">
        <v>85</v>
      </c>
      <c r="T60" s="39" t="s">
        <v>89</v>
      </c>
      <c r="U60" s="39" t="s">
        <v>89</v>
      </c>
      <c r="V60" s="39" t="s">
        <v>90</v>
      </c>
    </row>
    <row r="61" spans="1:22" ht="17.45" customHeight="1" x14ac:dyDescent="0.25">
      <c r="A61" s="39" t="s">
        <v>6</v>
      </c>
      <c r="B61" s="40">
        <f>DATE(2019,9,12)</f>
        <v>43720</v>
      </c>
      <c r="C61" s="43">
        <f t="shared" si="2"/>
        <v>9</v>
      </c>
      <c r="D61" s="39" t="s">
        <v>8</v>
      </c>
      <c r="E61" s="39" t="s">
        <v>85</v>
      </c>
      <c r="F61" s="39" t="s">
        <v>123</v>
      </c>
      <c r="G61" s="42">
        <v>0</v>
      </c>
      <c r="H61" s="42">
        <v>60</v>
      </c>
      <c r="I61" s="42">
        <f t="shared" si="3"/>
        <v>-60</v>
      </c>
      <c r="J61" s="39" t="s">
        <v>85</v>
      </c>
      <c r="K61" s="41">
        <v>30113</v>
      </c>
      <c r="L61" s="39" t="s">
        <v>85</v>
      </c>
      <c r="M61" s="39" t="s">
        <v>7</v>
      </c>
      <c r="N61" s="39" t="s">
        <v>85</v>
      </c>
      <c r="O61" s="39" t="s">
        <v>87</v>
      </c>
      <c r="P61" s="39" t="s">
        <v>85</v>
      </c>
      <c r="Q61" s="40">
        <f>DATE(2019,9,13)</f>
        <v>43721</v>
      </c>
      <c r="R61" s="39" t="s">
        <v>88</v>
      </c>
      <c r="S61" s="39" t="s">
        <v>85</v>
      </c>
      <c r="T61" s="39" t="s">
        <v>89</v>
      </c>
      <c r="U61" s="39" t="s">
        <v>89</v>
      </c>
      <c r="V61" s="39" t="s">
        <v>90</v>
      </c>
    </row>
    <row r="62" spans="1:22" ht="17.45" customHeight="1" x14ac:dyDescent="0.25">
      <c r="A62" s="39" t="s">
        <v>6</v>
      </c>
      <c r="B62" s="40">
        <f>DATE(2019,9,12)</f>
        <v>43720</v>
      </c>
      <c r="C62" s="43">
        <f t="shared" si="2"/>
        <v>9</v>
      </c>
      <c r="D62" s="39" t="s">
        <v>8</v>
      </c>
      <c r="E62" s="39" t="s">
        <v>85</v>
      </c>
      <c r="F62" s="39" t="s">
        <v>124</v>
      </c>
      <c r="G62" s="42">
        <v>390</v>
      </c>
      <c r="H62" s="42">
        <v>0</v>
      </c>
      <c r="I62" s="42">
        <f t="shared" si="3"/>
        <v>390</v>
      </c>
      <c r="J62" s="39" t="s">
        <v>85</v>
      </c>
      <c r="K62" s="41">
        <v>30112</v>
      </c>
      <c r="L62" s="39" t="s">
        <v>85</v>
      </c>
      <c r="M62" s="39" t="s">
        <v>7</v>
      </c>
      <c r="N62" s="39" t="s">
        <v>85</v>
      </c>
      <c r="O62" s="39" t="s">
        <v>87</v>
      </c>
      <c r="P62" s="39" t="s">
        <v>85</v>
      </c>
      <c r="Q62" s="40">
        <f>DATE(2019,9,13)</f>
        <v>43721</v>
      </c>
      <c r="R62" s="39" t="s">
        <v>88</v>
      </c>
      <c r="S62" s="39" t="s">
        <v>85</v>
      </c>
      <c r="T62" s="39" t="s">
        <v>89</v>
      </c>
      <c r="U62" s="39" t="s">
        <v>89</v>
      </c>
      <c r="V62" s="39" t="s">
        <v>90</v>
      </c>
    </row>
    <row r="63" spans="1:22" ht="17.45" customHeight="1" x14ac:dyDescent="0.25">
      <c r="A63" s="39" t="s">
        <v>6</v>
      </c>
      <c r="B63" s="40">
        <f>DATE(2019,9,13)</f>
        <v>43721</v>
      </c>
      <c r="C63" s="43">
        <f t="shared" si="2"/>
        <v>9</v>
      </c>
      <c r="D63" s="39" t="s">
        <v>8</v>
      </c>
      <c r="E63" s="39" t="s">
        <v>85</v>
      </c>
      <c r="F63" s="39" t="s">
        <v>125</v>
      </c>
      <c r="G63" s="42">
        <v>3000</v>
      </c>
      <c r="H63" s="42">
        <v>0</v>
      </c>
      <c r="I63" s="42">
        <f t="shared" si="3"/>
        <v>3000</v>
      </c>
      <c r="J63" s="39" t="s">
        <v>85</v>
      </c>
      <c r="K63" s="41">
        <v>30141</v>
      </c>
      <c r="L63" s="39" t="s">
        <v>85</v>
      </c>
      <c r="M63" s="39" t="s">
        <v>7</v>
      </c>
      <c r="N63" s="39" t="s">
        <v>85</v>
      </c>
      <c r="O63" s="39" t="s">
        <v>87</v>
      </c>
      <c r="P63" s="39" t="s">
        <v>85</v>
      </c>
      <c r="Q63" s="40">
        <f>DATE(2019,9,16)</f>
        <v>43724</v>
      </c>
      <c r="R63" s="39" t="s">
        <v>88</v>
      </c>
      <c r="S63" s="39" t="s">
        <v>85</v>
      </c>
      <c r="T63" s="39" t="s">
        <v>89</v>
      </c>
      <c r="U63" s="39" t="s">
        <v>89</v>
      </c>
      <c r="V63" s="39" t="s">
        <v>90</v>
      </c>
    </row>
    <row r="64" spans="1:22" ht="17.45" customHeight="1" x14ac:dyDescent="0.25">
      <c r="A64" s="39" t="s">
        <v>6</v>
      </c>
      <c r="B64" s="40">
        <f>DATE(2019,9,13)</f>
        <v>43721</v>
      </c>
      <c r="C64" s="43">
        <f t="shared" si="2"/>
        <v>9</v>
      </c>
      <c r="D64" s="39" t="s">
        <v>8</v>
      </c>
      <c r="E64" s="39" t="s">
        <v>85</v>
      </c>
      <c r="F64" s="39" t="s">
        <v>126</v>
      </c>
      <c r="G64" s="42">
        <v>3090</v>
      </c>
      <c r="H64" s="42">
        <v>0</v>
      </c>
      <c r="I64" s="42">
        <f t="shared" si="3"/>
        <v>3090</v>
      </c>
      <c r="J64" s="39" t="s">
        <v>85</v>
      </c>
      <c r="K64" s="41">
        <v>30150</v>
      </c>
      <c r="L64" s="39" t="s">
        <v>85</v>
      </c>
      <c r="M64" s="39" t="s">
        <v>7</v>
      </c>
      <c r="N64" s="39" t="s">
        <v>85</v>
      </c>
      <c r="O64" s="39" t="s">
        <v>87</v>
      </c>
      <c r="P64" s="39" t="s">
        <v>85</v>
      </c>
      <c r="Q64" s="40">
        <f>DATE(2019,9,16)</f>
        <v>43724</v>
      </c>
      <c r="R64" s="39" t="s">
        <v>88</v>
      </c>
      <c r="S64" s="39" t="s">
        <v>85</v>
      </c>
      <c r="T64" s="39" t="s">
        <v>89</v>
      </c>
      <c r="U64" s="39" t="s">
        <v>89</v>
      </c>
      <c r="V64" s="39" t="s">
        <v>90</v>
      </c>
    </row>
    <row r="65" spans="1:22" ht="17.45" customHeight="1" x14ac:dyDescent="0.25">
      <c r="A65" s="39" t="s">
        <v>6</v>
      </c>
      <c r="B65" s="40">
        <f>DATE(2019,9,18)</f>
        <v>43726</v>
      </c>
      <c r="C65" s="43">
        <f t="shared" si="2"/>
        <v>9</v>
      </c>
      <c r="D65" s="39" t="s">
        <v>8</v>
      </c>
      <c r="E65" s="39" t="s">
        <v>85</v>
      </c>
      <c r="F65" s="39" t="s">
        <v>127</v>
      </c>
      <c r="G65" s="42">
        <v>0</v>
      </c>
      <c r="H65" s="42">
        <v>60</v>
      </c>
      <c r="I65" s="42">
        <f t="shared" si="3"/>
        <v>-60</v>
      </c>
      <c r="J65" s="39" t="s">
        <v>85</v>
      </c>
      <c r="K65" s="41">
        <v>30855</v>
      </c>
      <c r="L65" s="39" t="s">
        <v>85</v>
      </c>
      <c r="M65" s="39" t="s">
        <v>7</v>
      </c>
      <c r="N65" s="39" t="s">
        <v>85</v>
      </c>
      <c r="O65" s="39" t="s">
        <v>87</v>
      </c>
      <c r="P65" s="39" t="s">
        <v>85</v>
      </c>
      <c r="Q65" s="40">
        <f>DATE(2019,9,19)</f>
        <v>43727</v>
      </c>
      <c r="R65" s="39" t="s">
        <v>88</v>
      </c>
      <c r="S65" s="39" t="s">
        <v>85</v>
      </c>
      <c r="T65" s="39" t="s">
        <v>89</v>
      </c>
      <c r="U65" s="39" t="s">
        <v>89</v>
      </c>
      <c r="V65" s="39" t="s">
        <v>90</v>
      </c>
    </row>
    <row r="66" spans="1:22" ht="17.45" customHeight="1" x14ac:dyDescent="0.25">
      <c r="A66" s="39" t="s">
        <v>6</v>
      </c>
      <c r="B66" s="40">
        <f>DATE(2019,9,18)</f>
        <v>43726</v>
      </c>
      <c r="C66" s="43">
        <f t="shared" ref="C66:C80" si="4">MONTH(B66)</f>
        <v>9</v>
      </c>
      <c r="D66" s="39" t="s">
        <v>8</v>
      </c>
      <c r="E66" s="39" t="s">
        <v>85</v>
      </c>
      <c r="F66" s="39" t="s">
        <v>128</v>
      </c>
      <c r="G66" s="42">
        <v>0</v>
      </c>
      <c r="H66" s="42">
        <v>270</v>
      </c>
      <c r="I66" s="42">
        <f t="shared" ref="I66:I80" si="5">G66-H66</f>
        <v>-270</v>
      </c>
      <c r="J66" s="39" t="s">
        <v>85</v>
      </c>
      <c r="K66" s="41">
        <v>30854</v>
      </c>
      <c r="L66" s="39" t="s">
        <v>85</v>
      </c>
      <c r="M66" s="39" t="s">
        <v>7</v>
      </c>
      <c r="N66" s="39" t="s">
        <v>85</v>
      </c>
      <c r="O66" s="39" t="s">
        <v>87</v>
      </c>
      <c r="P66" s="39" t="s">
        <v>85</v>
      </c>
      <c r="Q66" s="40">
        <f>DATE(2019,9,19)</f>
        <v>43727</v>
      </c>
      <c r="R66" s="39" t="s">
        <v>88</v>
      </c>
      <c r="S66" s="39" t="s">
        <v>85</v>
      </c>
      <c r="T66" s="39" t="s">
        <v>89</v>
      </c>
      <c r="U66" s="39" t="s">
        <v>89</v>
      </c>
      <c r="V66" s="39" t="s">
        <v>90</v>
      </c>
    </row>
    <row r="67" spans="1:22" ht="17.45" customHeight="1" x14ac:dyDescent="0.25">
      <c r="A67" s="39" t="s">
        <v>6</v>
      </c>
      <c r="B67" s="40">
        <f>DATE(2019,9,6)</f>
        <v>43714</v>
      </c>
      <c r="C67" s="43">
        <f t="shared" si="4"/>
        <v>9</v>
      </c>
      <c r="D67" s="39" t="s">
        <v>8</v>
      </c>
      <c r="E67" s="39" t="s">
        <v>85</v>
      </c>
      <c r="F67" s="39" t="s">
        <v>129</v>
      </c>
      <c r="G67" s="42">
        <v>0</v>
      </c>
      <c r="H67" s="42">
        <v>4020</v>
      </c>
      <c r="I67" s="42">
        <f t="shared" si="5"/>
        <v>-4020</v>
      </c>
      <c r="J67" s="39" t="s">
        <v>85</v>
      </c>
      <c r="K67" s="41">
        <v>29664</v>
      </c>
      <c r="L67" s="39" t="s">
        <v>85</v>
      </c>
      <c r="M67" s="39" t="s">
        <v>7</v>
      </c>
      <c r="N67" s="39" t="s">
        <v>85</v>
      </c>
      <c r="O67" s="39" t="s">
        <v>87</v>
      </c>
      <c r="P67" s="39" t="s">
        <v>85</v>
      </c>
      <c r="Q67" s="40">
        <f>DATE(2019,9,11)</f>
        <v>43719</v>
      </c>
      <c r="R67" s="39" t="s">
        <v>88</v>
      </c>
      <c r="S67" s="39" t="s">
        <v>85</v>
      </c>
      <c r="T67" s="39" t="s">
        <v>89</v>
      </c>
      <c r="U67" s="39" t="s">
        <v>89</v>
      </c>
      <c r="V67" s="39" t="s">
        <v>90</v>
      </c>
    </row>
    <row r="68" spans="1:22" ht="17.45" customHeight="1" x14ac:dyDescent="0.25">
      <c r="A68" s="39" t="s">
        <v>6</v>
      </c>
      <c r="B68" s="40">
        <f>DATE(2019,9,11)</f>
        <v>43719</v>
      </c>
      <c r="C68" s="43">
        <f t="shared" si="4"/>
        <v>9</v>
      </c>
      <c r="D68" s="39" t="s">
        <v>8</v>
      </c>
      <c r="E68" s="39" t="s">
        <v>85</v>
      </c>
      <c r="F68" s="39" t="s">
        <v>122</v>
      </c>
      <c r="G68" s="42">
        <v>0</v>
      </c>
      <c r="H68" s="42">
        <v>90</v>
      </c>
      <c r="I68" s="42">
        <f t="shared" si="5"/>
        <v>-90</v>
      </c>
      <c r="J68" s="39" t="s">
        <v>85</v>
      </c>
      <c r="K68" s="41">
        <v>29962</v>
      </c>
      <c r="L68" s="39" t="s">
        <v>85</v>
      </c>
      <c r="M68" s="39" t="s">
        <v>7</v>
      </c>
      <c r="N68" s="39" t="s">
        <v>85</v>
      </c>
      <c r="O68" s="39" t="s">
        <v>87</v>
      </c>
      <c r="P68" s="39" t="s">
        <v>85</v>
      </c>
      <c r="Q68" s="40">
        <f>DATE(2019,9,12)</f>
        <v>43720</v>
      </c>
      <c r="R68" s="39" t="s">
        <v>88</v>
      </c>
      <c r="S68" s="39" t="s">
        <v>85</v>
      </c>
      <c r="T68" s="39" t="s">
        <v>89</v>
      </c>
      <c r="U68" s="39" t="s">
        <v>89</v>
      </c>
      <c r="V68" s="39" t="s">
        <v>90</v>
      </c>
    </row>
    <row r="69" spans="1:22" ht="17.45" customHeight="1" x14ac:dyDescent="0.25">
      <c r="A69" s="39" t="s">
        <v>12</v>
      </c>
      <c r="B69" s="40">
        <f>DATE(2019,9,6)</f>
        <v>43714</v>
      </c>
      <c r="C69" s="43">
        <f t="shared" si="4"/>
        <v>9</v>
      </c>
      <c r="D69" s="39" t="s">
        <v>14</v>
      </c>
      <c r="E69" s="39" t="s">
        <v>85</v>
      </c>
      <c r="F69" s="39" t="s">
        <v>129</v>
      </c>
      <c r="G69" s="42">
        <v>0</v>
      </c>
      <c r="H69" s="42">
        <v>30</v>
      </c>
      <c r="I69" s="42">
        <f t="shared" si="5"/>
        <v>-30</v>
      </c>
      <c r="J69" s="39" t="s">
        <v>85</v>
      </c>
      <c r="K69" s="41">
        <v>29664</v>
      </c>
      <c r="L69" s="39" t="s">
        <v>85</v>
      </c>
      <c r="M69" s="39" t="s">
        <v>13</v>
      </c>
      <c r="N69" s="39" t="s">
        <v>85</v>
      </c>
      <c r="O69" s="39" t="s">
        <v>87</v>
      </c>
      <c r="P69" s="39" t="s">
        <v>85</v>
      </c>
      <c r="Q69" s="40">
        <f>DATE(2019,9,11)</f>
        <v>43719</v>
      </c>
      <c r="R69" s="39" t="s">
        <v>88</v>
      </c>
      <c r="S69" s="39" t="s">
        <v>85</v>
      </c>
      <c r="T69" s="39" t="s">
        <v>89</v>
      </c>
      <c r="U69" s="39" t="s">
        <v>89</v>
      </c>
      <c r="V69" s="39" t="s">
        <v>90</v>
      </c>
    </row>
    <row r="70" spans="1:22" ht="17.45" customHeight="1" x14ac:dyDescent="0.25">
      <c r="A70" s="39" t="s">
        <v>12</v>
      </c>
      <c r="B70" s="40">
        <f>DATE(2019,9,13)</f>
        <v>43721</v>
      </c>
      <c r="C70" s="43">
        <f t="shared" si="4"/>
        <v>9</v>
      </c>
      <c r="D70" s="39" t="s">
        <v>14</v>
      </c>
      <c r="E70" s="39" t="s">
        <v>85</v>
      </c>
      <c r="F70" s="39" t="s">
        <v>126</v>
      </c>
      <c r="G70" s="42">
        <v>30</v>
      </c>
      <c r="H70" s="42">
        <v>0</v>
      </c>
      <c r="I70" s="42">
        <f t="shared" si="5"/>
        <v>30</v>
      </c>
      <c r="J70" s="39" t="s">
        <v>85</v>
      </c>
      <c r="K70" s="41">
        <v>30150</v>
      </c>
      <c r="L70" s="39" t="s">
        <v>85</v>
      </c>
      <c r="M70" s="39" t="s">
        <v>13</v>
      </c>
      <c r="N70" s="39" t="s">
        <v>85</v>
      </c>
      <c r="O70" s="39" t="s">
        <v>87</v>
      </c>
      <c r="P70" s="39" t="s">
        <v>85</v>
      </c>
      <c r="Q70" s="40">
        <f>DATE(2019,9,16)</f>
        <v>43724</v>
      </c>
      <c r="R70" s="39" t="s">
        <v>88</v>
      </c>
      <c r="S70" s="39" t="s">
        <v>85</v>
      </c>
      <c r="T70" s="39" t="s">
        <v>89</v>
      </c>
      <c r="U70" s="39" t="s">
        <v>89</v>
      </c>
      <c r="V70" s="39" t="s">
        <v>90</v>
      </c>
    </row>
    <row r="71" spans="1:22" ht="17.45" customHeight="1" x14ac:dyDescent="0.25">
      <c r="A71" s="39" t="s">
        <v>12</v>
      </c>
      <c r="B71" s="40">
        <f>DATE(2019,9,13)</f>
        <v>43721</v>
      </c>
      <c r="C71" s="43">
        <f t="shared" si="4"/>
        <v>9</v>
      </c>
      <c r="D71" s="39" t="s">
        <v>14</v>
      </c>
      <c r="E71" s="39" t="s">
        <v>85</v>
      </c>
      <c r="F71" s="39" t="s">
        <v>125</v>
      </c>
      <c r="G71" s="42">
        <v>120</v>
      </c>
      <c r="H71" s="42">
        <v>0</v>
      </c>
      <c r="I71" s="42">
        <f t="shared" si="5"/>
        <v>120</v>
      </c>
      <c r="J71" s="39" t="s">
        <v>85</v>
      </c>
      <c r="K71" s="41">
        <v>30141</v>
      </c>
      <c r="L71" s="39" t="s">
        <v>85</v>
      </c>
      <c r="M71" s="39" t="s">
        <v>13</v>
      </c>
      <c r="N71" s="39" t="s">
        <v>85</v>
      </c>
      <c r="O71" s="39" t="s">
        <v>87</v>
      </c>
      <c r="P71" s="39" t="s">
        <v>85</v>
      </c>
      <c r="Q71" s="40">
        <f>DATE(2019,9,16)</f>
        <v>43724</v>
      </c>
      <c r="R71" s="39" t="s">
        <v>88</v>
      </c>
      <c r="S71" s="39" t="s">
        <v>85</v>
      </c>
      <c r="T71" s="39" t="s">
        <v>89</v>
      </c>
      <c r="U71" s="39" t="s">
        <v>89</v>
      </c>
      <c r="V71" s="39" t="s">
        <v>90</v>
      </c>
    </row>
    <row r="72" spans="1:22" ht="17.45" customHeight="1" x14ac:dyDescent="0.25">
      <c r="A72" s="39" t="s">
        <v>9</v>
      </c>
      <c r="B72" s="40">
        <f>DATE(2019,9,6)</f>
        <v>43714</v>
      </c>
      <c r="C72" s="43">
        <f t="shared" si="4"/>
        <v>9</v>
      </c>
      <c r="D72" s="39" t="s">
        <v>11</v>
      </c>
      <c r="E72" s="39" t="s">
        <v>85</v>
      </c>
      <c r="F72" s="39" t="s">
        <v>129</v>
      </c>
      <c r="G72" s="42">
        <v>0</v>
      </c>
      <c r="H72" s="42">
        <v>120</v>
      </c>
      <c r="I72" s="42">
        <f t="shared" si="5"/>
        <v>-120</v>
      </c>
      <c r="J72" s="39" t="s">
        <v>85</v>
      </c>
      <c r="K72" s="41">
        <v>29664</v>
      </c>
      <c r="L72" s="39" t="s">
        <v>85</v>
      </c>
      <c r="M72" s="39" t="s">
        <v>10</v>
      </c>
      <c r="N72" s="39" t="s">
        <v>85</v>
      </c>
      <c r="O72" s="39" t="s">
        <v>87</v>
      </c>
      <c r="P72" s="39" t="s">
        <v>85</v>
      </c>
      <c r="Q72" s="40">
        <f>DATE(2019,9,11)</f>
        <v>43719</v>
      </c>
      <c r="R72" s="39" t="s">
        <v>88</v>
      </c>
      <c r="S72" s="39" t="s">
        <v>85</v>
      </c>
      <c r="T72" s="39" t="s">
        <v>89</v>
      </c>
      <c r="U72" s="39" t="s">
        <v>89</v>
      </c>
      <c r="V72" s="39" t="s">
        <v>90</v>
      </c>
    </row>
    <row r="73" spans="1:22" ht="17.45" customHeight="1" x14ac:dyDescent="0.25">
      <c r="A73" s="39" t="s">
        <v>9</v>
      </c>
      <c r="B73" s="40">
        <f>DATE(2019,9,11)</f>
        <v>43719</v>
      </c>
      <c r="C73" s="43">
        <f t="shared" si="4"/>
        <v>9</v>
      </c>
      <c r="D73" s="39" t="s">
        <v>11</v>
      </c>
      <c r="E73" s="39" t="s">
        <v>85</v>
      </c>
      <c r="F73" s="39" t="s">
        <v>109</v>
      </c>
      <c r="G73" s="42">
        <v>30</v>
      </c>
      <c r="H73" s="42">
        <v>0</v>
      </c>
      <c r="I73" s="42">
        <f t="shared" si="5"/>
        <v>30</v>
      </c>
      <c r="J73" s="39" t="s">
        <v>85</v>
      </c>
      <c r="K73" s="41">
        <v>29961</v>
      </c>
      <c r="L73" s="39" t="s">
        <v>85</v>
      </c>
      <c r="M73" s="39" t="s">
        <v>10</v>
      </c>
      <c r="N73" s="39" t="s">
        <v>85</v>
      </c>
      <c r="O73" s="39" t="s">
        <v>87</v>
      </c>
      <c r="P73" s="39" t="s">
        <v>85</v>
      </c>
      <c r="Q73" s="40">
        <f>DATE(2019,9,12)</f>
        <v>43720</v>
      </c>
      <c r="R73" s="39" t="s">
        <v>88</v>
      </c>
      <c r="S73" s="39" t="s">
        <v>85</v>
      </c>
      <c r="T73" s="39" t="s">
        <v>89</v>
      </c>
      <c r="U73" s="39" t="s">
        <v>89</v>
      </c>
      <c r="V73" s="39" t="s">
        <v>90</v>
      </c>
    </row>
    <row r="74" spans="1:22" ht="17.45" customHeight="1" x14ac:dyDescent="0.25">
      <c r="A74" s="39" t="s">
        <v>9</v>
      </c>
      <c r="B74" s="40">
        <f>DATE(2019,9,12)</f>
        <v>43720</v>
      </c>
      <c r="C74" s="43">
        <f t="shared" si="4"/>
        <v>9</v>
      </c>
      <c r="D74" s="39" t="s">
        <v>11</v>
      </c>
      <c r="E74" s="39" t="s">
        <v>85</v>
      </c>
      <c r="F74" s="39" t="s">
        <v>124</v>
      </c>
      <c r="G74" s="42">
        <v>30</v>
      </c>
      <c r="H74" s="42">
        <v>0</v>
      </c>
      <c r="I74" s="42">
        <f t="shared" si="5"/>
        <v>30</v>
      </c>
      <c r="J74" s="39" t="s">
        <v>85</v>
      </c>
      <c r="K74" s="41">
        <v>30112</v>
      </c>
      <c r="L74" s="39" t="s">
        <v>85</v>
      </c>
      <c r="M74" s="39" t="s">
        <v>10</v>
      </c>
      <c r="N74" s="39" t="s">
        <v>85</v>
      </c>
      <c r="O74" s="39" t="s">
        <v>87</v>
      </c>
      <c r="P74" s="39" t="s">
        <v>85</v>
      </c>
      <c r="Q74" s="40">
        <f>DATE(2019,9,13)</f>
        <v>43721</v>
      </c>
      <c r="R74" s="39" t="s">
        <v>88</v>
      </c>
      <c r="S74" s="39" t="s">
        <v>85</v>
      </c>
      <c r="T74" s="39" t="s">
        <v>89</v>
      </c>
      <c r="U74" s="39" t="s">
        <v>89</v>
      </c>
      <c r="V74" s="39" t="s">
        <v>90</v>
      </c>
    </row>
    <row r="75" spans="1:22" ht="17.45" customHeight="1" x14ac:dyDescent="0.25">
      <c r="A75" s="39" t="s">
        <v>9</v>
      </c>
      <c r="B75" s="40">
        <f>DATE(2019,9,13)</f>
        <v>43721</v>
      </c>
      <c r="C75" s="43">
        <f t="shared" si="4"/>
        <v>9</v>
      </c>
      <c r="D75" s="39" t="s">
        <v>11</v>
      </c>
      <c r="E75" s="39" t="s">
        <v>85</v>
      </c>
      <c r="F75" s="39" t="s">
        <v>126</v>
      </c>
      <c r="G75" s="42">
        <v>60</v>
      </c>
      <c r="H75" s="42">
        <v>0</v>
      </c>
      <c r="I75" s="42">
        <f t="shared" si="5"/>
        <v>60</v>
      </c>
      <c r="J75" s="39" t="s">
        <v>85</v>
      </c>
      <c r="K75" s="41">
        <v>30150</v>
      </c>
      <c r="L75" s="39" t="s">
        <v>85</v>
      </c>
      <c r="M75" s="39" t="s">
        <v>10</v>
      </c>
      <c r="N75" s="39" t="s">
        <v>85</v>
      </c>
      <c r="O75" s="39" t="s">
        <v>87</v>
      </c>
      <c r="P75" s="39" t="s">
        <v>85</v>
      </c>
      <c r="Q75" s="40">
        <f>DATE(2019,9,16)</f>
        <v>43724</v>
      </c>
      <c r="R75" s="39" t="s">
        <v>88</v>
      </c>
      <c r="S75" s="39" t="s">
        <v>85</v>
      </c>
      <c r="T75" s="39" t="s">
        <v>89</v>
      </c>
      <c r="U75" s="39" t="s">
        <v>89</v>
      </c>
      <c r="V75" s="39" t="s">
        <v>90</v>
      </c>
    </row>
    <row r="76" spans="1:22" ht="17.45" customHeight="1" x14ac:dyDescent="0.25">
      <c r="A76" s="39" t="s">
        <v>9</v>
      </c>
      <c r="B76" s="40">
        <f>DATE(2019,9,13)</f>
        <v>43721</v>
      </c>
      <c r="C76" s="43">
        <f t="shared" si="4"/>
        <v>9</v>
      </c>
      <c r="D76" s="39" t="s">
        <v>11</v>
      </c>
      <c r="E76" s="39" t="s">
        <v>85</v>
      </c>
      <c r="F76" s="39" t="s">
        <v>125</v>
      </c>
      <c r="G76" s="42">
        <v>120</v>
      </c>
      <c r="H76" s="42">
        <v>0</v>
      </c>
      <c r="I76" s="42">
        <f t="shared" si="5"/>
        <v>120</v>
      </c>
      <c r="J76" s="39" t="s">
        <v>85</v>
      </c>
      <c r="K76" s="41">
        <v>30141</v>
      </c>
      <c r="L76" s="39" t="s">
        <v>85</v>
      </c>
      <c r="M76" s="39" t="s">
        <v>10</v>
      </c>
      <c r="N76" s="39" t="s">
        <v>85</v>
      </c>
      <c r="O76" s="39" t="s">
        <v>87</v>
      </c>
      <c r="P76" s="39" t="s">
        <v>85</v>
      </c>
      <c r="Q76" s="40">
        <f>DATE(2019,9,16)</f>
        <v>43724</v>
      </c>
      <c r="R76" s="39" t="s">
        <v>88</v>
      </c>
      <c r="S76" s="39" t="s">
        <v>85</v>
      </c>
      <c r="T76" s="39" t="s">
        <v>89</v>
      </c>
      <c r="U76" s="39" t="s">
        <v>89</v>
      </c>
      <c r="V76" s="39" t="s">
        <v>90</v>
      </c>
    </row>
    <row r="77" spans="1:22" ht="17.45" customHeight="1" x14ac:dyDescent="0.25">
      <c r="A77" s="39" t="s">
        <v>1</v>
      </c>
      <c r="B77" s="40">
        <f>DATE(2019,9,6)</f>
        <v>43714</v>
      </c>
      <c r="C77" s="43">
        <f t="shared" si="4"/>
        <v>9</v>
      </c>
      <c r="D77" s="39" t="s">
        <v>5</v>
      </c>
      <c r="E77" s="39" t="s">
        <v>85</v>
      </c>
      <c r="F77" s="39" t="s">
        <v>129</v>
      </c>
      <c r="G77" s="42">
        <v>0</v>
      </c>
      <c r="H77" s="42">
        <v>30</v>
      </c>
      <c r="I77" s="42">
        <f t="shared" si="5"/>
        <v>-30</v>
      </c>
      <c r="J77" s="39" t="s">
        <v>85</v>
      </c>
      <c r="K77" s="41">
        <v>29664</v>
      </c>
      <c r="L77" s="39" t="s">
        <v>85</v>
      </c>
      <c r="M77" s="39" t="s">
        <v>2</v>
      </c>
      <c r="N77" s="39" t="s">
        <v>85</v>
      </c>
      <c r="O77" s="39" t="s">
        <v>87</v>
      </c>
      <c r="P77" s="39" t="s">
        <v>85</v>
      </c>
      <c r="Q77" s="40">
        <f>DATE(2019,9,11)</f>
        <v>43719</v>
      </c>
      <c r="R77" s="39" t="s">
        <v>88</v>
      </c>
      <c r="S77" s="39" t="s">
        <v>85</v>
      </c>
      <c r="T77" s="39" t="s">
        <v>89</v>
      </c>
      <c r="U77" s="39" t="s">
        <v>89</v>
      </c>
      <c r="V77" s="39" t="s">
        <v>90</v>
      </c>
    </row>
    <row r="78" spans="1:22" ht="17.45" customHeight="1" x14ac:dyDescent="0.25">
      <c r="A78" s="39" t="s">
        <v>1</v>
      </c>
      <c r="B78" s="40">
        <f>DATE(2019,9,13)</f>
        <v>43721</v>
      </c>
      <c r="C78" s="43">
        <f t="shared" si="4"/>
        <v>9</v>
      </c>
      <c r="D78" s="39" t="s">
        <v>5</v>
      </c>
      <c r="E78" s="39" t="s">
        <v>85</v>
      </c>
      <c r="F78" s="39" t="s">
        <v>125</v>
      </c>
      <c r="G78" s="42">
        <v>30</v>
      </c>
      <c r="H78" s="42">
        <v>0</v>
      </c>
      <c r="I78" s="42">
        <f t="shared" si="5"/>
        <v>30</v>
      </c>
      <c r="J78" s="39" t="s">
        <v>85</v>
      </c>
      <c r="K78" s="41">
        <v>30141</v>
      </c>
      <c r="L78" s="39" t="s">
        <v>85</v>
      </c>
      <c r="M78" s="39" t="s">
        <v>2</v>
      </c>
      <c r="N78" s="39" t="s">
        <v>85</v>
      </c>
      <c r="O78" s="39" t="s">
        <v>87</v>
      </c>
      <c r="P78" s="39" t="s">
        <v>85</v>
      </c>
      <c r="Q78" s="40">
        <f>DATE(2019,9,16)</f>
        <v>43724</v>
      </c>
      <c r="R78" s="39" t="s">
        <v>88</v>
      </c>
      <c r="S78" s="39" t="s">
        <v>85</v>
      </c>
      <c r="T78" s="39" t="s">
        <v>89</v>
      </c>
      <c r="U78" s="39" t="s">
        <v>89</v>
      </c>
      <c r="V78" s="39" t="s">
        <v>90</v>
      </c>
    </row>
    <row r="79" spans="1:22" ht="17.45" customHeight="1" x14ac:dyDescent="0.25">
      <c r="A79" s="39" t="s">
        <v>1</v>
      </c>
      <c r="B79" s="40">
        <f>DATE(2019,9,13)</f>
        <v>43721</v>
      </c>
      <c r="C79" s="43">
        <f t="shared" si="4"/>
        <v>9</v>
      </c>
      <c r="D79" s="39" t="s">
        <v>5</v>
      </c>
      <c r="E79" s="39" t="s">
        <v>85</v>
      </c>
      <c r="F79" s="39" t="s">
        <v>126</v>
      </c>
      <c r="G79" s="42">
        <v>30</v>
      </c>
      <c r="H79" s="42">
        <v>0</v>
      </c>
      <c r="I79" s="42">
        <f t="shared" si="5"/>
        <v>30</v>
      </c>
      <c r="J79" s="39" t="s">
        <v>85</v>
      </c>
      <c r="K79" s="41">
        <v>30150</v>
      </c>
      <c r="L79" s="39" t="s">
        <v>85</v>
      </c>
      <c r="M79" s="39" t="s">
        <v>2</v>
      </c>
      <c r="N79" s="39" t="s">
        <v>85</v>
      </c>
      <c r="O79" s="39" t="s">
        <v>87</v>
      </c>
      <c r="P79" s="39" t="s">
        <v>85</v>
      </c>
      <c r="Q79" s="40">
        <f>DATE(2019,9,16)</f>
        <v>43724</v>
      </c>
      <c r="R79" s="39" t="s">
        <v>88</v>
      </c>
      <c r="S79" s="39" t="s">
        <v>85</v>
      </c>
      <c r="T79" s="39" t="s">
        <v>89</v>
      </c>
      <c r="U79" s="39" t="s">
        <v>89</v>
      </c>
      <c r="V79" s="39" t="s">
        <v>90</v>
      </c>
    </row>
    <row r="80" spans="1:22" ht="17.45" customHeight="1" x14ac:dyDescent="0.25">
      <c r="A80" s="39" t="s">
        <v>18</v>
      </c>
      <c r="B80" s="40">
        <f>DATE(2019,11,8)</f>
        <v>43777</v>
      </c>
      <c r="C80" s="43">
        <f t="shared" si="4"/>
        <v>11</v>
      </c>
      <c r="D80" s="39" t="s">
        <v>20</v>
      </c>
      <c r="E80" s="39" t="s">
        <v>85</v>
      </c>
      <c r="F80" s="39" t="s">
        <v>86</v>
      </c>
      <c r="G80" s="42">
        <v>120</v>
      </c>
      <c r="H80" s="42">
        <v>0</v>
      </c>
      <c r="I80" s="42">
        <f t="shared" si="5"/>
        <v>120</v>
      </c>
      <c r="J80" s="39" t="s">
        <v>85</v>
      </c>
      <c r="K80" s="41">
        <v>1120640</v>
      </c>
      <c r="L80" s="39" t="s">
        <v>85</v>
      </c>
      <c r="M80" s="39" t="s">
        <v>19</v>
      </c>
      <c r="N80" s="39" t="s">
        <v>85</v>
      </c>
      <c r="O80" s="39" t="s">
        <v>87</v>
      </c>
      <c r="P80" s="39" t="s">
        <v>85</v>
      </c>
      <c r="Q80" s="40">
        <f>DATE(2019,11,11)</f>
        <v>43780</v>
      </c>
      <c r="R80" s="39" t="s">
        <v>88</v>
      </c>
      <c r="S80" s="39" t="s">
        <v>85</v>
      </c>
      <c r="T80" s="39" t="s">
        <v>89</v>
      </c>
      <c r="U80" s="39" t="s">
        <v>89</v>
      </c>
      <c r="V80" s="39" t="s">
        <v>90</v>
      </c>
    </row>
  </sheetData>
  <autoFilter ref="A1:V80">
    <filterColumn colId="2">
      <filters>
        <filter val="9"/>
        <filter val="11"/>
      </filters>
    </filterColumn>
    <sortState ref="A2:V80">
      <sortCondition ref="C1:C8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6"/>
  <sheetViews>
    <sheetView workbookViewId="0">
      <selection activeCell="D16" sqref="A1:V176"/>
    </sheetView>
  </sheetViews>
  <sheetFormatPr defaultRowHeight="12" x14ac:dyDescent="0.25"/>
  <cols>
    <col min="1" max="1" width="17.85546875" style="39" customWidth="1"/>
    <col min="2" max="3" width="12.5703125" style="40" customWidth="1"/>
    <col min="4" max="4" width="19.85546875" style="39" customWidth="1"/>
    <col min="5" max="5" width="14" style="39" customWidth="1"/>
    <col min="6" max="6" width="13" style="39" customWidth="1"/>
    <col min="7" max="7" width="19.28515625" style="42" customWidth="1"/>
    <col min="8" max="9" width="19.7109375" style="42" customWidth="1"/>
    <col min="10" max="10" width="23" style="39" customWidth="1"/>
    <col min="11" max="11" width="15" style="41" customWidth="1"/>
    <col min="12" max="12" width="16" style="39" customWidth="1"/>
    <col min="13" max="13" width="22" style="39" customWidth="1"/>
    <col min="14" max="14" width="27" style="39" customWidth="1"/>
    <col min="15" max="15" width="18.7109375" style="39" customWidth="1"/>
    <col min="16" max="16" width="25" style="39" customWidth="1"/>
    <col min="17" max="17" width="22" style="40" customWidth="1"/>
    <col min="18" max="18" width="24.140625" style="39" customWidth="1"/>
    <col min="19" max="19" width="20.42578125" style="39" customWidth="1"/>
    <col min="20" max="22" width="17.7109375" style="39" customWidth="1"/>
    <col min="23" max="16384" width="9.140625" style="39"/>
  </cols>
  <sheetData>
    <row r="1" spans="1:22" ht="17.45" customHeight="1" x14ac:dyDescent="0.25">
      <c r="A1" s="39" t="s">
        <v>66</v>
      </c>
      <c r="B1" s="39" t="s">
        <v>67</v>
      </c>
      <c r="C1" s="39" t="s">
        <v>141</v>
      </c>
      <c r="D1" s="39" t="s">
        <v>68</v>
      </c>
      <c r="E1" s="39" t="s">
        <v>46</v>
      </c>
      <c r="F1" s="39" t="s">
        <v>69</v>
      </c>
      <c r="G1" s="42" t="s">
        <v>70</v>
      </c>
      <c r="H1" s="42" t="s">
        <v>71</v>
      </c>
      <c r="I1" s="42" t="s">
        <v>140</v>
      </c>
      <c r="J1" s="39" t="s">
        <v>72</v>
      </c>
      <c r="K1" s="39" t="s">
        <v>73</v>
      </c>
      <c r="L1" s="39" t="s">
        <v>74</v>
      </c>
      <c r="M1" s="39" t="s">
        <v>75</v>
      </c>
      <c r="N1" s="39" t="s">
        <v>76</v>
      </c>
      <c r="O1" s="39" t="s">
        <v>77</v>
      </c>
      <c r="P1" s="39" t="s">
        <v>78</v>
      </c>
      <c r="Q1" s="39" t="s">
        <v>79</v>
      </c>
      <c r="R1" s="39" t="s">
        <v>80</v>
      </c>
      <c r="S1" s="39" t="s">
        <v>81</v>
      </c>
      <c r="T1" s="39" t="s">
        <v>82</v>
      </c>
      <c r="U1" s="39" t="s">
        <v>83</v>
      </c>
      <c r="V1" s="39" t="s">
        <v>84</v>
      </c>
    </row>
    <row r="2" spans="1:22" ht="17.45" customHeight="1" x14ac:dyDescent="0.25">
      <c r="A2" s="39" t="s">
        <v>29</v>
      </c>
      <c r="B2" s="40">
        <f>DATE(2019,2,18)</f>
        <v>43514</v>
      </c>
      <c r="C2" s="43">
        <f>MONTH(B2)</f>
        <v>2</v>
      </c>
      <c r="D2" s="39" t="s">
        <v>30</v>
      </c>
      <c r="E2" s="39" t="s">
        <v>85</v>
      </c>
      <c r="F2" s="39" t="s">
        <v>107</v>
      </c>
      <c r="G2" s="42">
        <v>0</v>
      </c>
      <c r="H2" s="42">
        <v>185</v>
      </c>
      <c r="I2" s="42">
        <f>G2-H2</f>
        <v>-185</v>
      </c>
      <c r="J2" s="39" t="s">
        <v>85</v>
      </c>
      <c r="K2" s="41">
        <v>1082124</v>
      </c>
      <c r="L2" s="39" t="s">
        <v>85</v>
      </c>
      <c r="M2" s="39" t="s">
        <v>19</v>
      </c>
      <c r="N2" s="39" t="s">
        <v>85</v>
      </c>
      <c r="O2" s="39" t="s">
        <v>87</v>
      </c>
      <c r="P2" s="39" t="s">
        <v>85</v>
      </c>
      <c r="Q2" s="40">
        <f>DATE(2019,2,19)</f>
        <v>43515</v>
      </c>
      <c r="R2" s="39" t="s">
        <v>88</v>
      </c>
      <c r="S2" s="39" t="s">
        <v>85</v>
      </c>
      <c r="T2" s="39" t="s">
        <v>89</v>
      </c>
      <c r="U2" s="39" t="s">
        <v>89</v>
      </c>
      <c r="V2" s="39" t="s">
        <v>90</v>
      </c>
    </row>
    <row r="3" spans="1:22" ht="17.45" customHeight="1" x14ac:dyDescent="0.25">
      <c r="A3" s="39" t="s">
        <v>29</v>
      </c>
      <c r="B3" s="40">
        <f>DATE(2019,5,24)</f>
        <v>43609</v>
      </c>
      <c r="C3" s="43">
        <f t="shared" ref="C3:C66" si="0">MONTH(B3)</f>
        <v>5</v>
      </c>
      <c r="D3" s="39" t="s">
        <v>30</v>
      </c>
      <c r="E3" s="39" t="s">
        <v>85</v>
      </c>
      <c r="F3" s="39" t="s">
        <v>93</v>
      </c>
      <c r="G3" s="42">
        <v>0</v>
      </c>
      <c r="H3" s="42">
        <v>130</v>
      </c>
      <c r="I3" s="42">
        <f t="shared" ref="I3:I66" si="1">G3-H3</f>
        <v>-130</v>
      </c>
      <c r="J3" s="39" t="s">
        <v>85</v>
      </c>
      <c r="K3" s="41">
        <v>1097929</v>
      </c>
      <c r="L3" s="39" t="s">
        <v>85</v>
      </c>
      <c r="M3" s="39" t="s">
        <v>19</v>
      </c>
      <c r="N3" s="39" t="s">
        <v>85</v>
      </c>
      <c r="O3" s="39" t="s">
        <v>87</v>
      </c>
      <c r="P3" s="39" t="s">
        <v>85</v>
      </c>
      <c r="Q3" s="40">
        <f>DATE(2019,5,27)</f>
        <v>43612</v>
      </c>
      <c r="R3" s="39" t="s">
        <v>88</v>
      </c>
      <c r="S3" s="39" t="s">
        <v>85</v>
      </c>
      <c r="T3" s="39" t="s">
        <v>89</v>
      </c>
      <c r="U3" s="39" t="s">
        <v>89</v>
      </c>
      <c r="V3" s="39" t="s">
        <v>90</v>
      </c>
    </row>
    <row r="4" spans="1:22" ht="17.45" customHeight="1" x14ac:dyDescent="0.25">
      <c r="A4" s="39" t="s">
        <v>29</v>
      </c>
      <c r="B4" s="40">
        <f>DATE(2019,6,4)</f>
        <v>43620</v>
      </c>
      <c r="C4" s="43">
        <f t="shared" si="0"/>
        <v>6</v>
      </c>
      <c r="D4" s="39" t="s">
        <v>30</v>
      </c>
      <c r="E4" s="39" t="s">
        <v>85</v>
      </c>
      <c r="F4" s="39" t="s">
        <v>142</v>
      </c>
      <c r="G4" s="42">
        <v>0</v>
      </c>
      <c r="H4" s="42">
        <v>390</v>
      </c>
      <c r="I4" s="42">
        <f t="shared" si="1"/>
        <v>-390</v>
      </c>
      <c r="J4" s="39" t="s">
        <v>85</v>
      </c>
      <c r="K4" s="41">
        <v>1099628</v>
      </c>
      <c r="L4" s="39" t="s">
        <v>85</v>
      </c>
      <c r="M4" s="39" t="s">
        <v>19</v>
      </c>
      <c r="N4" s="39" t="s">
        <v>85</v>
      </c>
      <c r="O4" s="39" t="s">
        <v>87</v>
      </c>
      <c r="P4" s="39" t="s">
        <v>85</v>
      </c>
      <c r="Q4" s="40">
        <f>DATE(2019,6,5)</f>
        <v>43621</v>
      </c>
      <c r="R4" s="39" t="s">
        <v>88</v>
      </c>
      <c r="S4" s="39" t="s">
        <v>85</v>
      </c>
      <c r="T4" s="39" t="s">
        <v>89</v>
      </c>
      <c r="U4" s="39" t="s">
        <v>89</v>
      </c>
      <c r="V4" s="39" t="s">
        <v>90</v>
      </c>
    </row>
    <row r="5" spans="1:22" ht="17.45" customHeight="1" x14ac:dyDescent="0.25">
      <c r="A5" s="39" t="s">
        <v>29</v>
      </c>
      <c r="B5" s="40">
        <f>DATE(2019,6,5)</f>
        <v>43621</v>
      </c>
      <c r="C5" s="43">
        <f t="shared" si="0"/>
        <v>6</v>
      </c>
      <c r="D5" s="39" t="s">
        <v>30</v>
      </c>
      <c r="E5" s="39" t="s">
        <v>85</v>
      </c>
      <c r="F5" s="39" t="s">
        <v>143</v>
      </c>
      <c r="G5" s="42">
        <v>0</v>
      </c>
      <c r="H5" s="42">
        <v>185</v>
      </c>
      <c r="I5" s="42">
        <f t="shared" si="1"/>
        <v>-185</v>
      </c>
      <c r="J5" s="39" t="s">
        <v>85</v>
      </c>
      <c r="K5" s="41">
        <v>1099758</v>
      </c>
      <c r="L5" s="39" t="s">
        <v>85</v>
      </c>
      <c r="M5" s="39" t="s">
        <v>19</v>
      </c>
      <c r="N5" s="39" t="s">
        <v>85</v>
      </c>
      <c r="O5" s="39" t="s">
        <v>87</v>
      </c>
      <c r="P5" s="39" t="s">
        <v>85</v>
      </c>
      <c r="Q5" s="40">
        <f>DATE(2019,6,6)</f>
        <v>43622</v>
      </c>
      <c r="R5" s="39" t="s">
        <v>88</v>
      </c>
      <c r="S5" s="39" t="s">
        <v>85</v>
      </c>
      <c r="T5" s="39" t="s">
        <v>89</v>
      </c>
      <c r="U5" s="39" t="s">
        <v>89</v>
      </c>
      <c r="V5" s="39" t="s">
        <v>90</v>
      </c>
    </row>
    <row r="6" spans="1:22" ht="17.45" customHeight="1" x14ac:dyDescent="0.25">
      <c r="A6" s="39" t="s">
        <v>29</v>
      </c>
      <c r="B6" s="40">
        <f>DATE(2019,6,5)</f>
        <v>43621</v>
      </c>
      <c r="C6" s="43">
        <f t="shared" si="0"/>
        <v>6</v>
      </c>
      <c r="D6" s="39" t="s">
        <v>30</v>
      </c>
      <c r="E6" s="39" t="s">
        <v>85</v>
      </c>
      <c r="F6" s="39" t="s">
        <v>144</v>
      </c>
      <c r="G6" s="42">
        <v>0</v>
      </c>
      <c r="H6" s="42">
        <v>575</v>
      </c>
      <c r="I6" s="42">
        <f t="shared" si="1"/>
        <v>-575</v>
      </c>
      <c r="J6" s="39" t="s">
        <v>85</v>
      </c>
      <c r="K6" s="41">
        <v>1099757</v>
      </c>
      <c r="L6" s="39" t="s">
        <v>85</v>
      </c>
      <c r="M6" s="39" t="s">
        <v>19</v>
      </c>
      <c r="N6" s="39" t="s">
        <v>85</v>
      </c>
      <c r="O6" s="39" t="s">
        <v>87</v>
      </c>
      <c r="P6" s="39" t="s">
        <v>85</v>
      </c>
      <c r="Q6" s="40">
        <f>DATE(2019,6,6)</f>
        <v>43622</v>
      </c>
      <c r="R6" s="39" t="s">
        <v>88</v>
      </c>
      <c r="S6" s="39" t="s">
        <v>85</v>
      </c>
      <c r="T6" s="39" t="s">
        <v>89</v>
      </c>
      <c r="U6" s="39" t="s">
        <v>89</v>
      </c>
      <c r="V6" s="39" t="s">
        <v>90</v>
      </c>
    </row>
    <row r="7" spans="1:22" ht="17.45" customHeight="1" x14ac:dyDescent="0.25">
      <c r="A7" s="39" t="s">
        <v>29</v>
      </c>
      <c r="B7" s="40">
        <f>DATE(2019,6,5)</f>
        <v>43621</v>
      </c>
      <c r="C7" s="43">
        <f t="shared" si="0"/>
        <v>6</v>
      </c>
      <c r="D7" s="39" t="s">
        <v>30</v>
      </c>
      <c r="E7" s="39" t="s">
        <v>85</v>
      </c>
      <c r="F7" s="39" t="s">
        <v>145</v>
      </c>
      <c r="G7" s="42">
        <v>0</v>
      </c>
      <c r="H7" s="42">
        <v>770</v>
      </c>
      <c r="I7" s="42">
        <f t="shared" si="1"/>
        <v>-770</v>
      </c>
      <c r="J7" s="39" t="s">
        <v>85</v>
      </c>
      <c r="K7" s="41">
        <v>1099759</v>
      </c>
      <c r="L7" s="39" t="s">
        <v>85</v>
      </c>
      <c r="M7" s="39" t="s">
        <v>19</v>
      </c>
      <c r="N7" s="39" t="s">
        <v>85</v>
      </c>
      <c r="O7" s="39" t="s">
        <v>87</v>
      </c>
      <c r="P7" s="39" t="s">
        <v>85</v>
      </c>
      <c r="Q7" s="40">
        <f>DATE(2019,6,6)</f>
        <v>43622</v>
      </c>
      <c r="R7" s="39" t="s">
        <v>88</v>
      </c>
      <c r="S7" s="39" t="s">
        <v>85</v>
      </c>
      <c r="T7" s="39" t="s">
        <v>89</v>
      </c>
      <c r="U7" s="39" t="s">
        <v>89</v>
      </c>
      <c r="V7" s="39" t="s">
        <v>90</v>
      </c>
    </row>
    <row r="8" spans="1:22" ht="17.45" customHeight="1" x14ac:dyDescent="0.25">
      <c r="A8" s="39" t="s">
        <v>29</v>
      </c>
      <c r="B8" s="40">
        <f>DATE(2019,6,5)</f>
        <v>43621</v>
      </c>
      <c r="C8" s="43">
        <f t="shared" si="0"/>
        <v>6</v>
      </c>
      <c r="D8" s="39" t="s">
        <v>30</v>
      </c>
      <c r="E8" s="39" t="s">
        <v>85</v>
      </c>
      <c r="F8" s="39" t="s">
        <v>92</v>
      </c>
      <c r="G8" s="42">
        <v>0</v>
      </c>
      <c r="H8" s="42">
        <v>1150</v>
      </c>
      <c r="I8" s="42">
        <f t="shared" si="1"/>
        <v>-1150</v>
      </c>
      <c r="J8" s="39" t="s">
        <v>85</v>
      </c>
      <c r="K8" s="41">
        <v>1099756</v>
      </c>
      <c r="L8" s="39" t="s">
        <v>85</v>
      </c>
      <c r="M8" s="39" t="s">
        <v>19</v>
      </c>
      <c r="N8" s="39" t="s">
        <v>85</v>
      </c>
      <c r="O8" s="39" t="s">
        <v>87</v>
      </c>
      <c r="P8" s="39" t="s">
        <v>85</v>
      </c>
      <c r="Q8" s="40">
        <f>DATE(2019,6,6)</f>
        <v>43622</v>
      </c>
      <c r="R8" s="39" t="s">
        <v>88</v>
      </c>
      <c r="S8" s="39" t="s">
        <v>85</v>
      </c>
      <c r="T8" s="39" t="s">
        <v>89</v>
      </c>
      <c r="U8" s="39" t="s">
        <v>89</v>
      </c>
      <c r="V8" s="39" t="s">
        <v>90</v>
      </c>
    </row>
    <row r="9" spans="1:22" ht="17.45" customHeight="1" x14ac:dyDescent="0.25">
      <c r="A9" s="39" t="s">
        <v>29</v>
      </c>
      <c r="B9" s="40">
        <f>DATE(2019,6,6)</f>
        <v>43622</v>
      </c>
      <c r="C9" s="43">
        <f t="shared" si="0"/>
        <v>6</v>
      </c>
      <c r="D9" s="39" t="s">
        <v>30</v>
      </c>
      <c r="E9" s="39" t="s">
        <v>85</v>
      </c>
      <c r="F9" s="39" t="s">
        <v>146</v>
      </c>
      <c r="G9" s="42">
        <v>0</v>
      </c>
      <c r="H9" s="42">
        <v>195</v>
      </c>
      <c r="I9" s="42">
        <f t="shared" si="1"/>
        <v>-195</v>
      </c>
      <c r="J9" s="39" t="s">
        <v>85</v>
      </c>
      <c r="K9" s="41">
        <v>1099804</v>
      </c>
      <c r="L9" s="39" t="s">
        <v>85</v>
      </c>
      <c r="M9" s="39" t="s">
        <v>19</v>
      </c>
      <c r="N9" s="39" t="s">
        <v>85</v>
      </c>
      <c r="O9" s="39" t="s">
        <v>87</v>
      </c>
      <c r="P9" s="39" t="s">
        <v>85</v>
      </c>
      <c r="Q9" s="40">
        <f>DATE(2019,6,7)</f>
        <v>43623</v>
      </c>
      <c r="R9" s="39" t="s">
        <v>88</v>
      </c>
      <c r="S9" s="39" t="s">
        <v>85</v>
      </c>
      <c r="T9" s="39" t="s">
        <v>89</v>
      </c>
      <c r="U9" s="39" t="s">
        <v>89</v>
      </c>
      <c r="V9" s="39" t="s">
        <v>90</v>
      </c>
    </row>
    <row r="10" spans="1:22" ht="17.45" customHeight="1" x14ac:dyDescent="0.25">
      <c r="A10" s="39" t="s">
        <v>29</v>
      </c>
      <c r="B10" s="40">
        <f>DATE(2019,6,10)</f>
        <v>43626</v>
      </c>
      <c r="C10" s="43">
        <f t="shared" si="0"/>
        <v>6</v>
      </c>
      <c r="D10" s="39" t="s">
        <v>30</v>
      </c>
      <c r="E10" s="39" t="s">
        <v>85</v>
      </c>
      <c r="F10" s="39" t="s">
        <v>147</v>
      </c>
      <c r="G10" s="42">
        <v>0</v>
      </c>
      <c r="H10" s="42">
        <v>65</v>
      </c>
      <c r="I10" s="42">
        <f t="shared" si="1"/>
        <v>-65</v>
      </c>
      <c r="J10" s="39" t="s">
        <v>85</v>
      </c>
      <c r="K10" s="41">
        <v>1100071</v>
      </c>
      <c r="L10" s="39" t="s">
        <v>85</v>
      </c>
      <c r="M10" s="39" t="s">
        <v>19</v>
      </c>
      <c r="N10" s="39" t="s">
        <v>85</v>
      </c>
      <c r="O10" s="39" t="s">
        <v>87</v>
      </c>
      <c r="P10" s="39" t="s">
        <v>85</v>
      </c>
      <c r="Q10" s="40">
        <f>DATE(2019,6,11)</f>
        <v>43627</v>
      </c>
      <c r="R10" s="39" t="s">
        <v>88</v>
      </c>
      <c r="S10" s="39" t="s">
        <v>85</v>
      </c>
      <c r="T10" s="39" t="s">
        <v>89</v>
      </c>
      <c r="U10" s="39" t="s">
        <v>89</v>
      </c>
      <c r="V10" s="39" t="s">
        <v>90</v>
      </c>
    </row>
    <row r="11" spans="1:22" ht="17.45" customHeight="1" x14ac:dyDescent="0.25">
      <c r="A11" s="39" t="s">
        <v>29</v>
      </c>
      <c r="B11" s="40">
        <f>DATE(2019,6,10)</f>
        <v>43626</v>
      </c>
      <c r="C11" s="43">
        <f t="shared" si="0"/>
        <v>6</v>
      </c>
      <c r="D11" s="39" t="s">
        <v>30</v>
      </c>
      <c r="E11" s="39" t="s">
        <v>85</v>
      </c>
      <c r="F11" s="39" t="s">
        <v>148</v>
      </c>
      <c r="G11" s="42">
        <v>0</v>
      </c>
      <c r="H11" s="42">
        <v>380</v>
      </c>
      <c r="I11" s="42">
        <f t="shared" si="1"/>
        <v>-380</v>
      </c>
      <c r="J11" s="39" t="s">
        <v>85</v>
      </c>
      <c r="K11" s="41">
        <v>1100070</v>
      </c>
      <c r="L11" s="39" t="s">
        <v>85</v>
      </c>
      <c r="M11" s="39" t="s">
        <v>19</v>
      </c>
      <c r="N11" s="39" t="s">
        <v>85</v>
      </c>
      <c r="O11" s="39" t="s">
        <v>87</v>
      </c>
      <c r="P11" s="39" t="s">
        <v>85</v>
      </c>
      <c r="Q11" s="40">
        <f>DATE(2019,6,11)</f>
        <v>43627</v>
      </c>
      <c r="R11" s="39" t="s">
        <v>88</v>
      </c>
      <c r="S11" s="39" t="s">
        <v>85</v>
      </c>
      <c r="T11" s="39" t="s">
        <v>89</v>
      </c>
      <c r="U11" s="39" t="s">
        <v>89</v>
      </c>
      <c r="V11" s="39" t="s">
        <v>90</v>
      </c>
    </row>
    <row r="12" spans="1:22" ht="17.45" customHeight="1" x14ac:dyDescent="0.25">
      <c r="A12" s="39" t="s">
        <v>29</v>
      </c>
      <c r="B12" s="40">
        <f>DATE(2019,6,12)</f>
        <v>43628</v>
      </c>
      <c r="C12" s="43">
        <f t="shared" si="0"/>
        <v>6</v>
      </c>
      <c r="D12" s="39" t="s">
        <v>30</v>
      </c>
      <c r="E12" s="39" t="s">
        <v>85</v>
      </c>
      <c r="F12" s="39" t="s">
        <v>149</v>
      </c>
      <c r="G12" s="42">
        <v>0</v>
      </c>
      <c r="H12" s="42">
        <v>130</v>
      </c>
      <c r="I12" s="42">
        <f t="shared" si="1"/>
        <v>-130</v>
      </c>
      <c r="J12" s="39" t="s">
        <v>85</v>
      </c>
      <c r="K12" s="41">
        <v>1100302</v>
      </c>
      <c r="L12" s="39" t="s">
        <v>85</v>
      </c>
      <c r="M12" s="39" t="s">
        <v>19</v>
      </c>
      <c r="N12" s="39" t="s">
        <v>85</v>
      </c>
      <c r="O12" s="39" t="s">
        <v>87</v>
      </c>
      <c r="P12" s="39" t="s">
        <v>85</v>
      </c>
      <c r="Q12" s="40">
        <f>DATE(2019,6,13)</f>
        <v>43629</v>
      </c>
      <c r="R12" s="39" t="s">
        <v>88</v>
      </c>
      <c r="S12" s="39" t="s">
        <v>85</v>
      </c>
      <c r="T12" s="39" t="s">
        <v>89</v>
      </c>
      <c r="U12" s="39" t="s">
        <v>89</v>
      </c>
      <c r="V12" s="39" t="s">
        <v>90</v>
      </c>
    </row>
    <row r="13" spans="1:22" ht="17.45" customHeight="1" x14ac:dyDescent="0.25">
      <c r="A13" s="39" t="s">
        <v>29</v>
      </c>
      <c r="B13" s="40">
        <f>DATE(2019,6,7)</f>
        <v>43623</v>
      </c>
      <c r="C13" s="43">
        <f t="shared" si="0"/>
        <v>6</v>
      </c>
      <c r="D13" s="39" t="s">
        <v>30</v>
      </c>
      <c r="E13" s="39" t="s">
        <v>85</v>
      </c>
      <c r="F13" s="39" t="s">
        <v>150</v>
      </c>
      <c r="G13" s="42">
        <v>0</v>
      </c>
      <c r="H13" s="42">
        <v>585</v>
      </c>
      <c r="I13" s="42">
        <f t="shared" si="1"/>
        <v>-585</v>
      </c>
      <c r="J13" s="39" t="s">
        <v>85</v>
      </c>
      <c r="K13" s="41">
        <v>1099952</v>
      </c>
      <c r="L13" s="39" t="s">
        <v>85</v>
      </c>
      <c r="M13" s="39" t="s">
        <v>19</v>
      </c>
      <c r="N13" s="39" t="s">
        <v>85</v>
      </c>
      <c r="O13" s="39" t="s">
        <v>87</v>
      </c>
      <c r="P13" s="39" t="s">
        <v>85</v>
      </c>
      <c r="Q13" s="40">
        <f>DATE(2019,6,10)</f>
        <v>43626</v>
      </c>
      <c r="R13" s="39" t="s">
        <v>88</v>
      </c>
      <c r="S13" s="39" t="s">
        <v>85</v>
      </c>
      <c r="T13" s="39" t="s">
        <v>89</v>
      </c>
      <c r="U13" s="39" t="s">
        <v>89</v>
      </c>
      <c r="V13" s="39" t="s">
        <v>90</v>
      </c>
    </row>
    <row r="14" spans="1:22" ht="17.45" customHeight="1" x14ac:dyDescent="0.25">
      <c r="A14" s="39" t="s">
        <v>29</v>
      </c>
      <c r="B14" s="40">
        <f>DATE(2019,6,4)</f>
        <v>43620</v>
      </c>
      <c r="C14" s="43">
        <f t="shared" si="0"/>
        <v>6</v>
      </c>
      <c r="D14" s="39" t="s">
        <v>30</v>
      </c>
      <c r="E14" s="39" t="s">
        <v>85</v>
      </c>
      <c r="F14" s="39" t="s">
        <v>151</v>
      </c>
      <c r="G14" s="42">
        <v>0</v>
      </c>
      <c r="H14" s="42">
        <v>640</v>
      </c>
      <c r="I14" s="42">
        <f t="shared" si="1"/>
        <v>-640</v>
      </c>
      <c r="J14" s="39" t="s">
        <v>85</v>
      </c>
      <c r="K14" s="41">
        <v>1099627</v>
      </c>
      <c r="L14" s="39" t="s">
        <v>85</v>
      </c>
      <c r="M14" s="39" t="s">
        <v>19</v>
      </c>
      <c r="N14" s="39" t="s">
        <v>85</v>
      </c>
      <c r="O14" s="39" t="s">
        <v>87</v>
      </c>
      <c r="P14" s="39" t="s">
        <v>85</v>
      </c>
      <c r="Q14" s="40">
        <f>DATE(2019,6,5)</f>
        <v>43621</v>
      </c>
      <c r="R14" s="39" t="s">
        <v>88</v>
      </c>
      <c r="S14" s="39" t="s">
        <v>85</v>
      </c>
      <c r="T14" s="39" t="s">
        <v>89</v>
      </c>
      <c r="U14" s="39" t="s">
        <v>89</v>
      </c>
      <c r="V14" s="39" t="s">
        <v>90</v>
      </c>
    </row>
    <row r="15" spans="1:22" ht="17.45" customHeight="1" x14ac:dyDescent="0.25">
      <c r="A15" s="39" t="s">
        <v>29</v>
      </c>
      <c r="B15" s="40">
        <f>DATE(2019,6,4)</f>
        <v>43620</v>
      </c>
      <c r="C15" s="43">
        <f t="shared" si="0"/>
        <v>6</v>
      </c>
      <c r="D15" s="39" t="s">
        <v>30</v>
      </c>
      <c r="E15" s="39" t="s">
        <v>85</v>
      </c>
      <c r="F15" s="39" t="s">
        <v>152</v>
      </c>
      <c r="G15" s="42">
        <v>0</v>
      </c>
      <c r="H15" s="42">
        <v>260</v>
      </c>
      <c r="I15" s="42">
        <f t="shared" si="1"/>
        <v>-260</v>
      </c>
      <c r="J15" s="39" t="s">
        <v>85</v>
      </c>
      <c r="K15" s="41">
        <v>1099626</v>
      </c>
      <c r="L15" s="39" t="s">
        <v>85</v>
      </c>
      <c r="M15" s="39" t="s">
        <v>19</v>
      </c>
      <c r="N15" s="39" t="s">
        <v>85</v>
      </c>
      <c r="O15" s="39" t="s">
        <v>87</v>
      </c>
      <c r="P15" s="39" t="s">
        <v>85</v>
      </c>
      <c r="Q15" s="40">
        <f>DATE(2019,6,5)</f>
        <v>43621</v>
      </c>
      <c r="R15" s="39" t="s">
        <v>88</v>
      </c>
      <c r="S15" s="39" t="s">
        <v>85</v>
      </c>
      <c r="T15" s="39" t="s">
        <v>89</v>
      </c>
      <c r="U15" s="39" t="s">
        <v>89</v>
      </c>
      <c r="V15" s="39" t="s">
        <v>90</v>
      </c>
    </row>
    <row r="16" spans="1:22" ht="17.45" customHeight="1" x14ac:dyDescent="0.25">
      <c r="A16" s="39" t="s">
        <v>29</v>
      </c>
      <c r="B16" s="40">
        <f>DATE(2019,6,3)</f>
        <v>43619</v>
      </c>
      <c r="C16" s="43">
        <f t="shared" si="0"/>
        <v>6</v>
      </c>
      <c r="D16" s="39" t="s">
        <v>30</v>
      </c>
      <c r="E16" s="39" t="s">
        <v>85</v>
      </c>
      <c r="F16" s="39" t="s">
        <v>153</v>
      </c>
      <c r="G16" s="42">
        <v>0</v>
      </c>
      <c r="H16" s="42">
        <v>825</v>
      </c>
      <c r="I16" s="42">
        <f t="shared" si="1"/>
        <v>-825</v>
      </c>
      <c r="J16" s="39" t="s">
        <v>85</v>
      </c>
      <c r="K16" s="41">
        <v>1099435</v>
      </c>
      <c r="L16" s="39" t="s">
        <v>85</v>
      </c>
      <c r="M16" s="39" t="s">
        <v>19</v>
      </c>
      <c r="N16" s="39" t="s">
        <v>85</v>
      </c>
      <c r="O16" s="39" t="s">
        <v>87</v>
      </c>
      <c r="P16" s="39" t="s">
        <v>85</v>
      </c>
      <c r="Q16" s="40">
        <f>DATE(2019,6,4)</f>
        <v>43620</v>
      </c>
      <c r="R16" s="39" t="s">
        <v>88</v>
      </c>
      <c r="S16" s="39" t="s">
        <v>85</v>
      </c>
      <c r="T16" s="39" t="s">
        <v>89</v>
      </c>
      <c r="U16" s="39" t="s">
        <v>89</v>
      </c>
      <c r="V16" s="39" t="s">
        <v>90</v>
      </c>
    </row>
    <row r="17" spans="1:22" ht="17.45" customHeight="1" x14ac:dyDescent="0.25">
      <c r="A17" s="39" t="s">
        <v>29</v>
      </c>
      <c r="B17" s="40">
        <f>DATE(2019,6,3)</f>
        <v>43619</v>
      </c>
      <c r="C17" s="43">
        <f t="shared" si="0"/>
        <v>6</v>
      </c>
      <c r="D17" s="39" t="s">
        <v>30</v>
      </c>
      <c r="E17" s="39" t="s">
        <v>85</v>
      </c>
      <c r="F17" s="39" t="s">
        <v>154</v>
      </c>
      <c r="G17" s="42">
        <v>0</v>
      </c>
      <c r="H17" s="42">
        <v>715</v>
      </c>
      <c r="I17" s="42">
        <f t="shared" si="1"/>
        <v>-715</v>
      </c>
      <c r="J17" s="39" t="s">
        <v>85</v>
      </c>
      <c r="K17" s="41">
        <v>1099438</v>
      </c>
      <c r="L17" s="39" t="s">
        <v>85</v>
      </c>
      <c r="M17" s="39" t="s">
        <v>19</v>
      </c>
      <c r="N17" s="39" t="s">
        <v>85</v>
      </c>
      <c r="O17" s="39" t="s">
        <v>87</v>
      </c>
      <c r="P17" s="39" t="s">
        <v>85</v>
      </c>
      <c r="Q17" s="40">
        <f>DATE(2019,6,4)</f>
        <v>43620</v>
      </c>
      <c r="R17" s="39" t="s">
        <v>88</v>
      </c>
      <c r="S17" s="39" t="s">
        <v>85</v>
      </c>
      <c r="T17" s="39" t="s">
        <v>89</v>
      </c>
      <c r="U17" s="39" t="s">
        <v>89</v>
      </c>
      <c r="V17" s="39" t="s">
        <v>90</v>
      </c>
    </row>
    <row r="18" spans="1:22" ht="17.45" customHeight="1" x14ac:dyDescent="0.25">
      <c r="A18" s="39" t="s">
        <v>29</v>
      </c>
      <c r="B18" s="40">
        <f>DATE(2019,6,3)</f>
        <v>43619</v>
      </c>
      <c r="C18" s="43">
        <f t="shared" si="0"/>
        <v>6</v>
      </c>
      <c r="D18" s="39" t="s">
        <v>30</v>
      </c>
      <c r="E18" s="39" t="s">
        <v>85</v>
      </c>
      <c r="F18" s="39" t="s">
        <v>155</v>
      </c>
      <c r="G18" s="42">
        <v>0</v>
      </c>
      <c r="H18" s="42">
        <v>380</v>
      </c>
      <c r="I18" s="42">
        <f t="shared" si="1"/>
        <v>-380</v>
      </c>
      <c r="J18" s="39" t="s">
        <v>85</v>
      </c>
      <c r="K18" s="41">
        <v>1099437</v>
      </c>
      <c r="L18" s="39" t="s">
        <v>85</v>
      </c>
      <c r="M18" s="39" t="s">
        <v>19</v>
      </c>
      <c r="N18" s="39" t="s">
        <v>85</v>
      </c>
      <c r="O18" s="39" t="s">
        <v>87</v>
      </c>
      <c r="P18" s="39" t="s">
        <v>85</v>
      </c>
      <c r="Q18" s="40">
        <f>DATE(2019,6,4)</f>
        <v>43620</v>
      </c>
      <c r="R18" s="39" t="s">
        <v>88</v>
      </c>
      <c r="S18" s="39" t="s">
        <v>85</v>
      </c>
      <c r="T18" s="39" t="s">
        <v>89</v>
      </c>
      <c r="U18" s="39" t="s">
        <v>89</v>
      </c>
      <c r="V18" s="39" t="s">
        <v>90</v>
      </c>
    </row>
    <row r="19" spans="1:22" ht="17.45" customHeight="1" x14ac:dyDescent="0.25">
      <c r="A19" s="39" t="s">
        <v>29</v>
      </c>
      <c r="B19" s="40">
        <f>DATE(2019,6,3)</f>
        <v>43619</v>
      </c>
      <c r="C19" s="43">
        <f t="shared" si="0"/>
        <v>6</v>
      </c>
      <c r="D19" s="39" t="s">
        <v>30</v>
      </c>
      <c r="E19" s="39" t="s">
        <v>85</v>
      </c>
      <c r="F19" s="39" t="s">
        <v>156</v>
      </c>
      <c r="G19" s="42">
        <v>0</v>
      </c>
      <c r="H19" s="42">
        <v>65</v>
      </c>
      <c r="I19" s="42">
        <f t="shared" si="1"/>
        <v>-65</v>
      </c>
      <c r="J19" s="39" t="s">
        <v>85</v>
      </c>
      <c r="K19" s="41">
        <v>1099434</v>
      </c>
      <c r="L19" s="39" t="s">
        <v>85</v>
      </c>
      <c r="M19" s="39" t="s">
        <v>19</v>
      </c>
      <c r="N19" s="39" t="s">
        <v>85</v>
      </c>
      <c r="O19" s="39" t="s">
        <v>87</v>
      </c>
      <c r="P19" s="39" t="s">
        <v>85</v>
      </c>
      <c r="Q19" s="40">
        <f>DATE(2019,6,4)</f>
        <v>43620</v>
      </c>
      <c r="R19" s="39" t="s">
        <v>88</v>
      </c>
      <c r="S19" s="39" t="s">
        <v>85</v>
      </c>
      <c r="T19" s="39" t="s">
        <v>89</v>
      </c>
      <c r="U19" s="39" t="s">
        <v>89</v>
      </c>
      <c r="V19" s="39" t="s">
        <v>90</v>
      </c>
    </row>
    <row r="20" spans="1:22" ht="17.45" customHeight="1" x14ac:dyDescent="0.25">
      <c r="A20" s="39" t="s">
        <v>29</v>
      </c>
      <c r="B20" s="40">
        <f>DATE(2019,5,29)</f>
        <v>43614</v>
      </c>
      <c r="C20" s="43">
        <f t="shared" si="0"/>
        <v>5</v>
      </c>
      <c r="D20" s="39" t="s">
        <v>30</v>
      </c>
      <c r="E20" s="39" t="s">
        <v>85</v>
      </c>
      <c r="F20" s="39" t="s">
        <v>157</v>
      </c>
      <c r="G20" s="42">
        <v>0</v>
      </c>
      <c r="H20" s="42">
        <v>65</v>
      </c>
      <c r="I20" s="42">
        <f t="shared" si="1"/>
        <v>-65</v>
      </c>
      <c r="J20" s="39" t="s">
        <v>85</v>
      </c>
      <c r="K20" s="41">
        <v>1098400</v>
      </c>
      <c r="L20" s="39" t="s">
        <v>85</v>
      </c>
      <c r="M20" s="39" t="s">
        <v>19</v>
      </c>
      <c r="N20" s="39" t="s">
        <v>85</v>
      </c>
      <c r="O20" s="39" t="s">
        <v>87</v>
      </c>
      <c r="P20" s="39" t="s">
        <v>85</v>
      </c>
      <c r="Q20" s="40">
        <f>DATE(2019,5,30)</f>
        <v>43615</v>
      </c>
      <c r="R20" s="39" t="s">
        <v>88</v>
      </c>
      <c r="S20" s="39" t="s">
        <v>85</v>
      </c>
      <c r="T20" s="39" t="s">
        <v>89</v>
      </c>
      <c r="U20" s="39" t="s">
        <v>89</v>
      </c>
      <c r="V20" s="39" t="s">
        <v>90</v>
      </c>
    </row>
    <row r="21" spans="1:22" ht="17.45" customHeight="1" x14ac:dyDescent="0.25">
      <c r="A21" s="39" t="s">
        <v>29</v>
      </c>
      <c r="B21" s="40">
        <f>DATE(2019,2,27)</f>
        <v>43523</v>
      </c>
      <c r="C21" s="43">
        <f t="shared" si="0"/>
        <v>2</v>
      </c>
      <c r="D21" s="39" t="s">
        <v>30</v>
      </c>
      <c r="E21" s="39" t="s">
        <v>85</v>
      </c>
      <c r="F21" s="39" t="s">
        <v>158</v>
      </c>
      <c r="G21" s="42">
        <v>0</v>
      </c>
      <c r="H21" s="42">
        <v>185</v>
      </c>
      <c r="I21" s="42">
        <f t="shared" si="1"/>
        <v>-185</v>
      </c>
      <c r="J21" s="39" t="s">
        <v>85</v>
      </c>
      <c r="K21" s="41">
        <v>1084606</v>
      </c>
      <c r="L21" s="39" t="s">
        <v>85</v>
      </c>
      <c r="M21" s="39" t="s">
        <v>19</v>
      </c>
      <c r="N21" s="39" t="s">
        <v>85</v>
      </c>
      <c r="O21" s="39" t="s">
        <v>87</v>
      </c>
      <c r="P21" s="39" t="s">
        <v>85</v>
      </c>
      <c r="Q21" s="40">
        <f>DATE(2019,2,28)</f>
        <v>43524</v>
      </c>
      <c r="R21" s="39" t="s">
        <v>88</v>
      </c>
      <c r="S21" s="39" t="s">
        <v>85</v>
      </c>
      <c r="T21" s="39" t="s">
        <v>89</v>
      </c>
      <c r="U21" s="39" t="s">
        <v>89</v>
      </c>
      <c r="V21" s="39" t="s">
        <v>90</v>
      </c>
    </row>
    <row r="22" spans="1:22" ht="17.45" customHeight="1" x14ac:dyDescent="0.25">
      <c r="A22" s="39" t="s">
        <v>29</v>
      </c>
      <c r="B22" s="40">
        <f>DATE(2019,6,20)</f>
        <v>43636</v>
      </c>
      <c r="C22" s="43">
        <f t="shared" si="0"/>
        <v>6</v>
      </c>
      <c r="D22" s="39" t="s">
        <v>30</v>
      </c>
      <c r="E22" s="39" t="s">
        <v>85</v>
      </c>
      <c r="F22" s="39" t="s">
        <v>159</v>
      </c>
      <c r="G22" s="42">
        <v>0</v>
      </c>
      <c r="H22" s="42">
        <v>975</v>
      </c>
      <c r="I22" s="42">
        <f t="shared" si="1"/>
        <v>-975</v>
      </c>
      <c r="J22" s="39" t="s">
        <v>85</v>
      </c>
      <c r="K22" s="41">
        <v>1102207</v>
      </c>
      <c r="L22" s="39" t="s">
        <v>85</v>
      </c>
      <c r="M22" s="39" t="s">
        <v>19</v>
      </c>
      <c r="N22" s="39" t="s">
        <v>85</v>
      </c>
      <c r="O22" s="39" t="s">
        <v>87</v>
      </c>
      <c r="P22" s="39" t="s">
        <v>85</v>
      </c>
      <c r="Q22" s="40">
        <f>DATE(2019,6,24)</f>
        <v>43640</v>
      </c>
      <c r="R22" s="39" t="s">
        <v>88</v>
      </c>
      <c r="S22" s="39" t="s">
        <v>85</v>
      </c>
      <c r="T22" s="39" t="s">
        <v>89</v>
      </c>
      <c r="U22" s="39" t="s">
        <v>89</v>
      </c>
      <c r="V22" s="39" t="s">
        <v>90</v>
      </c>
    </row>
    <row r="23" spans="1:22" ht="17.45" customHeight="1" x14ac:dyDescent="0.25">
      <c r="A23" s="39" t="s">
        <v>29</v>
      </c>
      <c r="B23" s="40">
        <f>DATE(2019,6,20)</f>
        <v>43636</v>
      </c>
      <c r="C23" s="43">
        <f t="shared" si="0"/>
        <v>6</v>
      </c>
      <c r="D23" s="39" t="s">
        <v>30</v>
      </c>
      <c r="E23" s="39" t="s">
        <v>85</v>
      </c>
      <c r="F23" s="39" t="s">
        <v>160</v>
      </c>
      <c r="G23" s="42">
        <v>0</v>
      </c>
      <c r="H23" s="42">
        <v>770</v>
      </c>
      <c r="I23" s="42">
        <f t="shared" si="1"/>
        <v>-770</v>
      </c>
      <c r="J23" s="39" t="s">
        <v>85</v>
      </c>
      <c r="K23" s="41">
        <v>1102209</v>
      </c>
      <c r="L23" s="39" t="s">
        <v>85</v>
      </c>
      <c r="M23" s="39" t="s">
        <v>19</v>
      </c>
      <c r="N23" s="39" t="s">
        <v>85</v>
      </c>
      <c r="O23" s="39" t="s">
        <v>87</v>
      </c>
      <c r="P23" s="39" t="s">
        <v>85</v>
      </c>
      <c r="Q23" s="40">
        <f>DATE(2019,6,24)</f>
        <v>43640</v>
      </c>
      <c r="R23" s="39" t="s">
        <v>88</v>
      </c>
      <c r="S23" s="39" t="s">
        <v>85</v>
      </c>
      <c r="T23" s="39" t="s">
        <v>89</v>
      </c>
      <c r="U23" s="39" t="s">
        <v>89</v>
      </c>
      <c r="V23" s="39" t="s">
        <v>90</v>
      </c>
    </row>
    <row r="24" spans="1:22" ht="17.45" customHeight="1" x14ac:dyDescent="0.25">
      <c r="A24" s="39" t="s">
        <v>29</v>
      </c>
      <c r="B24" s="40">
        <f>DATE(2019,6,20)</f>
        <v>43636</v>
      </c>
      <c r="C24" s="43">
        <f t="shared" si="0"/>
        <v>6</v>
      </c>
      <c r="D24" s="39" t="s">
        <v>30</v>
      </c>
      <c r="E24" s="39" t="s">
        <v>85</v>
      </c>
      <c r="F24" s="39" t="s">
        <v>161</v>
      </c>
      <c r="G24" s="42">
        <v>0</v>
      </c>
      <c r="H24" s="42">
        <v>760</v>
      </c>
      <c r="I24" s="42">
        <f t="shared" si="1"/>
        <v>-760</v>
      </c>
      <c r="J24" s="39" t="s">
        <v>85</v>
      </c>
      <c r="K24" s="41">
        <v>1102208</v>
      </c>
      <c r="L24" s="39" t="s">
        <v>85</v>
      </c>
      <c r="M24" s="39" t="s">
        <v>19</v>
      </c>
      <c r="N24" s="39" t="s">
        <v>85</v>
      </c>
      <c r="O24" s="39" t="s">
        <v>87</v>
      </c>
      <c r="P24" s="39" t="s">
        <v>85</v>
      </c>
      <c r="Q24" s="40">
        <f>DATE(2019,6,24)</f>
        <v>43640</v>
      </c>
      <c r="R24" s="39" t="s">
        <v>88</v>
      </c>
      <c r="S24" s="39" t="s">
        <v>85</v>
      </c>
      <c r="T24" s="39" t="s">
        <v>89</v>
      </c>
      <c r="U24" s="39" t="s">
        <v>89</v>
      </c>
      <c r="V24" s="39" t="s">
        <v>90</v>
      </c>
    </row>
    <row r="25" spans="1:22" ht="17.45" customHeight="1" x14ac:dyDescent="0.25">
      <c r="A25" s="39" t="s">
        <v>29</v>
      </c>
      <c r="B25" s="40">
        <f>DATE(2019,6,20)</f>
        <v>43636</v>
      </c>
      <c r="C25" s="43">
        <f t="shared" si="0"/>
        <v>6</v>
      </c>
      <c r="D25" s="39" t="s">
        <v>30</v>
      </c>
      <c r="E25" s="39" t="s">
        <v>85</v>
      </c>
      <c r="F25" s="39" t="s">
        <v>162</v>
      </c>
      <c r="G25" s="42">
        <v>0</v>
      </c>
      <c r="H25" s="42">
        <v>260</v>
      </c>
      <c r="I25" s="42">
        <f t="shared" si="1"/>
        <v>-260</v>
      </c>
      <c r="J25" s="39" t="s">
        <v>85</v>
      </c>
      <c r="K25" s="41">
        <v>1102205</v>
      </c>
      <c r="L25" s="39" t="s">
        <v>85</v>
      </c>
      <c r="M25" s="39" t="s">
        <v>19</v>
      </c>
      <c r="N25" s="39" t="s">
        <v>85</v>
      </c>
      <c r="O25" s="39" t="s">
        <v>87</v>
      </c>
      <c r="P25" s="39" t="s">
        <v>85</v>
      </c>
      <c r="Q25" s="40">
        <f>DATE(2019,6,24)</f>
        <v>43640</v>
      </c>
      <c r="R25" s="39" t="s">
        <v>88</v>
      </c>
      <c r="S25" s="39" t="s">
        <v>85</v>
      </c>
      <c r="T25" s="39" t="s">
        <v>89</v>
      </c>
      <c r="U25" s="39" t="s">
        <v>89</v>
      </c>
      <c r="V25" s="39" t="s">
        <v>90</v>
      </c>
    </row>
    <row r="26" spans="1:22" ht="17.45" customHeight="1" x14ac:dyDescent="0.25">
      <c r="A26" s="39" t="s">
        <v>29</v>
      </c>
      <c r="B26" s="40">
        <f>DATE(2019,6,20)</f>
        <v>43636</v>
      </c>
      <c r="C26" s="43">
        <f t="shared" si="0"/>
        <v>6</v>
      </c>
      <c r="D26" s="39" t="s">
        <v>30</v>
      </c>
      <c r="E26" s="39" t="s">
        <v>85</v>
      </c>
      <c r="F26" s="39" t="s">
        <v>163</v>
      </c>
      <c r="G26" s="42">
        <v>0</v>
      </c>
      <c r="H26" s="42">
        <v>195</v>
      </c>
      <c r="I26" s="42">
        <f t="shared" si="1"/>
        <v>-195</v>
      </c>
      <c r="J26" s="39" t="s">
        <v>85</v>
      </c>
      <c r="K26" s="41">
        <v>1102206</v>
      </c>
      <c r="L26" s="39" t="s">
        <v>85</v>
      </c>
      <c r="M26" s="39" t="s">
        <v>19</v>
      </c>
      <c r="N26" s="39" t="s">
        <v>85</v>
      </c>
      <c r="O26" s="39" t="s">
        <v>87</v>
      </c>
      <c r="P26" s="39" t="s">
        <v>85</v>
      </c>
      <c r="Q26" s="40">
        <f>DATE(2019,6,24)</f>
        <v>43640</v>
      </c>
      <c r="R26" s="39" t="s">
        <v>88</v>
      </c>
      <c r="S26" s="39" t="s">
        <v>85</v>
      </c>
      <c r="T26" s="39" t="s">
        <v>89</v>
      </c>
      <c r="U26" s="39" t="s">
        <v>89</v>
      </c>
      <c r="V26" s="39" t="s">
        <v>90</v>
      </c>
    </row>
    <row r="27" spans="1:22" ht="17.45" customHeight="1" x14ac:dyDescent="0.25">
      <c r="A27" s="39" t="s">
        <v>29</v>
      </c>
      <c r="B27" s="40">
        <f>DATE(2019,6,28)</f>
        <v>43644</v>
      </c>
      <c r="C27" s="43">
        <f t="shared" si="0"/>
        <v>6</v>
      </c>
      <c r="D27" s="39" t="s">
        <v>30</v>
      </c>
      <c r="E27" s="39" t="s">
        <v>85</v>
      </c>
      <c r="F27" s="39" t="s">
        <v>164</v>
      </c>
      <c r="G27" s="42">
        <v>0</v>
      </c>
      <c r="H27" s="42">
        <v>65</v>
      </c>
      <c r="I27" s="42">
        <f t="shared" si="1"/>
        <v>-65</v>
      </c>
      <c r="J27" s="39" t="s">
        <v>85</v>
      </c>
      <c r="K27" s="41">
        <v>1102999</v>
      </c>
      <c r="L27" s="39" t="s">
        <v>85</v>
      </c>
      <c r="M27" s="39" t="s">
        <v>19</v>
      </c>
      <c r="N27" s="39" t="s">
        <v>85</v>
      </c>
      <c r="O27" s="39" t="s">
        <v>87</v>
      </c>
      <c r="P27" s="39" t="s">
        <v>85</v>
      </c>
      <c r="Q27" s="40">
        <f>DATE(2019,6,28)</f>
        <v>43644</v>
      </c>
      <c r="R27" s="39" t="s">
        <v>88</v>
      </c>
      <c r="S27" s="39" t="s">
        <v>85</v>
      </c>
      <c r="T27" s="39" t="s">
        <v>89</v>
      </c>
      <c r="U27" s="39" t="s">
        <v>89</v>
      </c>
      <c r="V27" s="39" t="s">
        <v>90</v>
      </c>
    </row>
    <row r="28" spans="1:22" ht="17.45" customHeight="1" x14ac:dyDescent="0.25">
      <c r="A28" s="39" t="s">
        <v>29</v>
      </c>
      <c r="B28" s="40">
        <f>DATE(2019,7,5)</f>
        <v>43651</v>
      </c>
      <c r="C28" s="43">
        <f t="shared" si="0"/>
        <v>7</v>
      </c>
      <c r="D28" s="39" t="s">
        <v>30</v>
      </c>
      <c r="E28" s="39" t="s">
        <v>85</v>
      </c>
      <c r="F28" s="39" t="s">
        <v>165</v>
      </c>
      <c r="G28" s="42">
        <v>0</v>
      </c>
      <c r="H28" s="42">
        <v>520</v>
      </c>
      <c r="I28" s="42">
        <f t="shared" si="1"/>
        <v>-520</v>
      </c>
      <c r="J28" s="39" t="s">
        <v>85</v>
      </c>
      <c r="K28" s="41">
        <v>1104223</v>
      </c>
      <c r="L28" s="39" t="s">
        <v>85</v>
      </c>
      <c r="M28" s="39" t="s">
        <v>19</v>
      </c>
      <c r="N28" s="39" t="s">
        <v>85</v>
      </c>
      <c r="O28" s="39" t="s">
        <v>87</v>
      </c>
      <c r="P28" s="39" t="s">
        <v>85</v>
      </c>
      <c r="Q28" s="40">
        <f>DATE(2019,7,5)</f>
        <v>43651</v>
      </c>
      <c r="R28" s="39" t="s">
        <v>88</v>
      </c>
      <c r="S28" s="39" t="s">
        <v>85</v>
      </c>
      <c r="T28" s="39" t="s">
        <v>89</v>
      </c>
      <c r="U28" s="39" t="s">
        <v>89</v>
      </c>
      <c r="V28" s="39" t="s">
        <v>90</v>
      </c>
    </row>
    <row r="29" spans="1:22" ht="17.45" customHeight="1" x14ac:dyDescent="0.25">
      <c r="A29" s="39" t="s">
        <v>29</v>
      </c>
      <c r="B29" s="40">
        <f>DATE(2019,7,5)</f>
        <v>43651</v>
      </c>
      <c r="C29" s="43">
        <f t="shared" si="0"/>
        <v>7</v>
      </c>
      <c r="D29" s="39" t="s">
        <v>30</v>
      </c>
      <c r="E29" s="39" t="s">
        <v>85</v>
      </c>
      <c r="F29" s="39" t="s">
        <v>166</v>
      </c>
      <c r="G29" s="42">
        <v>0</v>
      </c>
      <c r="H29" s="42">
        <v>890</v>
      </c>
      <c r="I29" s="42">
        <f t="shared" si="1"/>
        <v>-890</v>
      </c>
      <c r="J29" s="39" t="s">
        <v>85</v>
      </c>
      <c r="K29" s="41">
        <v>1104222</v>
      </c>
      <c r="L29" s="39" t="s">
        <v>85</v>
      </c>
      <c r="M29" s="39" t="s">
        <v>19</v>
      </c>
      <c r="N29" s="39" t="s">
        <v>85</v>
      </c>
      <c r="O29" s="39" t="s">
        <v>87</v>
      </c>
      <c r="P29" s="39" t="s">
        <v>85</v>
      </c>
      <c r="Q29" s="40">
        <f>DATE(2019,7,5)</f>
        <v>43651</v>
      </c>
      <c r="R29" s="39" t="s">
        <v>88</v>
      </c>
      <c r="S29" s="39" t="s">
        <v>85</v>
      </c>
      <c r="T29" s="39" t="s">
        <v>89</v>
      </c>
      <c r="U29" s="39" t="s">
        <v>89</v>
      </c>
      <c r="V29" s="39" t="s">
        <v>90</v>
      </c>
    </row>
    <row r="30" spans="1:22" ht="17.45" customHeight="1" x14ac:dyDescent="0.25">
      <c r="A30" s="39" t="s">
        <v>29</v>
      </c>
      <c r="B30" s="40">
        <f>DATE(2019,7,5)</f>
        <v>43651</v>
      </c>
      <c r="C30" s="43">
        <f t="shared" si="0"/>
        <v>7</v>
      </c>
      <c r="D30" s="39" t="s">
        <v>30</v>
      </c>
      <c r="E30" s="39" t="s">
        <v>85</v>
      </c>
      <c r="F30" s="39" t="s">
        <v>167</v>
      </c>
      <c r="G30" s="42">
        <v>0</v>
      </c>
      <c r="H30" s="42">
        <v>1325</v>
      </c>
      <c r="I30" s="42">
        <f t="shared" si="1"/>
        <v>-1325</v>
      </c>
      <c r="J30" s="39" t="s">
        <v>85</v>
      </c>
      <c r="K30" s="41">
        <v>1104221</v>
      </c>
      <c r="L30" s="39" t="s">
        <v>85</v>
      </c>
      <c r="M30" s="39" t="s">
        <v>19</v>
      </c>
      <c r="N30" s="39" t="s">
        <v>85</v>
      </c>
      <c r="O30" s="39" t="s">
        <v>87</v>
      </c>
      <c r="P30" s="39" t="s">
        <v>85</v>
      </c>
      <c r="Q30" s="40">
        <f>DATE(2019,7,5)</f>
        <v>43651</v>
      </c>
      <c r="R30" s="39" t="s">
        <v>88</v>
      </c>
      <c r="S30" s="39" t="s">
        <v>85</v>
      </c>
      <c r="T30" s="39" t="s">
        <v>89</v>
      </c>
      <c r="U30" s="39" t="s">
        <v>89</v>
      </c>
      <c r="V30" s="39" t="s">
        <v>90</v>
      </c>
    </row>
    <row r="31" spans="1:22" ht="17.45" customHeight="1" x14ac:dyDescent="0.25">
      <c r="A31" s="39" t="s">
        <v>29</v>
      </c>
      <c r="B31" s="40">
        <f>DATE(2019,7,8)</f>
        <v>43654</v>
      </c>
      <c r="C31" s="43">
        <f t="shared" si="0"/>
        <v>7</v>
      </c>
      <c r="D31" s="39" t="s">
        <v>30</v>
      </c>
      <c r="E31" s="39" t="s">
        <v>85</v>
      </c>
      <c r="F31" s="39" t="s">
        <v>168</v>
      </c>
      <c r="G31" s="42">
        <v>0</v>
      </c>
      <c r="H31" s="42">
        <v>325</v>
      </c>
      <c r="I31" s="42">
        <f t="shared" si="1"/>
        <v>-325</v>
      </c>
      <c r="J31" s="39" t="s">
        <v>85</v>
      </c>
      <c r="K31" s="41">
        <v>1104393</v>
      </c>
      <c r="L31" s="39" t="s">
        <v>85</v>
      </c>
      <c r="M31" s="39" t="s">
        <v>19</v>
      </c>
      <c r="N31" s="39" t="s">
        <v>85</v>
      </c>
      <c r="O31" s="39" t="s">
        <v>87</v>
      </c>
      <c r="P31" s="39" t="s">
        <v>85</v>
      </c>
      <c r="Q31" s="40">
        <f>DATE(2019,7,9)</f>
        <v>43655</v>
      </c>
      <c r="R31" s="39" t="s">
        <v>88</v>
      </c>
      <c r="S31" s="39" t="s">
        <v>85</v>
      </c>
      <c r="T31" s="39" t="s">
        <v>89</v>
      </c>
      <c r="U31" s="39" t="s">
        <v>89</v>
      </c>
      <c r="V31" s="39" t="s">
        <v>90</v>
      </c>
    </row>
    <row r="32" spans="1:22" ht="17.45" customHeight="1" x14ac:dyDescent="0.25">
      <c r="A32" s="39" t="s">
        <v>29</v>
      </c>
      <c r="B32" s="40">
        <f>DATE(2019,7,22)</f>
        <v>43668</v>
      </c>
      <c r="C32" s="43">
        <f t="shared" si="0"/>
        <v>7</v>
      </c>
      <c r="D32" s="39" t="s">
        <v>30</v>
      </c>
      <c r="E32" s="39" t="s">
        <v>85</v>
      </c>
      <c r="F32" s="39" t="s">
        <v>169</v>
      </c>
      <c r="G32" s="42">
        <v>0</v>
      </c>
      <c r="H32" s="42">
        <v>630</v>
      </c>
      <c r="I32" s="42">
        <f t="shared" si="1"/>
        <v>-630</v>
      </c>
      <c r="J32" s="39" t="s">
        <v>85</v>
      </c>
      <c r="K32" s="41">
        <v>1107100</v>
      </c>
      <c r="L32" s="39" t="s">
        <v>85</v>
      </c>
      <c r="M32" s="39" t="s">
        <v>19</v>
      </c>
      <c r="N32" s="39" t="s">
        <v>85</v>
      </c>
      <c r="O32" s="39" t="s">
        <v>87</v>
      </c>
      <c r="P32" s="39" t="s">
        <v>85</v>
      </c>
      <c r="Q32" s="40">
        <f>DATE(2019,7,23)</f>
        <v>43669</v>
      </c>
      <c r="R32" s="39" t="s">
        <v>88</v>
      </c>
      <c r="S32" s="39" t="s">
        <v>85</v>
      </c>
      <c r="T32" s="39" t="s">
        <v>89</v>
      </c>
      <c r="U32" s="39" t="s">
        <v>89</v>
      </c>
      <c r="V32" s="39" t="s">
        <v>90</v>
      </c>
    </row>
    <row r="33" spans="1:22" ht="17.45" customHeight="1" x14ac:dyDescent="0.25">
      <c r="A33" s="39" t="s">
        <v>29</v>
      </c>
      <c r="B33" s="40">
        <f>DATE(2019,7,8)</f>
        <v>43654</v>
      </c>
      <c r="C33" s="43">
        <f t="shared" si="0"/>
        <v>7</v>
      </c>
      <c r="D33" s="39" t="s">
        <v>30</v>
      </c>
      <c r="E33" s="39" t="s">
        <v>85</v>
      </c>
      <c r="F33" s="39" t="s">
        <v>170</v>
      </c>
      <c r="G33" s="42">
        <v>0</v>
      </c>
      <c r="H33" s="42">
        <v>325</v>
      </c>
      <c r="I33" s="42">
        <f t="shared" si="1"/>
        <v>-325</v>
      </c>
      <c r="J33" s="39" t="s">
        <v>85</v>
      </c>
      <c r="K33" s="41">
        <v>1104394</v>
      </c>
      <c r="L33" s="39" t="s">
        <v>85</v>
      </c>
      <c r="M33" s="39" t="s">
        <v>19</v>
      </c>
      <c r="N33" s="39" t="s">
        <v>85</v>
      </c>
      <c r="O33" s="39" t="s">
        <v>87</v>
      </c>
      <c r="P33" s="39" t="s">
        <v>85</v>
      </c>
      <c r="Q33" s="40">
        <f>DATE(2019,7,9)</f>
        <v>43655</v>
      </c>
      <c r="R33" s="39" t="s">
        <v>88</v>
      </c>
      <c r="S33" s="39" t="s">
        <v>85</v>
      </c>
      <c r="T33" s="39" t="s">
        <v>89</v>
      </c>
      <c r="U33" s="39" t="s">
        <v>89</v>
      </c>
      <c r="V33" s="39" t="s">
        <v>90</v>
      </c>
    </row>
    <row r="34" spans="1:22" ht="17.45" customHeight="1" x14ac:dyDescent="0.25">
      <c r="A34" s="39" t="s">
        <v>29</v>
      </c>
      <c r="B34" s="40">
        <f>DATE(2019,7,8)</f>
        <v>43654</v>
      </c>
      <c r="C34" s="43">
        <f t="shared" si="0"/>
        <v>7</v>
      </c>
      <c r="D34" s="39" t="s">
        <v>30</v>
      </c>
      <c r="E34" s="39" t="s">
        <v>85</v>
      </c>
      <c r="F34" s="39" t="s">
        <v>171</v>
      </c>
      <c r="G34" s="42">
        <v>0</v>
      </c>
      <c r="H34" s="42">
        <v>780</v>
      </c>
      <c r="I34" s="42">
        <f t="shared" si="1"/>
        <v>-780</v>
      </c>
      <c r="J34" s="39" t="s">
        <v>85</v>
      </c>
      <c r="K34" s="41">
        <v>1104396</v>
      </c>
      <c r="L34" s="39" t="s">
        <v>85</v>
      </c>
      <c r="M34" s="39" t="s">
        <v>19</v>
      </c>
      <c r="N34" s="39" t="s">
        <v>85</v>
      </c>
      <c r="O34" s="39" t="s">
        <v>87</v>
      </c>
      <c r="P34" s="39" t="s">
        <v>85</v>
      </c>
      <c r="Q34" s="40">
        <f>DATE(2019,7,9)</f>
        <v>43655</v>
      </c>
      <c r="R34" s="39" t="s">
        <v>88</v>
      </c>
      <c r="S34" s="39" t="s">
        <v>85</v>
      </c>
      <c r="T34" s="39" t="s">
        <v>89</v>
      </c>
      <c r="U34" s="39" t="s">
        <v>89</v>
      </c>
      <c r="V34" s="39" t="s">
        <v>90</v>
      </c>
    </row>
    <row r="35" spans="1:22" ht="17.45" customHeight="1" x14ac:dyDescent="0.25">
      <c r="A35" s="39" t="s">
        <v>29</v>
      </c>
      <c r="B35" s="40">
        <f>DATE(2019,7,8)</f>
        <v>43654</v>
      </c>
      <c r="C35" s="43">
        <f t="shared" si="0"/>
        <v>7</v>
      </c>
      <c r="D35" s="39" t="s">
        <v>30</v>
      </c>
      <c r="E35" s="39" t="s">
        <v>85</v>
      </c>
      <c r="F35" s="39" t="s">
        <v>172</v>
      </c>
      <c r="G35" s="42">
        <v>0</v>
      </c>
      <c r="H35" s="42">
        <v>1345</v>
      </c>
      <c r="I35" s="42">
        <f t="shared" si="1"/>
        <v>-1345</v>
      </c>
      <c r="J35" s="39" t="s">
        <v>85</v>
      </c>
      <c r="K35" s="41">
        <v>1104395</v>
      </c>
      <c r="L35" s="39" t="s">
        <v>85</v>
      </c>
      <c r="M35" s="39" t="s">
        <v>19</v>
      </c>
      <c r="N35" s="39" t="s">
        <v>85</v>
      </c>
      <c r="O35" s="39" t="s">
        <v>87</v>
      </c>
      <c r="P35" s="39" t="s">
        <v>85</v>
      </c>
      <c r="Q35" s="40">
        <f>DATE(2019,7,9)</f>
        <v>43655</v>
      </c>
      <c r="R35" s="39" t="s">
        <v>88</v>
      </c>
      <c r="S35" s="39" t="s">
        <v>85</v>
      </c>
      <c r="T35" s="39" t="s">
        <v>89</v>
      </c>
      <c r="U35" s="39" t="s">
        <v>89</v>
      </c>
      <c r="V35" s="39" t="s">
        <v>90</v>
      </c>
    </row>
    <row r="36" spans="1:22" ht="17.45" customHeight="1" x14ac:dyDescent="0.25">
      <c r="A36" s="39" t="s">
        <v>29</v>
      </c>
      <c r="B36" s="40">
        <f>DATE(2019,7,19)</f>
        <v>43665</v>
      </c>
      <c r="C36" s="43">
        <f t="shared" si="0"/>
        <v>7</v>
      </c>
      <c r="D36" s="39" t="s">
        <v>30</v>
      </c>
      <c r="E36" s="39" t="s">
        <v>85</v>
      </c>
      <c r="F36" s="39" t="s">
        <v>173</v>
      </c>
      <c r="G36" s="42">
        <v>0</v>
      </c>
      <c r="H36" s="42">
        <v>65</v>
      </c>
      <c r="I36" s="42">
        <f t="shared" si="1"/>
        <v>-65</v>
      </c>
      <c r="J36" s="39" t="s">
        <v>85</v>
      </c>
      <c r="K36" s="41">
        <v>1107095</v>
      </c>
      <c r="L36" s="39" t="s">
        <v>85</v>
      </c>
      <c r="M36" s="39" t="s">
        <v>19</v>
      </c>
      <c r="N36" s="39" t="s">
        <v>85</v>
      </c>
      <c r="O36" s="39" t="s">
        <v>87</v>
      </c>
      <c r="P36" s="39" t="s">
        <v>85</v>
      </c>
      <c r="Q36" s="40">
        <f>DATE(2019,7,23)</f>
        <v>43669</v>
      </c>
      <c r="R36" s="39" t="s">
        <v>88</v>
      </c>
      <c r="S36" s="39" t="s">
        <v>85</v>
      </c>
      <c r="T36" s="39" t="s">
        <v>89</v>
      </c>
      <c r="U36" s="39" t="s">
        <v>89</v>
      </c>
      <c r="V36" s="39" t="s">
        <v>90</v>
      </c>
    </row>
    <row r="37" spans="1:22" ht="17.45" customHeight="1" x14ac:dyDescent="0.25">
      <c r="A37" s="39" t="s">
        <v>29</v>
      </c>
      <c r="B37" s="40">
        <f>DATE(2019,7,9)</f>
        <v>43655</v>
      </c>
      <c r="C37" s="43">
        <f t="shared" si="0"/>
        <v>7</v>
      </c>
      <c r="D37" s="39" t="s">
        <v>30</v>
      </c>
      <c r="E37" s="39" t="s">
        <v>85</v>
      </c>
      <c r="F37" s="39" t="s">
        <v>174</v>
      </c>
      <c r="G37" s="42">
        <v>0</v>
      </c>
      <c r="H37" s="42">
        <v>455</v>
      </c>
      <c r="I37" s="42">
        <f t="shared" si="1"/>
        <v>-455</v>
      </c>
      <c r="J37" s="39" t="s">
        <v>85</v>
      </c>
      <c r="K37" s="41">
        <v>1104683</v>
      </c>
      <c r="L37" s="39" t="s">
        <v>85</v>
      </c>
      <c r="M37" s="39" t="s">
        <v>19</v>
      </c>
      <c r="N37" s="39" t="s">
        <v>85</v>
      </c>
      <c r="O37" s="39" t="s">
        <v>87</v>
      </c>
      <c r="P37" s="39" t="s">
        <v>85</v>
      </c>
      <c r="Q37" s="40">
        <f>DATE(2019,7,10)</f>
        <v>43656</v>
      </c>
      <c r="R37" s="39" t="s">
        <v>88</v>
      </c>
      <c r="S37" s="39" t="s">
        <v>85</v>
      </c>
      <c r="T37" s="39" t="s">
        <v>89</v>
      </c>
      <c r="U37" s="39" t="s">
        <v>89</v>
      </c>
      <c r="V37" s="39" t="s">
        <v>90</v>
      </c>
    </row>
    <row r="38" spans="1:22" ht="17.45" customHeight="1" x14ac:dyDescent="0.25">
      <c r="A38" s="39" t="s">
        <v>29</v>
      </c>
      <c r="B38" s="40">
        <f>DATE(2019,7,10)</f>
        <v>43656</v>
      </c>
      <c r="C38" s="43">
        <f t="shared" si="0"/>
        <v>7</v>
      </c>
      <c r="D38" s="39" t="s">
        <v>30</v>
      </c>
      <c r="E38" s="39" t="s">
        <v>85</v>
      </c>
      <c r="F38" s="39" t="s">
        <v>175</v>
      </c>
      <c r="G38" s="42">
        <v>0</v>
      </c>
      <c r="H38" s="42">
        <v>455</v>
      </c>
      <c r="I38" s="42">
        <f t="shared" si="1"/>
        <v>-455</v>
      </c>
      <c r="J38" s="39" t="s">
        <v>85</v>
      </c>
      <c r="K38" s="41">
        <v>1104703</v>
      </c>
      <c r="L38" s="39" t="s">
        <v>85</v>
      </c>
      <c r="M38" s="39" t="s">
        <v>19</v>
      </c>
      <c r="N38" s="39" t="s">
        <v>85</v>
      </c>
      <c r="O38" s="39" t="s">
        <v>87</v>
      </c>
      <c r="P38" s="39" t="s">
        <v>85</v>
      </c>
      <c r="Q38" s="40">
        <f>DATE(2019,7,11)</f>
        <v>43657</v>
      </c>
      <c r="R38" s="39" t="s">
        <v>88</v>
      </c>
      <c r="S38" s="39" t="s">
        <v>85</v>
      </c>
      <c r="T38" s="39" t="s">
        <v>89</v>
      </c>
      <c r="U38" s="39" t="s">
        <v>89</v>
      </c>
      <c r="V38" s="39" t="s">
        <v>90</v>
      </c>
    </row>
    <row r="39" spans="1:22" ht="17.45" customHeight="1" x14ac:dyDescent="0.25">
      <c r="A39" s="39" t="s">
        <v>29</v>
      </c>
      <c r="B39" s="40">
        <f>DATE(2019,7,10)</f>
        <v>43656</v>
      </c>
      <c r="C39" s="43">
        <f t="shared" si="0"/>
        <v>7</v>
      </c>
      <c r="D39" s="39" t="s">
        <v>30</v>
      </c>
      <c r="E39" s="39" t="s">
        <v>85</v>
      </c>
      <c r="F39" s="39" t="s">
        <v>176</v>
      </c>
      <c r="G39" s="42">
        <v>0</v>
      </c>
      <c r="H39" s="42">
        <v>835</v>
      </c>
      <c r="I39" s="42">
        <f t="shared" si="1"/>
        <v>-835</v>
      </c>
      <c r="J39" s="39" t="s">
        <v>85</v>
      </c>
      <c r="K39" s="41">
        <v>1104704</v>
      </c>
      <c r="L39" s="39" t="s">
        <v>85</v>
      </c>
      <c r="M39" s="39" t="s">
        <v>19</v>
      </c>
      <c r="N39" s="39" t="s">
        <v>85</v>
      </c>
      <c r="O39" s="39" t="s">
        <v>87</v>
      </c>
      <c r="P39" s="39" t="s">
        <v>85</v>
      </c>
      <c r="Q39" s="40">
        <f>DATE(2019,7,11)</f>
        <v>43657</v>
      </c>
      <c r="R39" s="39" t="s">
        <v>88</v>
      </c>
      <c r="S39" s="39" t="s">
        <v>85</v>
      </c>
      <c r="T39" s="39" t="s">
        <v>89</v>
      </c>
      <c r="U39" s="39" t="s">
        <v>89</v>
      </c>
      <c r="V39" s="39" t="s">
        <v>90</v>
      </c>
    </row>
    <row r="40" spans="1:22" ht="17.45" customHeight="1" x14ac:dyDescent="0.25">
      <c r="A40" s="39" t="s">
        <v>29</v>
      </c>
      <c r="B40" s="40">
        <f>DATE(2019,7,12)</f>
        <v>43658</v>
      </c>
      <c r="C40" s="43">
        <f t="shared" si="0"/>
        <v>7</v>
      </c>
      <c r="D40" s="39" t="s">
        <v>30</v>
      </c>
      <c r="E40" s="39" t="s">
        <v>85</v>
      </c>
      <c r="F40" s="39" t="s">
        <v>177</v>
      </c>
      <c r="G40" s="42">
        <v>0</v>
      </c>
      <c r="H40" s="42">
        <v>445</v>
      </c>
      <c r="I40" s="42">
        <f t="shared" si="1"/>
        <v>-445</v>
      </c>
      <c r="J40" s="39" t="s">
        <v>85</v>
      </c>
      <c r="K40" s="41">
        <v>1105791</v>
      </c>
      <c r="L40" s="39" t="s">
        <v>85</v>
      </c>
      <c r="M40" s="39" t="s">
        <v>19</v>
      </c>
      <c r="N40" s="39" t="s">
        <v>85</v>
      </c>
      <c r="O40" s="39" t="s">
        <v>87</v>
      </c>
      <c r="P40" s="39" t="s">
        <v>85</v>
      </c>
      <c r="Q40" s="40">
        <f>DATE(2019,7,15)</f>
        <v>43661</v>
      </c>
      <c r="R40" s="39" t="s">
        <v>88</v>
      </c>
      <c r="S40" s="39" t="s">
        <v>85</v>
      </c>
      <c r="T40" s="39" t="s">
        <v>89</v>
      </c>
      <c r="U40" s="39" t="s">
        <v>89</v>
      </c>
      <c r="V40" s="39" t="s">
        <v>90</v>
      </c>
    </row>
    <row r="41" spans="1:22" ht="17.45" customHeight="1" x14ac:dyDescent="0.25">
      <c r="A41" s="39" t="s">
        <v>29</v>
      </c>
      <c r="B41" s="40">
        <f>DATE(2019,7,16)</f>
        <v>43662</v>
      </c>
      <c r="C41" s="43">
        <f t="shared" si="0"/>
        <v>7</v>
      </c>
      <c r="D41" s="39" t="s">
        <v>30</v>
      </c>
      <c r="E41" s="39" t="s">
        <v>85</v>
      </c>
      <c r="F41" s="39" t="s">
        <v>178</v>
      </c>
      <c r="G41" s="42">
        <v>0</v>
      </c>
      <c r="H41" s="42">
        <v>130</v>
      </c>
      <c r="I41" s="42">
        <f t="shared" si="1"/>
        <v>-130</v>
      </c>
      <c r="J41" s="39" t="s">
        <v>85</v>
      </c>
      <c r="K41" s="41">
        <v>1105912</v>
      </c>
      <c r="L41" s="39" t="s">
        <v>85</v>
      </c>
      <c r="M41" s="39" t="s">
        <v>19</v>
      </c>
      <c r="N41" s="39" t="s">
        <v>85</v>
      </c>
      <c r="O41" s="39" t="s">
        <v>87</v>
      </c>
      <c r="P41" s="39" t="s">
        <v>85</v>
      </c>
      <c r="Q41" s="40">
        <f>DATE(2019,7,16)</f>
        <v>43662</v>
      </c>
      <c r="R41" s="39" t="s">
        <v>88</v>
      </c>
      <c r="S41" s="39" t="s">
        <v>85</v>
      </c>
      <c r="T41" s="39" t="s">
        <v>89</v>
      </c>
      <c r="U41" s="39" t="s">
        <v>89</v>
      </c>
      <c r="V41" s="39" t="s">
        <v>90</v>
      </c>
    </row>
    <row r="42" spans="1:22" ht="17.45" customHeight="1" x14ac:dyDescent="0.25">
      <c r="A42" s="39" t="s">
        <v>29</v>
      </c>
      <c r="B42" s="40">
        <f>DATE(2019,7,19)</f>
        <v>43665</v>
      </c>
      <c r="C42" s="43">
        <f t="shared" si="0"/>
        <v>7</v>
      </c>
      <c r="D42" s="39" t="s">
        <v>30</v>
      </c>
      <c r="E42" s="39" t="s">
        <v>85</v>
      </c>
      <c r="F42" s="39" t="s">
        <v>179</v>
      </c>
      <c r="G42" s="42">
        <v>0</v>
      </c>
      <c r="H42" s="42">
        <v>315</v>
      </c>
      <c r="I42" s="42">
        <f t="shared" si="1"/>
        <v>-315</v>
      </c>
      <c r="J42" s="39" t="s">
        <v>85</v>
      </c>
      <c r="K42" s="41">
        <v>1107094</v>
      </c>
      <c r="L42" s="39" t="s">
        <v>85</v>
      </c>
      <c r="M42" s="39" t="s">
        <v>19</v>
      </c>
      <c r="N42" s="39" t="s">
        <v>85</v>
      </c>
      <c r="O42" s="39" t="s">
        <v>87</v>
      </c>
      <c r="P42" s="39" t="s">
        <v>85</v>
      </c>
      <c r="Q42" s="40">
        <f>DATE(2019,7,23)</f>
        <v>43669</v>
      </c>
      <c r="R42" s="39" t="s">
        <v>88</v>
      </c>
      <c r="S42" s="39" t="s">
        <v>85</v>
      </c>
      <c r="T42" s="39" t="s">
        <v>89</v>
      </c>
      <c r="U42" s="39" t="s">
        <v>89</v>
      </c>
      <c r="V42" s="39" t="s">
        <v>90</v>
      </c>
    </row>
    <row r="43" spans="1:22" ht="17.45" customHeight="1" x14ac:dyDescent="0.25">
      <c r="A43" s="39" t="s">
        <v>29</v>
      </c>
      <c r="B43" s="40">
        <f>DATE(2019,7,19)</f>
        <v>43665</v>
      </c>
      <c r="C43" s="43">
        <f t="shared" si="0"/>
        <v>7</v>
      </c>
      <c r="D43" s="39" t="s">
        <v>30</v>
      </c>
      <c r="E43" s="39" t="s">
        <v>85</v>
      </c>
      <c r="F43" s="39" t="s">
        <v>180</v>
      </c>
      <c r="G43" s="42">
        <v>0</v>
      </c>
      <c r="H43" s="42">
        <v>325</v>
      </c>
      <c r="I43" s="42">
        <f t="shared" si="1"/>
        <v>-325</v>
      </c>
      <c r="J43" s="39" t="s">
        <v>85</v>
      </c>
      <c r="K43" s="41">
        <v>1107096</v>
      </c>
      <c r="L43" s="39" t="s">
        <v>85</v>
      </c>
      <c r="M43" s="39" t="s">
        <v>19</v>
      </c>
      <c r="N43" s="39" t="s">
        <v>85</v>
      </c>
      <c r="O43" s="39" t="s">
        <v>87</v>
      </c>
      <c r="P43" s="39" t="s">
        <v>85</v>
      </c>
      <c r="Q43" s="40">
        <f>DATE(2019,7,23)</f>
        <v>43669</v>
      </c>
      <c r="R43" s="39" t="s">
        <v>88</v>
      </c>
      <c r="S43" s="39" t="s">
        <v>85</v>
      </c>
      <c r="T43" s="39" t="s">
        <v>89</v>
      </c>
      <c r="U43" s="39" t="s">
        <v>89</v>
      </c>
      <c r="V43" s="39" t="s">
        <v>90</v>
      </c>
    </row>
    <row r="44" spans="1:22" ht="17.45" customHeight="1" x14ac:dyDescent="0.25">
      <c r="A44" s="39" t="s">
        <v>29</v>
      </c>
      <c r="B44" s="40">
        <f>DATE(2019,7,22)</f>
        <v>43668</v>
      </c>
      <c r="C44" s="43">
        <f t="shared" si="0"/>
        <v>7</v>
      </c>
      <c r="D44" s="39" t="s">
        <v>30</v>
      </c>
      <c r="E44" s="39" t="s">
        <v>85</v>
      </c>
      <c r="F44" s="39" t="s">
        <v>181</v>
      </c>
      <c r="G44" s="42">
        <v>0</v>
      </c>
      <c r="H44" s="42">
        <v>455</v>
      </c>
      <c r="I44" s="42">
        <f t="shared" si="1"/>
        <v>-455</v>
      </c>
      <c r="J44" s="39" t="s">
        <v>85</v>
      </c>
      <c r="K44" s="41">
        <v>1107099</v>
      </c>
      <c r="L44" s="39" t="s">
        <v>85</v>
      </c>
      <c r="M44" s="39" t="s">
        <v>19</v>
      </c>
      <c r="N44" s="39" t="s">
        <v>85</v>
      </c>
      <c r="O44" s="39" t="s">
        <v>87</v>
      </c>
      <c r="P44" s="39" t="s">
        <v>85</v>
      </c>
      <c r="Q44" s="40">
        <f>DATE(2019,7,23)</f>
        <v>43669</v>
      </c>
      <c r="R44" s="39" t="s">
        <v>88</v>
      </c>
      <c r="S44" s="39" t="s">
        <v>85</v>
      </c>
      <c r="T44" s="39" t="s">
        <v>89</v>
      </c>
      <c r="U44" s="39" t="s">
        <v>89</v>
      </c>
      <c r="V44" s="39" t="s">
        <v>90</v>
      </c>
    </row>
    <row r="45" spans="1:22" ht="17.45" customHeight="1" x14ac:dyDescent="0.25">
      <c r="A45" s="39" t="s">
        <v>29</v>
      </c>
      <c r="B45" s="40">
        <f>DATE(2019,7,9)</f>
        <v>43655</v>
      </c>
      <c r="C45" s="43">
        <f t="shared" si="0"/>
        <v>7</v>
      </c>
      <c r="D45" s="39" t="s">
        <v>30</v>
      </c>
      <c r="E45" s="39" t="s">
        <v>85</v>
      </c>
      <c r="F45" s="39" t="s">
        <v>182</v>
      </c>
      <c r="G45" s="42">
        <v>0</v>
      </c>
      <c r="H45" s="42">
        <v>65</v>
      </c>
      <c r="I45" s="42">
        <f t="shared" si="1"/>
        <v>-65</v>
      </c>
      <c r="J45" s="39" t="s">
        <v>85</v>
      </c>
      <c r="K45" s="41">
        <v>1104679</v>
      </c>
      <c r="L45" s="39" t="s">
        <v>85</v>
      </c>
      <c r="M45" s="39" t="s">
        <v>19</v>
      </c>
      <c r="N45" s="39" t="s">
        <v>85</v>
      </c>
      <c r="O45" s="39" t="s">
        <v>87</v>
      </c>
      <c r="P45" s="39" t="s">
        <v>85</v>
      </c>
      <c r="Q45" s="40">
        <f>DATE(2019,7,10)</f>
        <v>43656</v>
      </c>
      <c r="R45" s="39" t="s">
        <v>88</v>
      </c>
      <c r="S45" s="39" t="s">
        <v>85</v>
      </c>
      <c r="T45" s="39" t="s">
        <v>89</v>
      </c>
      <c r="U45" s="39" t="s">
        <v>89</v>
      </c>
      <c r="V45" s="39" t="s">
        <v>90</v>
      </c>
    </row>
    <row r="46" spans="1:22" ht="17.45" customHeight="1" x14ac:dyDescent="0.25">
      <c r="A46" s="39" t="s">
        <v>29</v>
      </c>
      <c r="B46" s="40">
        <f>DATE(2019,7,9)</f>
        <v>43655</v>
      </c>
      <c r="C46" s="43">
        <f t="shared" si="0"/>
        <v>7</v>
      </c>
      <c r="D46" s="39" t="s">
        <v>30</v>
      </c>
      <c r="E46" s="39" t="s">
        <v>85</v>
      </c>
      <c r="F46" s="39" t="s">
        <v>183</v>
      </c>
      <c r="G46" s="42">
        <v>0</v>
      </c>
      <c r="H46" s="42">
        <v>260</v>
      </c>
      <c r="I46" s="42">
        <f t="shared" si="1"/>
        <v>-260</v>
      </c>
      <c r="J46" s="39" t="s">
        <v>85</v>
      </c>
      <c r="K46" s="41">
        <v>1104681</v>
      </c>
      <c r="L46" s="39" t="s">
        <v>85</v>
      </c>
      <c r="M46" s="39" t="s">
        <v>19</v>
      </c>
      <c r="N46" s="39" t="s">
        <v>85</v>
      </c>
      <c r="O46" s="39" t="s">
        <v>87</v>
      </c>
      <c r="P46" s="39" t="s">
        <v>85</v>
      </c>
      <c r="Q46" s="40">
        <f>DATE(2019,7,10)</f>
        <v>43656</v>
      </c>
      <c r="R46" s="39" t="s">
        <v>88</v>
      </c>
      <c r="S46" s="39" t="s">
        <v>85</v>
      </c>
      <c r="T46" s="39" t="s">
        <v>89</v>
      </c>
      <c r="U46" s="39" t="s">
        <v>89</v>
      </c>
      <c r="V46" s="39" t="s">
        <v>90</v>
      </c>
    </row>
    <row r="47" spans="1:22" ht="17.45" customHeight="1" x14ac:dyDescent="0.25">
      <c r="A47" s="39" t="s">
        <v>29</v>
      </c>
      <c r="B47" s="40">
        <f>DATE(2019,7,9)</f>
        <v>43655</v>
      </c>
      <c r="C47" s="43">
        <f t="shared" si="0"/>
        <v>7</v>
      </c>
      <c r="D47" s="39" t="s">
        <v>30</v>
      </c>
      <c r="E47" s="39" t="s">
        <v>85</v>
      </c>
      <c r="F47" s="39" t="s">
        <v>184</v>
      </c>
      <c r="G47" s="42">
        <v>0</v>
      </c>
      <c r="H47" s="42">
        <v>455</v>
      </c>
      <c r="I47" s="42">
        <f t="shared" si="1"/>
        <v>-455</v>
      </c>
      <c r="J47" s="39" t="s">
        <v>85</v>
      </c>
      <c r="K47" s="41">
        <v>1104682</v>
      </c>
      <c r="L47" s="39" t="s">
        <v>85</v>
      </c>
      <c r="M47" s="39" t="s">
        <v>19</v>
      </c>
      <c r="N47" s="39" t="s">
        <v>85</v>
      </c>
      <c r="O47" s="39" t="s">
        <v>87</v>
      </c>
      <c r="P47" s="39" t="s">
        <v>85</v>
      </c>
      <c r="Q47" s="40">
        <f>DATE(2019,7,10)</f>
        <v>43656</v>
      </c>
      <c r="R47" s="39" t="s">
        <v>88</v>
      </c>
      <c r="S47" s="39" t="s">
        <v>85</v>
      </c>
      <c r="T47" s="39" t="s">
        <v>89</v>
      </c>
      <c r="U47" s="39" t="s">
        <v>89</v>
      </c>
      <c r="V47" s="39" t="s">
        <v>90</v>
      </c>
    </row>
    <row r="48" spans="1:22" ht="17.45" customHeight="1" x14ac:dyDescent="0.25">
      <c r="A48" s="39" t="s">
        <v>29</v>
      </c>
      <c r="B48" s="40">
        <f>DATE(2019,8,1)</f>
        <v>43678</v>
      </c>
      <c r="C48" s="43">
        <f t="shared" si="0"/>
        <v>8</v>
      </c>
      <c r="D48" s="39" t="s">
        <v>30</v>
      </c>
      <c r="E48" s="39" t="s">
        <v>85</v>
      </c>
      <c r="F48" s="39" t="s">
        <v>185</v>
      </c>
      <c r="G48" s="42">
        <v>0</v>
      </c>
      <c r="H48" s="42">
        <v>435</v>
      </c>
      <c r="I48" s="42">
        <f t="shared" si="1"/>
        <v>-435</v>
      </c>
      <c r="J48" s="39" t="s">
        <v>85</v>
      </c>
      <c r="K48" s="41">
        <v>1108945</v>
      </c>
      <c r="L48" s="39" t="s">
        <v>85</v>
      </c>
      <c r="M48" s="39" t="s">
        <v>19</v>
      </c>
      <c r="N48" s="39" t="s">
        <v>85</v>
      </c>
      <c r="O48" s="39" t="s">
        <v>87</v>
      </c>
      <c r="P48" s="39" t="s">
        <v>85</v>
      </c>
      <c r="Q48" s="40">
        <f>DATE(2019,8,2)</f>
        <v>43679</v>
      </c>
      <c r="R48" s="39" t="s">
        <v>88</v>
      </c>
      <c r="S48" s="39" t="s">
        <v>85</v>
      </c>
      <c r="T48" s="39" t="s">
        <v>89</v>
      </c>
      <c r="U48" s="39" t="s">
        <v>89</v>
      </c>
      <c r="V48" s="39" t="s">
        <v>90</v>
      </c>
    </row>
    <row r="49" spans="1:22" ht="17.45" customHeight="1" x14ac:dyDescent="0.25">
      <c r="A49" s="39" t="s">
        <v>29</v>
      </c>
      <c r="B49" s="40">
        <f>DATE(2019,8,1)</f>
        <v>43678</v>
      </c>
      <c r="C49" s="43">
        <f t="shared" si="0"/>
        <v>8</v>
      </c>
      <c r="D49" s="39" t="s">
        <v>30</v>
      </c>
      <c r="E49" s="39" t="s">
        <v>85</v>
      </c>
      <c r="F49" s="39" t="s">
        <v>186</v>
      </c>
      <c r="G49" s="42">
        <v>0</v>
      </c>
      <c r="H49" s="42">
        <v>510</v>
      </c>
      <c r="I49" s="42">
        <f t="shared" si="1"/>
        <v>-510</v>
      </c>
      <c r="J49" s="39" t="s">
        <v>85</v>
      </c>
      <c r="K49" s="41">
        <v>1108947</v>
      </c>
      <c r="L49" s="39" t="s">
        <v>85</v>
      </c>
      <c r="M49" s="39" t="s">
        <v>19</v>
      </c>
      <c r="N49" s="39" t="s">
        <v>85</v>
      </c>
      <c r="O49" s="39" t="s">
        <v>87</v>
      </c>
      <c r="P49" s="39" t="s">
        <v>85</v>
      </c>
      <c r="Q49" s="40">
        <f>DATE(2019,8,2)</f>
        <v>43679</v>
      </c>
      <c r="R49" s="39" t="s">
        <v>88</v>
      </c>
      <c r="S49" s="39" t="s">
        <v>85</v>
      </c>
      <c r="T49" s="39" t="s">
        <v>89</v>
      </c>
      <c r="U49" s="39" t="s">
        <v>89</v>
      </c>
      <c r="V49" s="39" t="s">
        <v>90</v>
      </c>
    </row>
    <row r="50" spans="1:22" ht="17.45" customHeight="1" x14ac:dyDescent="0.25">
      <c r="A50" s="39" t="s">
        <v>29</v>
      </c>
      <c r="B50" s="40">
        <f>DATE(2019,8,1)</f>
        <v>43678</v>
      </c>
      <c r="C50" s="43">
        <f t="shared" si="0"/>
        <v>8</v>
      </c>
      <c r="D50" s="39" t="s">
        <v>30</v>
      </c>
      <c r="E50" s="39" t="s">
        <v>85</v>
      </c>
      <c r="F50" s="39" t="s">
        <v>187</v>
      </c>
      <c r="G50" s="42">
        <v>0</v>
      </c>
      <c r="H50" s="42">
        <v>1040</v>
      </c>
      <c r="I50" s="42">
        <f t="shared" si="1"/>
        <v>-1040</v>
      </c>
      <c r="J50" s="39" t="s">
        <v>85</v>
      </c>
      <c r="K50" s="41">
        <v>1108946</v>
      </c>
      <c r="L50" s="39" t="s">
        <v>85</v>
      </c>
      <c r="M50" s="39" t="s">
        <v>19</v>
      </c>
      <c r="N50" s="39" t="s">
        <v>85</v>
      </c>
      <c r="O50" s="39" t="s">
        <v>87</v>
      </c>
      <c r="P50" s="39" t="s">
        <v>85</v>
      </c>
      <c r="Q50" s="40">
        <f>DATE(2019,8,2)</f>
        <v>43679</v>
      </c>
      <c r="R50" s="39" t="s">
        <v>88</v>
      </c>
      <c r="S50" s="39" t="s">
        <v>85</v>
      </c>
      <c r="T50" s="39" t="s">
        <v>89</v>
      </c>
      <c r="U50" s="39" t="s">
        <v>89</v>
      </c>
      <c r="V50" s="39" t="s">
        <v>90</v>
      </c>
    </row>
    <row r="51" spans="1:22" ht="17.45" customHeight="1" x14ac:dyDescent="0.25">
      <c r="A51" s="39" t="s">
        <v>29</v>
      </c>
      <c r="B51" s="40">
        <f>DATE(2019,8,2)</f>
        <v>43679</v>
      </c>
      <c r="C51" s="43">
        <f t="shared" si="0"/>
        <v>8</v>
      </c>
      <c r="D51" s="39" t="s">
        <v>30</v>
      </c>
      <c r="E51" s="39" t="s">
        <v>85</v>
      </c>
      <c r="F51" s="39" t="s">
        <v>188</v>
      </c>
      <c r="G51" s="42">
        <v>0</v>
      </c>
      <c r="H51" s="42">
        <v>130</v>
      </c>
      <c r="I51" s="42">
        <f t="shared" si="1"/>
        <v>-130</v>
      </c>
      <c r="J51" s="39" t="s">
        <v>85</v>
      </c>
      <c r="K51" s="41">
        <v>1109014</v>
      </c>
      <c r="L51" s="39" t="s">
        <v>85</v>
      </c>
      <c r="M51" s="39" t="s">
        <v>19</v>
      </c>
      <c r="N51" s="39" t="s">
        <v>85</v>
      </c>
      <c r="O51" s="39" t="s">
        <v>87</v>
      </c>
      <c r="P51" s="39" t="s">
        <v>85</v>
      </c>
      <c r="Q51" s="40">
        <f>DATE(2019,8,6)</f>
        <v>43683</v>
      </c>
      <c r="R51" s="39" t="s">
        <v>88</v>
      </c>
      <c r="S51" s="39" t="s">
        <v>85</v>
      </c>
      <c r="T51" s="39" t="s">
        <v>89</v>
      </c>
      <c r="U51" s="39" t="s">
        <v>89</v>
      </c>
      <c r="V51" s="39" t="s">
        <v>90</v>
      </c>
    </row>
    <row r="52" spans="1:22" ht="17.45" customHeight="1" x14ac:dyDescent="0.25">
      <c r="A52" s="39" t="s">
        <v>29</v>
      </c>
      <c r="B52" s="40">
        <f>DATE(2019,8,20)</f>
        <v>43697</v>
      </c>
      <c r="C52" s="43">
        <f t="shared" si="0"/>
        <v>8</v>
      </c>
      <c r="D52" s="39" t="s">
        <v>30</v>
      </c>
      <c r="E52" s="39" t="s">
        <v>85</v>
      </c>
      <c r="F52" s="39" t="s">
        <v>189</v>
      </c>
      <c r="G52" s="42">
        <v>0</v>
      </c>
      <c r="H52" s="42">
        <v>250</v>
      </c>
      <c r="I52" s="42">
        <f t="shared" si="1"/>
        <v>-250</v>
      </c>
      <c r="J52" s="39" t="s">
        <v>85</v>
      </c>
      <c r="K52" s="41">
        <v>1111972</v>
      </c>
      <c r="L52" s="39" t="s">
        <v>85</v>
      </c>
      <c r="M52" s="39" t="s">
        <v>19</v>
      </c>
      <c r="N52" s="39" t="s">
        <v>85</v>
      </c>
      <c r="O52" s="39" t="s">
        <v>87</v>
      </c>
      <c r="P52" s="39" t="s">
        <v>85</v>
      </c>
      <c r="Q52" s="40">
        <f>DATE(2019,8,21)</f>
        <v>43698</v>
      </c>
      <c r="R52" s="39" t="s">
        <v>88</v>
      </c>
      <c r="S52" s="39" t="s">
        <v>85</v>
      </c>
      <c r="T52" s="39" t="s">
        <v>89</v>
      </c>
      <c r="U52" s="39" t="s">
        <v>89</v>
      </c>
      <c r="V52" s="39" t="s">
        <v>90</v>
      </c>
    </row>
    <row r="53" spans="1:22" ht="17.45" customHeight="1" x14ac:dyDescent="0.25">
      <c r="A53" s="39" t="s">
        <v>29</v>
      </c>
      <c r="B53" s="40">
        <f>DATE(2019,8,20)</f>
        <v>43697</v>
      </c>
      <c r="C53" s="43">
        <f t="shared" si="0"/>
        <v>8</v>
      </c>
      <c r="D53" s="39" t="s">
        <v>30</v>
      </c>
      <c r="E53" s="39" t="s">
        <v>85</v>
      </c>
      <c r="F53" s="39" t="s">
        <v>190</v>
      </c>
      <c r="G53" s="42">
        <v>0</v>
      </c>
      <c r="H53" s="42">
        <v>380</v>
      </c>
      <c r="I53" s="42">
        <f t="shared" si="1"/>
        <v>-380</v>
      </c>
      <c r="J53" s="39" t="s">
        <v>85</v>
      </c>
      <c r="K53" s="41">
        <v>1111975</v>
      </c>
      <c r="L53" s="39" t="s">
        <v>85</v>
      </c>
      <c r="M53" s="39" t="s">
        <v>19</v>
      </c>
      <c r="N53" s="39" t="s">
        <v>85</v>
      </c>
      <c r="O53" s="39" t="s">
        <v>87</v>
      </c>
      <c r="P53" s="39" t="s">
        <v>85</v>
      </c>
      <c r="Q53" s="40">
        <f>DATE(2019,8,21)</f>
        <v>43698</v>
      </c>
      <c r="R53" s="39" t="s">
        <v>88</v>
      </c>
      <c r="S53" s="39" t="s">
        <v>85</v>
      </c>
      <c r="T53" s="39" t="s">
        <v>89</v>
      </c>
      <c r="U53" s="39" t="s">
        <v>89</v>
      </c>
      <c r="V53" s="39" t="s">
        <v>90</v>
      </c>
    </row>
    <row r="54" spans="1:22" ht="17.45" customHeight="1" x14ac:dyDescent="0.25">
      <c r="A54" s="39" t="s">
        <v>29</v>
      </c>
      <c r="B54" s="40">
        <f>DATE(2019,8,6)</f>
        <v>43683</v>
      </c>
      <c r="C54" s="43">
        <f t="shared" si="0"/>
        <v>8</v>
      </c>
      <c r="D54" s="39" t="s">
        <v>30</v>
      </c>
      <c r="E54" s="39" t="s">
        <v>85</v>
      </c>
      <c r="F54" s="39" t="s">
        <v>191</v>
      </c>
      <c r="G54" s="42">
        <v>0</v>
      </c>
      <c r="H54" s="42">
        <v>260</v>
      </c>
      <c r="I54" s="42">
        <f t="shared" si="1"/>
        <v>-260</v>
      </c>
      <c r="J54" s="39" t="s">
        <v>85</v>
      </c>
      <c r="K54" s="41">
        <v>1109276</v>
      </c>
      <c r="L54" s="39" t="s">
        <v>85</v>
      </c>
      <c r="M54" s="39" t="s">
        <v>19</v>
      </c>
      <c r="N54" s="39" t="s">
        <v>85</v>
      </c>
      <c r="O54" s="39" t="s">
        <v>87</v>
      </c>
      <c r="P54" s="39" t="s">
        <v>85</v>
      </c>
      <c r="Q54" s="40">
        <f>DATE(2019,8,7)</f>
        <v>43684</v>
      </c>
      <c r="R54" s="39" t="s">
        <v>88</v>
      </c>
      <c r="S54" s="39" t="s">
        <v>85</v>
      </c>
      <c r="T54" s="39" t="s">
        <v>89</v>
      </c>
      <c r="U54" s="39" t="s">
        <v>89</v>
      </c>
      <c r="V54" s="39" t="s">
        <v>90</v>
      </c>
    </row>
    <row r="55" spans="1:22" ht="17.45" customHeight="1" x14ac:dyDescent="0.25">
      <c r="A55" s="39" t="s">
        <v>29</v>
      </c>
      <c r="B55" s="40">
        <f>DATE(2019,8,20)</f>
        <v>43697</v>
      </c>
      <c r="C55" s="43">
        <f t="shared" si="0"/>
        <v>8</v>
      </c>
      <c r="D55" s="39" t="s">
        <v>30</v>
      </c>
      <c r="E55" s="39" t="s">
        <v>85</v>
      </c>
      <c r="F55" s="39" t="s">
        <v>192</v>
      </c>
      <c r="G55" s="42">
        <v>0</v>
      </c>
      <c r="H55" s="42">
        <v>390</v>
      </c>
      <c r="I55" s="42">
        <f t="shared" si="1"/>
        <v>-390</v>
      </c>
      <c r="J55" s="39" t="s">
        <v>85</v>
      </c>
      <c r="K55" s="41">
        <v>1111974</v>
      </c>
      <c r="L55" s="39" t="s">
        <v>85</v>
      </c>
      <c r="M55" s="39" t="s">
        <v>19</v>
      </c>
      <c r="N55" s="39" t="s">
        <v>85</v>
      </c>
      <c r="O55" s="39" t="s">
        <v>87</v>
      </c>
      <c r="P55" s="39" t="s">
        <v>85</v>
      </c>
      <c r="Q55" s="40">
        <f>DATE(2019,8,21)</f>
        <v>43698</v>
      </c>
      <c r="R55" s="39" t="s">
        <v>88</v>
      </c>
      <c r="S55" s="39" t="s">
        <v>85</v>
      </c>
      <c r="T55" s="39" t="s">
        <v>89</v>
      </c>
      <c r="U55" s="39" t="s">
        <v>89</v>
      </c>
      <c r="V55" s="39" t="s">
        <v>90</v>
      </c>
    </row>
    <row r="56" spans="1:22" ht="17.45" customHeight="1" x14ac:dyDescent="0.25">
      <c r="A56" s="39" t="s">
        <v>29</v>
      </c>
      <c r="B56" s="40">
        <f>DATE(2019,8,21)</f>
        <v>43698</v>
      </c>
      <c r="C56" s="43">
        <f t="shared" si="0"/>
        <v>8</v>
      </c>
      <c r="D56" s="39" t="s">
        <v>30</v>
      </c>
      <c r="E56" s="39" t="s">
        <v>85</v>
      </c>
      <c r="F56" s="39" t="s">
        <v>193</v>
      </c>
      <c r="G56" s="42">
        <v>0</v>
      </c>
      <c r="H56" s="42">
        <v>130</v>
      </c>
      <c r="I56" s="42">
        <f t="shared" si="1"/>
        <v>-130</v>
      </c>
      <c r="J56" s="39" t="s">
        <v>85</v>
      </c>
      <c r="K56" s="41">
        <v>1112016</v>
      </c>
      <c r="L56" s="39" t="s">
        <v>85</v>
      </c>
      <c r="M56" s="39" t="s">
        <v>19</v>
      </c>
      <c r="N56" s="39" t="s">
        <v>85</v>
      </c>
      <c r="O56" s="39" t="s">
        <v>87</v>
      </c>
      <c r="P56" s="39" t="s">
        <v>85</v>
      </c>
      <c r="Q56" s="40">
        <f>DATE(2019,8,22)</f>
        <v>43699</v>
      </c>
      <c r="R56" s="39" t="s">
        <v>88</v>
      </c>
      <c r="S56" s="39" t="s">
        <v>85</v>
      </c>
      <c r="T56" s="39" t="s">
        <v>89</v>
      </c>
      <c r="U56" s="39" t="s">
        <v>89</v>
      </c>
      <c r="V56" s="39" t="s">
        <v>90</v>
      </c>
    </row>
    <row r="57" spans="1:22" ht="17.45" customHeight="1" x14ac:dyDescent="0.25">
      <c r="A57" s="39" t="s">
        <v>29</v>
      </c>
      <c r="B57" s="40">
        <f>DATE(2019,8,21)</f>
        <v>43698</v>
      </c>
      <c r="C57" s="43">
        <f t="shared" si="0"/>
        <v>8</v>
      </c>
      <c r="D57" s="39" t="s">
        <v>30</v>
      </c>
      <c r="E57" s="39" t="s">
        <v>85</v>
      </c>
      <c r="F57" s="39" t="s">
        <v>194</v>
      </c>
      <c r="G57" s="42">
        <v>0</v>
      </c>
      <c r="H57" s="42">
        <v>260</v>
      </c>
      <c r="I57" s="42">
        <f t="shared" si="1"/>
        <v>-260</v>
      </c>
      <c r="J57" s="39" t="s">
        <v>85</v>
      </c>
      <c r="K57" s="41">
        <v>1112014</v>
      </c>
      <c r="L57" s="39" t="s">
        <v>85</v>
      </c>
      <c r="M57" s="39" t="s">
        <v>19</v>
      </c>
      <c r="N57" s="39" t="s">
        <v>85</v>
      </c>
      <c r="O57" s="39" t="s">
        <v>87</v>
      </c>
      <c r="P57" s="39" t="s">
        <v>85</v>
      </c>
      <c r="Q57" s="40">
        <f>DATE(2019,8,22)</f>
        <v>43699</v>
      </c>
      <c r="R57" s="39" t="s">
        <v>88</v>
      </c>
      <c r="S57" s="39" t="s">
        <v>85</v>
      </c>
      <c r="T57" s="39" t="s">
        <v>89</v>
      </c>
      <c r="U57" s="39" t="s">
        <v>89</v>
      </c>
      <c r="V57" s="39" t="s">
        <v>90</v>
      </c>
    </row>
    <row r="58" spans="1:22" ht="17.45" customHeight="1" x14ac:dyDescent="0.25">
      <c r="A58" s="39" t="s">
        <v>29</v>
      </c>
      <c r="B58" s="40">
        <f>DATE(2019,8,6)</f>
        <v>43683</v>
      </c>
      <c r="C58" s="43">
        <f t="shared" si="0"/>
        <v>8</v>
      </c>
      <c r="D58" s="39" t="s">
        <v>30</v>
      </c>
      <c r="E58" s="39" t="s">
        <v>85</v>
      </c>
      <c r="F58" s="39" t="s">
        <v>195</v>
      </c>
      <c r="G58" s="42">
        <v>0</v>
      </c>
      <c r="H58" s="42">
        <v>325</v>
      </c>
      <c r="I58" s="42">
        <f t="shared" si="1"/>
        <v>-325</v>
      </c>
      <c r="J58" s="39" t="s">
        <v>85</v>
      </c>
      <c r="K58" s="41">
        <v>1109278</v>
      </c>
      <c r="L58" s="39" t="s">
        <v>85</v>
      </c>
      <c r="M58" s="39" t="s">
        <v>19</v>
      </c>
      <c r="N58" s="39" t="s">
        <v>85</v>
      </c>
      <c r="O58" s="39" t="s">
        <v>87</v>
      </c>
      <c r="P58" s="39" t="s">
        <v>85</v>
      </c>
      <c r="Q58" s="40">
        <f>DATE(2019,8,7)</f>
        <v>43684</v>
      </c>
      <c r="R58" s="39" t="s">
        <v>88</v>
      </c>
      <c r="S58" s="39" t="s">
        <v>85</v>
      </c>
      <c r="T58" s="39" t="s">
        <v>89</v>
      </c>
      <c r="U58" s="39" t="s">
        <v>89</v>
      </c>
      <c r="V58" s="39" t="s">
        <v>90</v>
      </c>
    </row>
    <row r="59" spans="1:22" ht="17.45" customHeight="1" x14ac:dyDescent="0.25">
      <c r="A59" s="39" t="s">
        <v>29</v>
      </c>
      <c r="B59" s="40">
        <f>DATE(2019,8,23)</f>
        <v>43700</v>
      </c>
      <c r="C59" s="43">
        <f t="shared" si="0"/>
        <v>8</v>
      </c>
      <c r="D59" s="39" t="s">
        <v>30</v>
      </c>
      <c r="E59" s="39" t="s">
        <v>85</v>
      </c>
      <c r="F59" s="39" t="s">
        <v>196</v>
      </c>
      <c r="G59" s="42">
        <v>65</v>
      </c>
      <c r="H59" s="42">
        <v>0</v>
      </c>
      <c r="I59" s="42">
        <f t="shared" si="1"/>
        <v>65</v>
      </c>
      <c r="J59" s="39" t="s">
        <v>85</v>
      </c>
      <c r="K59" s="41">
        <v>1112987</v>
      </c>
      <c r="L59" s="39" t="s">
        <v>85</v>
      </c>
      <c r="M59" s="39" t="s">
        <v>19</v>
      </c>
      <c r="N59" s="39" t="s">
        <v>85</v>
      </c>
      <c r="O59" s="39" t="s">
        <v>87</v>
      </c>
      <c r="P59" s="39" t="s">
        <v>85</v>
      </c>
      <c r="Q59" s="40">
        <f>DATE(2019,8,27)</f>
        <v>43704</v>
      </c>
      <c r="R59" s="39" t="s">
        <v>88</v>
      </c>
      <c r="S59" s="39" t="s">
        <v>85</v>
      </c>
      <c r="T59" s="39" t="s">
        <v>89</v>
      </c>
      <c r="U59" s="39" t="s">
        <v>89</v>
      </c>
      <c r="V59" s="39" t="s">
        <v>90</v>
      </c>
    </row>
    <row r="60" spans="1:22" ht="17.45" customHeight="1" x14ac:dyDescent="0.25">
      <c r="A60" s="39" t="s">
        <v>29</v>
      </c>
      <c r="B60" s="40">
        <f>DATE(2019,8,6)</f>
        <v>43683</v>
      </c>
      <c r="C60" s="43">
        <f t="shared" si="0"/>
        <v>8</v>
      </c>
      <c r="D60" s="39" t="s">
        <v>30</v>
      </c>
      <c r="E60" s="39" t="s">
        <v>85</v>
      </c>
      <c r="F60" s="39" t="s">
        <v>197</v>
      </c>
      <c r="G60" s="42">
        <v>0</v>
      </c>
      <c r="H60" s="42">
        <v>575</v>
      </c>
      <c r="I60" s="42">
        <f t="shared" si="1"/>
        <v>-575</v>
      </c>
      <c r="J60" s="39" t="s">
        <v>85</v>
      </c>
      <c r="K60" s="41">
        <v>1109279</v>
      </c>
      <c r="L60" s="39" t="s">
        <v>85</v>
      </c>
      <c r="M60" s="39" t="s">
        <v>19</v>
      </c>
      <c r="N60" s="39" t="s">
        <v>85</v>
      </c>
      <c r="O60" s="39" t="s">
        <v>87</v>
      </c>
      <c r="P60" s="39" t="s">
        <v>85</v>
      </c>
      <c r="Q60" s="40">
        <f>DATE(2019,8,7)</f>
        <v>43684</v>
      </c>
      <c r="R60" s="39" t="s">
        <v>88</v>
      </c>
      <c r="S60" s="39" t="s">
        <v>85</v>
      </c>
      <c r="T60" s="39" t="s">
        <v>89</v>
      </c>
      <c r="U60" s="39" t="s">
        <v>89</v>
      </c>
      <c r="V60" s="39" t="s">
        <v>90</v>
      </c>
    </row>
    <row r="61" spans="1:22" ht="17.45" customHeight="1" x14ac:dyDescent="0.25">
      <c r="A61" s="39" t="s">
        <v>29</v>
      </c>
      <c r="B61" s="40">
        <f>DATE(2019,8,1)</f>
        <v>43678</v>
      </c>
      <c r="C61" s="43">
        <f t="shared" si="0"/>
        <v>8</v>
      </c>
      <c r="D61" s="39" t="s">
        <v>30</v>
      </c>
      <c r="E61" s="39" t="s">
        <v>85</v>
      </c>
      <c r="F61" s="39" t="s">
        <v>198</v>
      </c>
      <c r="G61" s="42">
        <v>0</v>
      </c>
      <c r="H61" s="42">
        <v>65</v>
      </c>
      <c r="I61" s="42">
        <f t="shared" si="1"/>
        <v>-65</v>
      </c>
      <c r="J61" s="39" t="s">
        <v>85</v>
      </c>
      <c r="K61" s="41">
        <v>1108941</v>
      </c>
      <c r="L61" s="39" t="s">
        <v>85</v>
      </c>
      <c r="M61" s="39" t="s">
        <v>19</v>
      </c>
      <c r="N61" s="39" t="s">
        <v>85</v>
      </c>
      <c r="O61" s="39" t="s">
        <v>87</v>
      </c>
      <c r="P61" s="39" t="s">
        <v>85</v>
      </c>
      <c r="Q61" s="40">
        <f>DATE(2019,8,2)</f>
        <v>43679</v>
      </c>
      <c r="R61" s="39" t="s">
        <v>88</v>
      </c>
      <c r="S61" s="39" t="s">
        <v>85</v>
      </c>
      <c r="T61" s="39" t="s">
        <v>89</v>
      </c>
      <c r="U61" s="39" t="s">
        <v>89</v>
      </c>
      <c r="V61" s="39" t="s">
        <v>90</v>
      </c>
    </row>
    <row r="62" spans="1:22" ht="17.45" customHeight="1" x14ac:dyDescent="0.25">
      <c r="A62" s="39" t="s">
        <v>29</v>
      </c>
      <c r="B62" s="40">
        <f>DATE(2019,8,1)</f>
        <v>43678</v>
      </c>
      <c r="C62" s="43">
        <f t="shared" si="0"/>
        <v>8</v>
      </c>
      <c r="D62" s="39" t="s">
        <v>30</v>
      </c>
      <c r="E62" s="39" t="s">
        <v>85</v>
      </c>
      <c r="F62" s="39" t="s">
        <v>199</v>
      </c>
      <c r="G62" s="42">
        <v>0</v>
      </c>
      <c r="H62" s="42">
        <v>65</v>
      </c>
      <c r="I62" s="42">
        <f t="shared" si="1"/>
        <v>-65</v>
      </c>
      <c r="J62" s="39" t="s">
        <v>85</v>
      </c>
      <c r="K62" s="41">
        <v>1108943</v>
      </c>
      <c r="L62" s="39" t="s">
        <v>85</v>
      </c>
      <c r="M62" s="39" t="s">
        <v>19</v>
      </c>
      <c r="N62" s="39" t="s">
        <v>85</v>
      </c>
      <c r="O62" s="39" t="s">
        <v>87</v>
      </c>
      <c r="P62" s="39" t="s">
        <v>85</v>
      </c>
      <c r="Q62" s="40">
        <f>DATE(2019,8,2)</f>
        <v>43679</v>
      </c>
      <c r="R62" s="39" t="s">
        <v>88</v>
      </c>
      <c r="S62" s="39" t="s">
        <v>85</v>
      </c>
      <c r="T62" s="39" t="s">
        <v>89</v>
      </c>
      <c r="U62" s="39" t="s">
        <v>89</v>
      </c>
      <c r="V62" s="39" t="s">
        <v>90</v>
      </c>
    </row>
    <row r="63" spans="1:22" ht="17.45" customHeight="1" x14ac:dyDescent="0.25">
      <c r="A63" s="39" t="s">
        <v>29</v>
      </c>
      <c r="B63" s="40">
        <f>DATE(2019,8,1)</f>
        <v>43678</v>
      </c>
      <c r="C63" s="43">
        <f t="shared" si="0"/>
        <v>8</v>
      </c>
      <c r="D63" s="39" t="s">
        <v>30</v>
      </c>
      <c r="E63" s="39" t="s">
        <v>85</v>
      </c>
      <c r="F63" s="39" t="s">
        <v>200</v>
      </c>
      <c r="G63" s="42">
        <v>0</v>
      </c>
      <c r="H63" s="42">
        <v>65</v>
      </c>
      <c r="I63" s="42">
        <f t="shared" si="1"/>
        <v>-65</v>
      </c>
      <c r="J63" s="39" t="s">
        <v>85</v>
      </c>
      <c r="K63" s="41">
        <v>1108944</v>
      </c>
      <c r="L63" s="39" t="s">
        <v>85</v>
      </c>
      <c r="M63" s="39" t="s">
        <v>19</v>
      </c>
      <c r="N63" s="39" t="s">
        <v>85</v>
      </c>
      <c r="O63" s="39" t="s">
        <v>87</v>
      </c>
      <c r="P63" s="39" t="s">
        <v>85</v>
      </c>
      <c r="Q63" s="40">
        <f>DATE(2019,8,2)</f>
        <v>43679</v>
      </c>
      <c r="R63" s="39" t="s">
        <v>88</v>
      </c>
      <c r="S63" s="39" t="s">
        <v>85</v>
      </c>
      <c r="T63" s="39" t="s">
        <v>89</v>
      </c>
      <c r="U63" s="39" t="s">
        <v>89</v>
      </c>
      <c r="V63" s="39" t="s">
        <v>90</v>
      </c>
    </row>
    <row r="64" spans="1:22" ht="17.45" customHeight="1" x14ac:dyDescent="0.25">
      <c r="A64" s="39" t="s">
        <v>29</v>
      </c>
      <c r="B64" s="40">
        <f>DATE(2019,8,1)</f>
        <v>43678</v>
      </c>
      <c r="C64" s="43">
        <f t="shared" si="0"/>
        <v>8</v>
      </c>
      <c r="D64" s="39" t="s">
        <v>30</v>
      </c>
      <c r="E64" s="39" t="s">
        <v>85</v>
      </c>
      <c r="F64" s="39" t="s">
        <v>201</v>
      </c>
      <c r="G64" s="42">
        <v>0</v>
      </c>
      <c r="H64" s="42">
        <v>260</v>
      </c>
      <c r="I64" s="42">
        <f t="shared" si="1"/>
        <v>-260</v>
      </c>
      <c r="J64" s="39" t="s">
        <v>85</v>
      </c>
      <c r="K64" s="41">
        <v>1108942</v>
      </c>
      <c r="L64" s="39" t="s">
        <v>85</v>
      </c>
      <c r="M64" s="39" t="s">
        <v>19</v>
      </c>
      <c r="N64" s="39" t="s">
        <v>85</v>
      </c>
      <c r="O64" s="39" t="s">
        <v>87</v>
      </c>
      <c r="P64" s="39" t="s">
        <v>85</v>
      </c>
      <c r="Q64" s="40">
        <f>DATE(2019,8,2)</f>
        <v>43679</v>
      </c>
      <c r="R64" s="39" t="s">
        <v>88</v>
      </c>
      <c r="S64" s="39" t="s">
        <v>85</v>
      </c>
      <c r="T64" s="39" t="s">
        <v>89</v>
      </c>
      <c r="U64" s="39" t="s">
        <v>89</v>
      </c>
      <c r="V64" s="39" t="s">
        <v>90</v>
      </c>
    </row>
    <row r="65" spans="1:22" ht="17.45" customHeight="1" x14ac:dyDescent="0.25">
      <c r="A65" s="39" t="s">
        <v>29</v>
      </c>
      <c r="B65" s="40">
        <f>DATE(2019,8,12)</f>
        <v>43689</v>
      </c>
      <c r="C65" s="43">
        <f t="shared" si="0"/>
        <v>8</v>
      </c>
      <c r="D65" s="39" t="s">
        <v>30</v>
      </c>
      <c r="E65" s="39" t="s">
        <v>85</v>
      </c>
      <c r="F65" s="39" t="s">
        <v>202</v>
      </c>
      <c r="G65" s="42">
        <v>0</v>
      </c>
      <c r="H65" s="42">
        <v>250</v>
      </c>
      <c r="I65" s="42">
        <f t="shared" si="1"/>
        <v>-250</v>
      </c>
      <c r="J65" s="39" t="s">
        <v>85</v>
      </c>
      <c r="K65" s="41">
        <v>1110430</v>
      </c>
      <c r="L65" s="39" t="s">
        <v>85</v>
      </c>
      <c r="M65" s="39" t="s">
        <v>19</v>
      </c>
      <c r="N65" s="39" t="s">
        <v>85</v>
      </c>
      <c r="O65" s="39" t="s">
        <v>87</v>
      </c>
      <c r="P65" s="39" t="s">
        <v>85</v>
      </c>
      <c r="Q65" s="40">
        <f>DATE(2019,8,13)</f>
        <v>43690</v>
      </c>
      <c r="R65" s="39" t="s">
        <v>88</v>
      </c>
      <c r="S65" s="39" t="s">
        <v>85</v>
      </c>
      <c r="T65" s="39" t="s">
        <v>89</v>
      </c>
      <c r="U65" s="39" t="s">
        <v>89</v>
      </c>
      <c r="V65" s="39" t="s">
        <v>90</v>
      </c>
    </row>
    <row r="66" spans="1:22" ht="17.45" customHeight="1" x14ac:dyDescent="0.25">
      <c r="A66" s="39" t="s">
        <v>29</v>
      </c>
      <c r="B66" s="40">
        <f>DATE(2019,8,12)</f>
        <v>43689</v>
      </c>
      <c r="C66" s="43">
        <f t="shared" si="0"/>
        <v>8</v>
      </c>
      <c r="D66" s="39" t="s">
        <v>30</v>
      </c>
      <c r="E66" s="39" t="s">
        <v>85</v>
      </c>
      <c r="F66" s="39" t="s">
        <v>203</v>
      </c>
      <c r="G66" s="42">
        <v>65</v>
      </c>
      <c r="H66" s="42">
        <v>0</v>
      </c>
      <c r="I66" s="42">
        <f t="shared" si="1"/>
        <v>65</v>
      </c>
      <c r="J66" s="39" t="s">
        <v>85</v>
      </c>
      <c r="K66" s="41">
        <v>1110420</v>
      </c>
      <c r="L66" s="39" t="s">
        <v>85</v>
      </c>
      <c r="M66" s="39" t="s">
        <v>19</v>
      </c>
      <c r="N66" s="39" t="s">
        <v>85</v>
      </c>
      <c r="O66" s="39" t="s">
        <v>87</v>
      </c>
      <c r="P66" s="39" t="s">
        <v>85</v>
      </c>
      <c r="Q66" s="40">
        <f>DATE(2019,8,13)</f>
        <v>43690</v>
      </c>
      <c r="R66" s="39" t="s">
        <v>88</v>
      </c>
      <c r="S66" s="39" t="s">
        <v>85</v>
      </c>
      <c r="T66" s="39" t="s">
        <v>89</v>
      </c>
      <c r="U66" s="39" t="s">
        <v>89</v>
      </c>
      <c r="V66" s="39" t="s">
        <v>90</v>
      </c>
    </row>
    <row r="67" spans="1:22" ht="17.45" customHeight="1" x14ac:dyDescent="0.25">
      <c r="A67" s="39" t="s">
        <v>29</v>
      </c>
      <c r="B67" s="40">
        <f>DATE(2019,8,14)</f>
        <v>43691</v>
      </c>
      <c r="C67" s="43">
        <f t="shared" ref="C67:C130" si="2">MONTH(B67)</f>
        <v>8</v>
      </c>
      <c r="D67" s="39" t="s">
        <v>30</v>
      </c>
      <c r="E67" s="39" t="s">
        <v>85</v>
      </c>
      <c r="F67" s="39" t="s">
        <v>204</v>
      </c>
      <c r="G67" s="42">
        <v>0</v>
      </c>
      <c r="H67" s="42">
        <v>130</v>
      </c>
      <c r="I67" s="42">
        <f t="shared" ref="I67:I130" si="3">G67-H67</f>
        <v>-130</v>
      </c>
      <c r="J67" s="39" t="s">
        <v>85</v>
      </c>
      <c r="K67" s="41">
        <v>1110904</v>
      </c>
      <c r="L67" s="39" t="s">
        <v>85</v>
      </c>
      <c r="M67" s="39" t="s">
        <v>19</v>
      </c>
      <c r="N67" s="39" t="s">
        <v>85</v>
      </c>
      <c r="O67" s="39" t="s">
        <v>87</v>
      </c>
      <c r="P67" s="39" t="s">
        <v>85</v>
      </c>
      <c r="Q67" s="40">
        <f>DATE(2019,8,15)</f>
        <v>43692</v>
      </c>
      <c r="R67" s="39" t="s">
        <v>88</v>
      </c>
      <c r="S67" s="39" t="s">
        <v>85</v>
      </c>
      <c r="T67" s="39" t="s">
        <v>89</v>
      </c>
      <c r="U67" s="39" t="s">
        <v>89</v>
      </c>
      <c r="V67" s="39" t="s">
        <v>90</v>
      </c>
    </row>
    <row r="68" spans="1:22" ht="17.45" customHeight="1" x14ac:dyDescent="0.25">
      <c r="A68" s="39" t="s">
        <v>29</v>
      </c>
      <c r="B68" s="40">
        <f>DATE(2019,8,23)</f>
        <v>43700</v>
      </c>
      <c r="C68" s="43">
        <f t="shared" si="2"/>
        <v>8</v>
      </c>
      <c r="D68" s="39" t="s">
        <v>30</v>
      </c>
      <c r="E68" s="39" t="s">
        <v>85</v>
      </c>
      <c r="F68" s="39" t="s">
        <v>205</v>
      </c>
      <c r="G68" s="42">
        <v>0</v>
      </c>
      <c r="H68" s="42">
        <v>65</v>
      </c>
      <c r="I68" s="42">
        <f t="shared" si="3"/>
        <v>-65</v>
      </c>
      <c r="J68" s="39" t="s">
        <v>85</v>
      </c>
      <c r="K68" s="41">
        <v>1112954</v>
      </c>
      <c r="L68" s="39" t="s">
        <v>85</v>
      </c>
      <c r="M68" s="39" t="s">
        <v>19</v>
      </c>
      <c r="N68" s="39" t="s">
        <v>85</v>
      </c>
      <c r="O68" s="39" t="s">
        <v>87</v>
      </c>
      <c r="P68" s="39" t="s">
        <v>85</v>
      </c>
      <c r="Q68" s="40">
        <f>DATE(2019,8,27)</f>
        <v>43704</v>
      </c>
      <c r="R68" s="39" t="s">
        <v>88</v>
      </c>
      <c r="S68" s="39" t="s">
        <v>85</v>
      </c>
      <c r="T68" s="39" t="s">
        <v>89</v>
      </c>
      <c r="U68" s="39" t="s">
        <v>89</v>
      </c>
      <c r="V68" s="39" t="s">
        <v>90</v>
      </c>
    </row>
    <row r="69" spans="1:22" ht="17.45" customHeight="1" x14ac:dyDescent="0.25">
      <c r="A69" s="39" t="s">
        <v>29</v>
      </c>
      <c r="B69" s="40">
        <f>DATE(2019,8,27)</f>
        <v>43704</v>
      </c>
      <c r="C69" s="43">
        <f t="shared" si="2"/>
        <v>8</v>
      </c>
      <c r="D69" s="39" t="s">
        <v>30</v>
      </c>
      <c r="E69" s="39" t="s">
        <v>85</v>
      </c>
      <c r="F69" s="39" t="s">
        <v>206</v>
      </c>
      <c r="G69" s="42">
        <v>0</v>
      </c>
      <c r="H69" s="42">
        <v>130</v>
      </c>
      <c r="I69" s="42">
        <f t="shared" si="3"/>
        <v>-130</v>
      </c>
      <c r="J69" s="39" t="s">
        <v>85</v>
      </c>
      <c r="K69" s="41">
        <v>1112955</v>
      </c>
      <c r="L69" s="39" t="s">
        <v>85</v>
      </c>
      <c r="M69" s="39" t="s">
        <v>19</v>
      </c>
      <c r="N69" s="39" t="s">
        <v>85</v>
      </c>
      <c r="O69" s="39" t="s">
        <v>87</v>
      </c>
      <c r="P69" s="39" t="s">
        <v>85</v>
      </c>
      <c r="Q69" s="40">
        <f>DATE(2019,8,27)</f>
        <v>43704</v>
      </c>
      <c r="R69" s="39" t="s">
        <v>88</v>
      </c>
      <c r="S69" s="39" t="s">
        <v>85</v>
      </c>
      <c r="T69" s="39" t="s">
        <v>89</v>
      </c>
      <c r="U69" s="39" t="s">
        <v>89</v>
      </c>
      <c r="V69" s="39" t="s">
        <v>90</v>
      </c>
    </row>
    <row r="70" spans="1:22" ht="17.45" customHeight="1" x14ac:dyDescent="0.25">
      <c r="A70" s="39" t="s">
        <v>29</v>
      </c>
      <c r="B70" s="40">
        <f>DATE(2019,8,7)</f>
        <v>43684</v>
      </c>
      <c r="C70" s="43">
        <f t="shared" si="2"/>
        <v>8</v>
      </c>
      <c r="D70" s="39" t="s">
        <v>30</v>
      </c>
      <c r="E70" s="39" t="s">
        <v>85</v>
      </c>
      <c r="F70" s="39" t="s">
        <v>207</v>
      </c>
      <c r="G70" s="42">
        <v>0</v>
      </c>
      <c r="H70" s="42">
        <v>260</v>
      </c>
      <c r="I70" s="42">
        <f t="shared" si="3"/>
        <v>-260</v>
      </c>
      <c r="J70" s="39" t="s">
        <v>85</v>
      </c>
      <c r="K70" s="41">
        <v>1110090</v>
      </c>
      <c r="L70" s="39" t="s">
        <v>85</v>
      </c>
      <c r="M70" s="39" t="s">
        <v>19</v>
      </c>
      <c r="N70" s="39" t="s">
        <v>85</v>
      </c>
      <c r="O70" s="39" t="s">
        <v>87</v>
      </c>
      <c r="P70" s="39" t="s">
        <v>85</v>
      </c>
      <c r="Q70" s="40">
        <f>DATE(2019,8,8)</f>
        <v>43685</v>
      </c>
      <c r="R70" s="39" t="s">
        <v>88</v>
      </c>
      <c r="S70" s="39" t="s">
        <v>85</v>
      </c>
      <c r="T70" s="39" t="s">
        <v>89</v>
      </c>
      <c r="U70" s="39" t="s">
        <v>89</v>
      </c>
      <c r="V70" s="39" t="s">
        <v>90</v>
      </c>
    </row>
    <row r="71" spans="1:22" ht="17.45" customHeight="1" x14ac:dyDescent="0.25">
      <c r="A71" s="39" t="s">
        <v>29</v>
      </c>
      <c r="B71" s="40">
        <f>DATE(2019,8,7)</f>
        <v>43684</v>
      </c>
      <c r="C71" s="43">
        <f t="shared" si="2"/>
        <v>8</v>
      </c>
      <c r="D71" s="39" t="s">
        <v>30</v>
      </c>
      <c r="E71" s="39" t="s">
        <v>85</v>
      </c>
      <c r="F71" s="39" t="s">
        <v>208</v>
      </c>
      <c r="G71" s="42">
        <v>0</v>
      </c>
      <c r="H71" s="42">
        <v>435</v>
      </c>
      <c r="I71" s="42">
        <f t="shared" si="3"/>
        <v>-435</v>
      </c>
      <c r="J71" s="39" t="s">
        <v>85</v>
      </c>
      <c r="K71" s="41">
        <v>1110089</v>
      </c>
      <c r="L71" s="39" t="s">
        <v>85</v>
      </c>
      <c r="M71" s="39" t="s">
        <v>19</v>
      </c>
      <c r="N71" s="39" t="s">
        <v>85</v>
      </c>
      <c r="O71" s="39" t="s">
        <v>87</v>
      </c>
      <c r="P71" s="39" t="s">
        <v>85</v>
      </c>
      <c r="Q71" s="40">
        <f>DATE(2019,8,8)</f>
        <v>43685</v>
      </c>
      <c r="R71" s="39" t="s">
        <v>88</v>
      </c>
      <c r="S71" s="39" t="s">
        <v>85</v>
      </c>
      <c r="T71" s="39" t="s">
        <v>89</v>
      </c>
      <c r="U71" s="39" t="s">
        <v>89</v>
      </c>
      <c r="V71" s="39" t="s">
        <v>90</v>
      </c>
    </row>
    <row r="72" spans="1:22" ht="17.45" customHeight="1" x14ac:dyDescent="0.25">
      <c r="A72" s="39" t="s">
        <v>29</v>
      </c>
      <c r="B72" s="40">
        <f>DATE(2019,8,8)</f>
        <v>43685</v>
      </c>
      <c r="C72" s="43">
        <f t="shared" si="2"/>
        <v>8</v>
      </c>
      <c r="D72" s="39" t="s">
        <v>30</v>
      </c>
      <c r="E72" s="39" t="s">
        <v>85</v>
      </c>
      <c r="F72" s="39" t="s">
        <v>209</v>
      </c>
      <c r="G72" s="42">
        <v>0</v>
      </c>
      <c r="H72" s="42">
        <v>65</v>
      </c>
      <c r="I72" s="42">
        <f t="shared" si="3"/>
        <v>-65</v>
      </c>
      <c r="J72" s="39" t="s">
        <v>85</v>
      </c>
      <c r="K72" s="41">
        <v>1110145</v>
      </c>
      <c r="L72" s="39" t="s">
        <v>85</v>
      </c>
      <c r="M72" s="39" t="s">
        <v>19</v>
      </c>
      <c r="N72" s="39" t="s">
        <v>85</v>
      </c>
      <c r="O72" s="39" t="s">
        <v>87</v>
      </c>
      <c r="P72" s="39" t="s">
        <v>85</v>
      </c>
      <c r="Q72" s="40">
        <f>DATE(2019,8,9)</f>
        <v>43686</v>
      </c>
      <c r="R72" s="39" t="s">
        <v>88</v>
      </c>
      <c r="S72" s="39" t="s">
        <v>85</v>
      </c>
      <c r="T72" s="39" t="s">
        <v>89</v>
      </c>
      <c r="U72" s="39" t="s">
        <v>89</v>
      </c>
      <c r="V72" s="39" t="s">
        <v>90</v>
      </c>
    </row>
    <row r="73" spans="1:22" ht="17.45" customHeight="1" x14ac:dyDescent="0.25">
      <c r="A73" s="39" t="s">
        <v>29</v>
      </c>
      <c r="B73" s="40">
        <f>DATE(2019,8,8)</f>
        <v>43685</v>
      </c>
      <c r="C73" s="43">
        <f t="shared" si="2"/>
        <v>8</v>
      </c>
      <c r="D73" s="39" t="s">
        <v>30</v>
      </c>
      <c r="E73" s="39" t="s">
        <v>85</v>
      </c>
      <c r="F73" s="39" t="s">
        <v>210</v>
      </c>
      <c r="G73" s="42">
        <v>0</v>
      </c>
      <c r="H73" s="42">
        <v>445</v>
      </c>
      <c r="I73" s="42">
        <f t="shared" si="3"/>
        <v>-445</v>
      </c>
      <c r="J73" s="39" t="s">
        <v>85</v>
      </c>
      <c r="K73" s="41">
        <v>1110144</v>
      </c>
      <c r="L73" s="39" t="s">
        <v>85</v>
      </c>
      <c r="M73" s="39" t="s">
        <v>19</v>
      </c>
      <c r="N73" s="39" t="s">
        <v>85</v>
      </c>
      <c r="O73" s="39" t="s">
        <v>87</v>
      </c>
      <c r="P73" s="39" t="s">
        <v>85</v>
      </c>
      <c r="Q73" s="40">
        <f>DATE(2019,8,9)</f>
        <v>43686</v>
      </c>
      <c r="R73" s="39" t="s">
        <v>88</v>
      </c>
      <c r="S73" s="39" t="s">
        <v>85</v>
      </c>
      <c r="T73" s="39" t="s">
        <v>89</v>
      </c>
      <c r="U73" s="39" t="s">
        <v>89</v>
      </c>
      <c r="V73" s="39" t="s">
        <v>90</v>
      </c>
    </row>
    <row r="74" spans="1:22" ht="17.45" customHeight="1" x14ac:dyDescent="0.25">
      <c r="A74" s="39" t="s">
        <v>29</v>
      </c>
      <c r="B74" s="40">
        <f>DATE(2019,8,9)</f>
        <v>43686</v>
      </c>
      <c r="C74" s="43">
        <f t="shared" si="2"/>
        <v>8</v>
      </c>
      <c r="D74" s="39" t="s">
        <v>30</v>
      </c>
      <c r="E74" s="39" t="s">
        <v>85</v>
      </c>
      <c r="F74" s="39" t="s">
        <v>211</v>
      </c>
      <c r="G74" s="42">
        <v>0</v>
      </c>
      <c r="H74" s="42">
        <v>520</v>
      </c>
      <c r="I74" s="42">
        <f t="shared" si="3"/>
        <v>-520</v>
      </c>
      <c r="J74" s="39" t="s">
        <v>85</v>
      </c>
      <c r="K74" s="41">
        <v>1110232</v>
      </c>
      <c r="L74" s="39" t="s">
        <v>85</v>
      </c>
      <c r="M74" s="39" t="s">
        <v>19</v>
      </c>
      <c r="N74" s="39" t="s">
        <v>85</v>
      </c>
      <c r="O74" s="39" t="s">
        <v>87</v>
      </c>
      <c r="P74" s="39" t="s">
        <v>85</v>
      </c>
      <c r="Q74" s="40">
        <f>DATE(2019,8,12)</f>
        <v>43689</v>
      </c>
      <c r="R74" s="39" t="s">
        <v>88</v>
      </c>
      <c r="S74" s="39" t="s">
        <v>85</v>
      </c>
      <c r="T74" s="39" t="s">
        <v>89</v>
      </c>
      <c r="U74" s="39" t="s">
        <v>89</v>
      </c>
      <c r="V74" s="39" t="s">
        <v>90</v>
      </c>
    </row>
    <row r="75" spans="1:22" ht="17.45" customHeight="1" x14ac:dyDescent="0.25">
      <c r="A75" s="39" t="s">
        <v>29</v>
      </c>
      <c r="B75" s="40">
        <f>DATE(2019,8,20)</f>
        <v>43697</v>
      </c>
      <c r="C75" s="43">
        <f t="shared" si="2"/>
        <v>8</v>
      </c>
      <c r="D75" s="39" t="s">
        <v>30</v>
      </c>
      <c r="E75" s="39" t="s">
        <v>85</v>
      </c>
      <c r="F75" s="39" t="s">
        <v>212</v>
      </c>
      <c r="G75" s="42">
        <v>0</v>
      </c>
      <c r="H75" s="42">
        <v>390</v>
      </c>
      <c r="I75" s="42">
        <f t="shared" si="3"/>
        <v>-390</v>
      </c>
      <c r="J75" s="39" t="s">
        <v>85</v>
      </c>
      <c r="K75" s="41">
        <v>1111971</v>
      </c>
      <c r="L75" s="39" t="s">
        <v>85</v>
      </c>
      <c r="M75" s="39" t="s">
        <v>19</v>
      </c>
      <c r="N75" s="39" t="s">
        <v>85</v>
      </c>
      <c r="O75" s="39" t="s">
        <v>87</v>
      </c>
      <c r="P75" s="39" t="s">
        <v>85</v>
      </c>
      <c r="Q75" s="40">
        <f>DATE(2019,8,21)</f>
        <v>43698</v>
      </c>
      <c r="R75" s="39" t="s">
        <v>88</v>
      </c>
      <c r="S75" s="39" t="s">
        <v>85</v>
      </c>
      <c r="T75" s="39" t="s">
        <v>89</v>
      </c>
      <c r="U75" s="39" t="s">
        <v>89</v>
      </c>
      <c r="V75" s="39" t="s">
        <v>90</v>
      </c>
    </row>
    <row r="76" spans="1:22" ht="17.45" customHeight="1" x14ac:dyDescent="0.25">
      <c r="A76" s="39" t="s">
        <v>29</v>
      </c>
      <c r="B76" s="40">
        <f>DATE(2019,9,3)</f>
        <v>43711</v>
      </c>
      <c r="C76" s="43">
        <f t="shared" si="2"/>
        <v>9</v>
      </c>
      <c r="D76" s="39" t="s">
        <v>30</v>
      </c>
      <c r="E76" s="39" t="s">
        <v>85</v>
      </c>
      <c r="F76" s="39" t="s">
        <v>213</v>
      </c>
      <c r="G76" s="42">
        <v>0</v>
      </c>
      <c r="H76" s="42">
        <v>195</v>
      </c>
      <c r="I76" s="42">
        <f t="shared" si="3"/>
        <v>-195</v>
      </c>
      <c r="J76" s="39" t="s">
        <v>85</v>
      </c>
      <c r="K76" s="41">
        <v>28171</v>
      </c>
      <c r="L76" s="39" t="s">
        <v>85</v>
      </c>
      <c r="M76" s="39" t="s">
        <v>19</v>
      </c>
      <c r="N76" s="39" t="s">
        <v>85</v>
      </c>
      <c r="O76" s="39" t="s">
        <v>87</v>
      </c>
      <c r="P76" s="39" t="s">
        <v>85</v>
      </c>
      <c r="Q76" s="40">
        <f>DATE(2019,9,3)</f>
        <v>43711</v>
      </c>
      <c r="R76" s="39" t="s">
        <v>88</v>
      </c>
      <c r="S76" s="39" t="s">
        <v>85</v>
      </c>
      <c r="T76" s="39" t="s">
        <v>89</v>
      </c>
      <c r="U76" s="39" t="s">
        <v>89</v>
      </c>
      <c r="V76" s="39" t="s">
        <v>90</v>
      </c>
    </row>
    <row r="77" spans="1:22" ht="17.45" customHeight="1" x14ac:dyDescent="0.25">
      <c r="A77" s="39" t="s">
        <v>29</v>
      </c>
      <c r="B77" s="40">
        <f>DATE(2019,9,4)</f>
        <v>43712</v>
      </c>
      <c r="C77" s="43">
        <f t="shared" si="2"/>
        <v>9</v>
      </c>
      <c r="D77" s="39" t="s">
        <v>30</v>
      </c>
      <c r="E77" s="39" t="s">
        <v>85</v>
      </c>
      <c r="F77" s="39" t="s">
        <v>214</v>
      </c>
      <c r="G77" s="42">
        <v>0</v>
      </c>
      <c r="H77" s="42">
        <v>650</v>
      </c>
      <c r="I77" s="42">
        <f t="shared" si="3"/>
        <v>-650</v>
      </c>
      <c r="J77" s="39" t="s">
        <v>85</v>
      </c>
      <c r="K77" s="41">
        <v>29372</v>
      </c>
      <c r="L77" s="39" t="s">
        <v>85</v>
      </c>
      <c r="M77" s="39" t="s">
        <v>19</v>
      </c>
      <c r="N77" s="39" t="s">
        <v>85</v>
      </c>
      <c r="O77" s="39" t="s">
        <v>87</v>
      </c>
      <c r="P77" s="39" t="s">
        <v>85</v>
      </c>
      <c r="Q77" s="40">
        <f>DATE(2019,9,5)</f>
        <v>43713</v>
      </c>
      <c r="R77" s="39" t="s">
        <v>88</v>
      </c>
      <c r="S77" s="39" t="s">
        <v>85</v>
      </c>
      <c r="T77" s="39" t="s">
        <v>89</v>
      </c>
      <c r="U77" s="39" t="s">
        <v>89</v>
      </c>
      <c r="V77" s="39" t="s">
        <v>90</v>
      </c>
    </row>
    <row r="78" spans="1:22" ht="17.45" customHeight="1" x14ac:dyDescent="0.25">
      <c r="A78" s="39" t="s">
        <v>29</v>
      </c>
      <c r="B78" s="40">
        <f>DATE(2019,9,4)</f>
        <v>43712</v>
      </c>
      <c r="C78" s="43">
        <f t="shared" si="2"/>
        <v>9</v>
      </c>
      <c r="D78" s="39" t="s">
        <v>30</v>
      </c>
      <c r="E78" s="39" t="s">
        <v>85</v>
      </c>
      <c r="F78" s="39" t="s">
        <v>215</v>
      </c>
      <c r="G78" s="42">
        <v>0</v>
      </c>
      <c r="H78" s="42">
        <v>3725</v>
      </c>
      <c r="I78" s="42">
        <f t="shared" si="3"/>
        <v>-3725</v>
      </c>
      <c r="J78" s="39" t="s">
        <v>85</v>
      </c>
      <c r="K78" s="41">
        <v>29374</v>
      </c>
      <c r="L78" s="39" t="s">
        <v>85</v>
      </c>
      <c r="M78" s="39" t="s">
        <v>19</v>
      </c>
      <c r="N78" s="39" t="s">
        <v>85</v>
      </c>
      <c r="O78" s="39" t="s">
        <v>87</v>
      </c>
      <c r="P78" s="39" t="s">
        <v>85</v>
      </c>
      <c r="Q78" s="40">
        <f>DATE(2019,9,5)</f>
        <v>43713</v>
      </c>
      <c r="R78" s="39" t="s">
        <v>88</v>
      </c>
      <c r="S78" s="39" t="s">
        <v>85</v>
      </c>
      <c r="T78" s="39" t="s">
        <v>89</v>
      </c>
      <c r="U78" s="39" t="s">
        <v>89</v>
      </c>
      <c r="V78" s="39" t="s">
        <v>90</v>
      </c>
    </row>
    <row r="79" spans="1:22" ht="17.45" customHeight="1" x14ac:dyDescent="0.25">
      <c r="A79" s="39" t="s">
        <v>29</v>
      </c>
      <c r="B79" s="40">
        <f>DATE(2019,9,23)</f>
        <v>43731</v>
      </c>
      <c r="C79" s="43">
        <f t="shared" si="2"/>
        <v>9</v>
      </c>
      <c r="D79" s="39" t="s">
        <v>30</v>
      </c>
      <c r="E79" s="39" t="s">
        <v>85</v>
      </c>
      <c r="F79" s="39" t="s">
        <v>216</v>
      </c>
      <c r="G79" s="42">
        <v>0</v>
      </c>
      <c r="H79" s="42">
        <v>1010</v>
      </c>
      <c r="I79" s="42">
        <f t="shared" si="3"/>
        <v>-1010</v>
      </c>
      <c r="J79" s="39" t="s">
        <v>85</v>
      </c>
      <c r="K79" s="41">
        <v>1113459</v>
      </c>
      <c r="L79" s="39" t="s">
        <v>85</v>
      </c>
      <c r="M79" s="39" t="s">
        <v>19</v>
      </c>
      <c r="N79" s="39" t="s">
        <v>85</v>
      </c>
      <c r="O79" s="39" t="s">
        <v>87</v>
      </c>
      <c r="P79" s="39" t="s">
        <v>85</v>
      </c>
      <c r="Q79" s="40">
        <f>DATE(2019,9,24)</f>
        <v>43732</v>
      </c>
      <c r="R79" s="39" t="s">
        <v>88</v>
      </c>
      <c r="S79" s="39" t="s">
        <v>85</v>
      </c>
      <c r="T79" s="39" t="s">
        <v>89</v>
      </c>
      <c r="U79" s="39" t="s">
        <v>89</v>
      </c>
      <c r="V79" s="39" t="s">
        <v>90</v>
      </c>
    </row>
    <row r="80" spans="1:22" ht="17.45" customHeight="1" x14ac:dyDescent="0.25">
      <c r="A80" s="39" t="s">
        <v>29</v>
      </c>
      <c r="B80" s="40">
        <f>DATE(2019,9,6)</f>
        <v>43714</v>
      </c>
      <c r="C80" s="43">
        <f t="shared" si="2"/>
        <v>9</v>
      </c>
      <c r="D80" s="39" t="s">
        <v>30</v>
      </c>
      <c r="E80" s="39" t="s">
        <v>85</v>
      </c>
      <c r="F80" s="39" t="s">
        <v>217</v>
      </c>
      <c r="G80" s="42">
        <v>0</v>
      </c>
      <c r="H80" s="42">
        <v>250</v>
      </c>
      <c r="I80" s="42">
        <f t="shared" si="3"/>
        <v>-250</v>
      </c>
      <c r="J80" s="39" t="s">
        <v>85</v>
      </c>
      <c r="K80" s="41">
        <v>29618</v>
      </c>
      <c r="L80" s="39" t="s">
        <v>85</v>
      </c>
      <c r="M80" s="39" t="s">
        <v>19</v>
      </c>
      <c r="N80" s="39" t="s">
        <v>85</v>
      </c>
      <c r="O80" s="39" t="s">
        <v>87</v>
      </c>
      <c r="P80" s="39" t="s">
        <v>85</v>
      </c>
      <c r="Q80" s="40">
        <f>DATE(2019,9,11)</f>
        <v>43719</v>
      </c>
      <c r="R80" s="39" t="s">
        <v>88</v>
      </c>
      <c r="S80" s="39" t="s">
        <v>85</v>
      </c>
      <c r="T80" s="39" t="s">
        <v>89</v>
      </c>
      <c r="U80" s="39" t="s">
        <v>89</v>
      </c>
      <c r="V80" s="39" t="s">
        <v>90</v>
      </c>
    </row>
    <row r="81" spans="1:22" ht="17.45" customHeight="1" x14ac:dyDescent="0.25">
      <c r="A81" s="39" t="s">
        <v>29</v>
      </c>
      <c r="B81" s="40">
        <f>DATE(2019,9,6)</f>
        <v>43714</v>
      </c>
      <c r="C81" s="43">
        <f t="shared" si="2"/>
        <v>9</v>
      </c>
      <c r="D81" s="39" t="s">
        <v>30</v>
      </c>
      <c r="E81" s="39" t="s">
        <v>85</v>
      </c>
      <c r="F81" s="39" t="s">
        <v>218</v>
      </c>
      <c r="G81" s="42">
        <v>0</v>
      </c>
      <c r="H81" s="42">
        <v>1290</v>
      </c>
      <c r="I81" s="42">
        <f t="shared" si="3"/>
        <v>-1290</v>
      </c>
      <c r="J81" s="39" t="s">
        <v>85</v>
      </c>
      <c r="K81" s="41">
        <v>29619</v>
      </c>
      <c r="L81" s="39" t="s">
        <v>85</v>
      </c>
      <c r="M81" s="39" t="s">
        <v>19</v>
      </c>
      <c r="N81" s="39" t="s">
        <v>85</v>
      </c>
      <c r="O81" s="39" t="s">
        <v>87</v>
      </c>
      <c r="P81" s="39" t="s">
        <v>85</v>
      </c>
      <c r="Q81" s="40">
        <f>DATE(2019,9,11)</f>
        <v>43719</v>
      </c>
      <c r="R81" s="39" t="s">
        <v>88</v>
      </c>
      <c r="S81" s="39" t="s">
        <v>85</v>
      </c>
      <c r="T81" s="39" t="s">
        <v>89</v>
      </c>
      <c r="U81" s="39" t="s">
        <v>89</v>
      </c>
      <c r="V81" s="39" t="s">
        <v>90</v>
      </c>
    </row>
    <row r="82" spans="1:22" ht="17.45" customHeight="1" x14ac:dyDescent="0.25">
      <c r="A82" s="39" t="s">
        <v>29</v>
      </c>
      <c r="B82" s="40">
        <f>DATE(2019,9,9)</f>
        <v>43717</v>
      </c>
      <c r="C82" s="43">
        <f t="shared" si="2"/>
        <v>9</v>
      </c>
      <c r="D82" s="39" t="s">
        <v>30</v>
      </c>
      <c r="E82" s="39" t="s">
        <v>85</v>
      </c>
      <c r="F82" s="39" t="s">
        <v>219</v>
      </c>
      <c r="G82" s="42">
        <v>0</v>
      </c>
      <c r="H82" s="42">
        <v>880</v>
      </c>
      <c r="I82" s="42">
        <f t="shared" si="3"/>
        <v>-880</v>
      </c>
      <c r="J82" s="39" t="s">
        <v>85</v>
      </c>
      <c r="K82" s="41">
        <v>29620</v>
      </c>
      <c r="L82" s="39" t="s">
        <v>85</v>
      </c>
      <c r="M82" s="39" t="s">
        <v>19</v>
      </c>
      <c r="N82" s="39" t="s">
        <v>85</v>
      </c>
      <c r="O82" s="39" t="s">
        <v>87</v>
      </c>
      <c r="P82" s="39" t="s">
        <v>85</v>
      </c>
      <c r="Q82" s="40">
        <f>DATE(2019,9,11)</f>
        <v>43719</v>
      </c>
      <c r="R82" s="39" t="s">
        <v>88</v>
      </c>
      <c r="S82" s="39" t="s">
        <v>85</v>
      </c>
      <c r="T82" s="39" t="s">
        <v>89</v>
      </c>
      <c r="U82" s="39" t="s">
        <v>89</v>
      </c>
      <c r="V82" s="39" t="s">
        <v>90</v>
      </c>
    </row>
    <row r="83" spans="1:22" ht="17.45" customHeight="1" x14ac:dyDescent="0.25">
      <c r="A83" s="39" t="s">
        <v>29</v>
      </c>
      <c r="B83" s="40">
        <f>DATE(2019,9,4)</f>
        <v>43712</v>
      </c>
      <c r="C83" s="43">
        <f t="shared" si="2"/>
        <v>9</v>
      </c>
      <c r="D83" s="39" t="s">
        <v>30</v>
      </c>
      <c r="E83" s="39" t="s">
        <v>85</v>
      </c>
      <c r="F83" s="39" t="s">
        <v>220</v>
      </c>
      <c r="G83" s="42">
        <v>0</v>
      </c>
      <c r="H83" s="42">
        <v>380</v>
      </c>
      <c r="I83" s="42">
        <f t="shared" si="3"/>
        <v>-380</v>
      </c>
      <c r="J83" s="39" t="s">
        <v>85</v>
      </c>
      <c r="K83" s="41">
        <v>29373</v>
      </c>
      <c r="L83" s="39" t="s">
        <v>85</v>
      </c>
      <c r="M83" s="39" t="s">
        <v>19</v>
      </c>
      <c r="N83" s="39" t="s">
        <v>85</v>
      </c>
      <c r="O83" s="39" t="s">
        <v>87</v>
      </c>
      <c r="P83" s="39" t="s">
        <v>85</v>
      </c>
      <c r="Q83" s="40">
        <f>DATE(2019,9,5)</f>
        <v>43713</v>
      </c>
      <c r="R83" s="39" t="s">
        <v>88</v>
      </c>
      <c r="S83" s="39" t="s">
        <v>85</v>
      </c>
      <c r="T83" s="39" t="s">
        <v>89</v>
      </c>
      <c r="U83" s="39" t="s">
        <v>89</v>
      </c>
      <c r="V83" s="39" t="s">
        <v>90</v>
      </c>
    </row>
    <row r="84" spans="1:22" ht="17.45" customHeight="1" x14ac:dyDescent="0.25">
      <c r="A84" s="39" t="s">
        <v>29</v>
      </c>
      <c r="B84" s="40">
        <f>DATE(2019,9,10)</f>
        <v>43718</v>
      </c>
      <c r="C84" s="43">
        <f t="shared" si="2"/>
        <v>9</v>
      </c>
      <c r="D84" s="39" t="s">
        <v>30</v>
      </c>
      <c r="E84" s="39" t="s">
        <v>85</v>
      </c>
      <c r="F84" s="39" t="s">
        <v>221</v>
      </c>
      <c r="G84" s="42">
        <v>0</v>
      </c>
      <c r="H84" s="42">
        <v>325</v>
      </c>
      <c r="I84" s="42">
        <f t="shared" si="3"/>
        <v>-325</v>
      </c>
      <c r="J84" s="39" t="s">
        <v>85</v>
      </c>
      <c r="K84" s="41">
        <v>29621</v>
      </c>
      <c r="L84" s="39" t="s">
        <v>85</v>
      </c>
      <c r="M84" s="39" t="s">
        <v>19</v>
      </c>
      <c r="N84" s="39" t="s">
        <v>85</v>
      </c>
      <c r="O84" s="39" t="s">
        <v>87</v>
      </c>
      <c r="P84" s="39" t="s">
        <v>85</v>
      </c>
      <c r="Q84" s="40">
        <f>DATE(2019,9,11)</f>
        <v>43719</v>
      </c>
      <c r="R84" s="39" t="s">
        <v>88</v>
      </c>
      <c r="S84" s="39" t="s">
        <v>85</v>
      </c>
      <c r="T84" s="39" t="s">
        <v>89</v>
      </c>
      <c r="U84" s="39" t="s">
        <v>89</v>
      </c>
      <c r="V84" s="39" t="s">
        <v>90</v>
      </c>
    </row>
    <row r="85" spans="1:22" ht="17.45" customHeight="1" x14ac:dyDescent="0.25">
      <c r="A85" s="39" t="s">
        <v>29</v>
      </c>
      <c r="B85" s="40">
        <f>DATE(2019,9,23)</f>
        <v>43731</v>
      </c>
      <c r="C85" s="43">
        <f t="shared" si="2"/>
        <v>9</v>
      </c>
      <c r="D85" s="39" t="s">
        <v>30</v>
      </c>
      <c r="E85" s="39" t="s">
        <v>85</v>
      </c>
      <c r="F85" s="39" t="s">
        <v>222</v>
      </c>
      <c r="G85" s="42">
        <v>0</v>
      </c>
      <c r="H85" s="42">
        <v>520</v>
      </c>
      <c r="I85" s="42">
        <f t="shared" si="3"/>
        <v>-520</v>
      </c>
      <c r="J85" s="39" t="s">
        <v>85</v>
      </c>
      <c r="K85" s="41">
        <v>1113463</v>
      </c>
      <c r="L85" s="39" t="s">
        <v>85</v>
      </c>
      <c r="M85" s="39" t="s">
        <v>19</v>
      </c>
      <c r="N85" s="39" t="s">
        <v>85</v>
      </c>
      <c r="O85" s="39" t="s">
        <v>87</v>
      </c>
      <c r="P85" s="39" t="s">
        <v>85</v>
      </c>
      <c r="Q85" s="40">
        <f>DATE(2019,9,24)</f>
        <v>43732</v>
      </c>
      <c r="R85" s="39" t="s">
        <v>88</v>
      </c>
      <c r="S85" s="39" t="s">
        <v>85</v>
      </c>
      <c r="T85" s="39" t="s">
        <v>89</v>
      </c>
      <c r="U85" s="39" t="s">
        <v>89</v>
      </c>
      <c r="V85" s="39" t="s">
        <v>90</v>
      </c>
    </row>
    <row r="86" spans="1:22" ht="17.45" customHeight="1" x14ac:dyDescent="0.25">
      <c r="A86" s="39" t="s">
        <v>29</v>
      </c>
      <c r="B86" s="40">
        <f>DATE(2019,9,5)</f>
        <v>43713</v>
      </c>
      <c r="C86" s="43">
        <f t="shared" si="2"/>
        <v>9</v>
      </c>
      <c r="D86" s="39" t="s">
        <v>30</v>
      </c>
      <c r="E86" s="39" t="s">
        <v>85</v>
      </c>
      <c r="F86" s="39" t="s">
        <v>223</v>
      </c>
      <c r="G86" s="42">
        <v>0</v>
      </c>
      <c r="H86" s="42">
        <v>185</v>
      </c>
      <c r="I86" s="42">
        <f t="shared" si="3"/>
        <v>-185</v>
      </c>
      <c r="J86" s="39" t="s">
        <v>85</v>
      </c>
      <c r="K86" s="41">
        <v>29442</v>
      </c>
      <c r="L86" s="39" t="s">
        <v>85</v>
      </c>
      <c r="M86" s="39" t="s">
        <v>19</v>
      </c>
      <c r="N86" s="39" t="s">
        <v>85</v>
      </c>
      <c r="O86" s="39" t="s">
        <v>87</v>
      </c>
      <c r="P86" s="39" t="s">
        <v>85</v>
      </c>
      <c r="Q86" s="40">
        <f>DATE(2019,9,6)</f>
        <v>43714</v>
      </c>
      <c r="R86" s="39" t="s">
        <v>88</v>
      </c>
      <c r="S86" s="39" t="s">
        <v>85</v>
      </c>
      <c r="T86" s="39" t="s">
        <v>89</v>
      </c>
      <c r="U86" s="39" t="s">
        <v>89</v>
      </c>
      <c r="V86" s="39" t="s">
        <v>90</v>
      </c>
    </row>
    <row r="87" spans="1:22" ht="17.45" customHeight="1" x14ac:dyDescent="0.25">
      <c r="A87" s="39" t="s">
        <v>29</v>
      </c>
      <c r="B87" s="40">
        <f>DATE(2019,9,23)</f>
        <v>43731</v>
      </c>
      <c r="C87" s="43">
        <f t="shared" si="2"/>
        <v>9</v>
      </c>
      <c r="D87" s="39" t="s">
        <v>30</v>
      </c>
      <c r="E87" s="39" t="s">
        <v>85</v>
      </c>
      <c r="F87" s="39" t="s">
        <v>224</v>
      </c>
      <c r="G87" s="42">
        <v>0</v>
      </c>
      <c r="H87" s="42">
        <v>260</v>
      </c>
      <c r="I87" s="42">
        <f t="shared" si="3"/>
        <v>-260</v>
      </c>
      <c r="J87" s="39" t="s">
        <v>85</v>
      </c>
      <c r="K87" s="41">
        <v>1113460</v>
      </c>
      <c r="L87" s="39" t="s">
        <v>85</v>
      </c>
      <c r="M87" s="39" t="s">
        <v>19</v>
      </c>
      <c r="N87" s="39" t="s">
        <v>85</v>
      </c>
      <c r="O87" s="39" t="s">
        <v>87</v>
      </c>
      <c r="P87" s="39" t="s">
        <v>85</v>
      </c>
      <c r="Q87" s="40">
        <f>DATE(2019,9,24)</f>
        <v>43732</v>
      </c>
      <c r="R87" s="39" t="s">
        <v>88</v>
      </c>
      <c r="S87" s="39" t="s">
        <v>85</v>
      </c>
      <c r="T87" s="39" t="s">
        <v>89</v>
      </c>
      <c r="U87" s="39" t="s">
        <v>89</v>
      </c>
      <c r="V87" s="39" t="s">
        <v>90</v>
      </c>
    </row>
    <row r="88" spans="1:22" ht="17.45" customHeight="1" x14ac:dyDescent="0.25">
      <c r="A88" s="39" t="s">
        <v>29</v>
      </c>
      <c r="B88" s="40">
        <f>DATE(2019,9,5)</f>
        <v>43713</v>
      </c>
      <c r="C88" s="43">
        <f t="shared" si="2"/>
        <v>9</v>
      </c>
      <c r="D88" s="39" t="s">
        <v>30</v>
      </c>
      <c r="E88" s="39" t="s">
        <v>85</v>
      </c>
      <c r="F88" s="39" t="s">
        <v>225</v>
      </c>
      <c r="G88" s="42">
        <v>0</v>
      </c>
      <c r="H88" s="42">
        <v>195</v>
      </c>
      <c r="I88" s="42">
        <f t="shared" si="3"/>
        <v>-195</v>
      </c>
      <c r="J88" s="39" t="s">
        <v>85</v>
      </c>
      <c r="K88" s="41">
        <v>29440</v>
      </c>
      <c r="L88" s="39" t="s">
        <v>85</v>
      </c>
      <c r="M88" s="39" t="s">
        <v>19</v>
      </c>
      <c r="N88" s="39" t="s">
        <v>85</v>
      </c>
      <c r="O88" s="39" t="s">
        <v>87</v>
      </c>
      <c r="P88" s="39" t="s">
        <v>85</v>
      </c>
      <c r="Q88" s="40">
        <f>DATE(2019,9,6)</f>
        <v>43714</v>
      </c>
      <c r="R88" s="39" t="s">
        <v>88</v>
      </c>
      <c r="S88" s="39" t="s">
        <v>85</v>
      </c>
      <c r="T88" s="39" t="s">
        <v>89</v>
      </c>
      <c r="U88" s="39" t="s">
        <v>89</v>
      </c>
      <c r="V88" s="39" t="s">
        <v>90</v>
      </c>
    </row>
    <row r="89" spans="1:22" ht="17.45" customHeight="1" x14ac:dyDescent="0.25">
      <c r="A89" s="39" t="s">
        <v>29</v>
      </c>
      <c r="B89" s="40">
        <f>DATE(2019,9,23)</f>
        <v>43731</v>
      </c>
      <c r="C89" s="43">
        <f t="shared" si="2"/>
        <v>9</v>
      </c>
      <c r="D89" s="39" t="s">
        <v>30</v>
      </c>
      <c r="E89" s="39" t="s">
        <v>85</v>
      </c>
      <c r="F89" s="39" t="s">
        <v>226</v>
      </c>
      <c r="G89" s="42">
        <v>0</v>
      </c>
      <c r="H89" s="42">
        <v>500</v>
      </c>
      <c r="I89" s="42">
        <f t="shared" si="3"/>
        <v>-500</v>
      </c>
      <c r="J89" s="39" t="s">
        <v>85</v>
      </c>
      <c r="K89" s="41">
        <v>1113461</v>
      </c>
      <c r="L89" s="39" t="s">
        <v>85</v>
      </c>
      <c r="M89" s="39" t="s">
        <v>19</v>
      </c>
      <c r="N89" s="39" t="s">
        <v>85</v>
      </c>
      <c r="O89" s="39" t="s">
        <v>87</v>
      </c>
      <c r="P89" s="39" t="s">
        <v>85</v>
      </c>
      <c r="Q89" s="40">
        <f>DATE(2019,9,24)</f>
        <v>43732</v>
      </c>
      <c r="R89" s="39" t="s">
        <v>88</v>
      </c>
      <c r="S89" s="39" t="s">
        <v>85</v>
      </c>
      <c r="T89" s="39" t="s">
        <v>89</v>
      </c>
      <c r="U89" s="39" t="s">
        <v>89</v>
      </c>
      <c r="V89" s="39" t="s">
        <v>90</v>
      </c>
    </row>
    <row r="90" spans="1:22" ht="17.45" customHeight="1" x14ac:dyDescent="0.25">
      <c r="A90" s="39" t="s">
        <v>29</v>
      </c>
      <c r="B90" s="40">
        <f>DATE(2019,9,30)</f>
        <v>43738</v>
      </c>
      <c r="C90" s="43">
        <f t="shared" si="2"/>
        <v>9</v>
      </c>
      <c r="D90" s="39" t="s">
        <v>30</v>
      </c>
      <c r="E90" s="39" t="s">
        <v>85</v>
      </c>
      <c r="F90" s="39" t="s">
        <v>227</v>
      </c>
      <c r="G90" s="42">
        <v>0</v>
      </c>
      <c r="H90" s="42">
        <v>130</v>
      </c>
      <c r="I90" s="42">
        <f t="shared" si="3"/>
        <v>-130</v>
      </c>
      <c r="J90" s="39" t="s">
        <v>85</v>
      </c>
      <c r="K90" s="41">
        <v>1114274</v>
      </c>
      <c r="L90" s="39" t="s">
        <v>85</v>
      </c>
      <c r="M90" s="39" t="s">
        <v>19</v>
      </c>
      <c r="N90" s="39" t="s">
        <v>85</v>
      </c>
      <c r="O90" s="39" t="s">
        <v>87</v>
      </c>
      <c r="P90" s="39" t="s">
        <v>85</v>
      </c>
      <c r="Q90" s="40">
        <f>DATE(2019,9,30)</f>
        <v>43738</v>
      </c>
      <c r="R90" s="39" t="s">
        <v>88</v>
      </c>
      <c r="S90" s="39" t="s">
        <v>85</v>
      </c>
      <c r="T90" s="39" t="s">
        <v>89</v>
      </c>
      <c r="U90" s="39" t="s">
        <v>89</v>
      </c>
      <c r="V90" s="39" t="s">
        <v>90</v>
      </c>
    </row>
    <row r="91" spans="1:22" ht="17.45" customHeight="1" x14ac:dyDescent="0.25">
      <c r="A91" s="39" t="s">
        <v>29</v>
      </c>
      <c r="B91" s="40">
        <f>DATE(2019,9,3)</f>
        <v>43711</v>
      </c>
      <c r="C91" s="43">
        <f t="shared" si="2"/>
        <v>9</v>
      </c>
      <c r="D91" s="39" t="s">
        <v>30</v>
      </c>
      <c r="E91" s="39" t="s">
        <v>85</v>
      </c>
      <c r="F91" s="39" t="s">
        <v>228</v>
      </c>
      <c r="G91" s="42">
        <v>0</v>
      </c>
      <c r="H91" s="42">
        <v>390</v>
      </c>
      <c r="I91" s="42">
        <f t="shared" si="3"/>
        <v>-390</v>
      </c>
      <c r="J91" s="39" t="s">
        <v>85</v>
      </c>
      <c r="K91" s="41">
        <v>28355</v>
      </c>
      <c r="L91" s="39" t="s">
        <v>85</v>
      </c>
      <c r="M91" s="39" t="s">
        <v>19</v>
      </c>
      <c r="N91" s="39" t="s">
        <v>85</v>
      </c>
      <c r="O91" s="39" t="s">
        <v>87</v>
      </c>
      <c r="P91" s="39" t="s">
        <v>85</v>
      </c>
      <c r="Q91" s="40">
        <f>DATE(2019,9,4)</f>
        <v>43712</v>
      </c>
      <c r="R91" s="39" t="s">
        <v>88</v>
      </c>
      <c r="S91" s="39" t="s">
        <v>85</v>
      </c>
      <c r="T91" s="39" t="s">
        <v>89</v>
      </c>
      <c r="U91" s="39" t="s">
        <v>89</v>
      </c>
      <c r="V91" s="39" t="s">
        <v>90</v>
      </c>
    </row>
    <row r="92" spans="1:22" ht="17.45" customHeight="1" x14ac:dyDescent="0.25">
      <c r="A92" s="39" t="s">
        <v>29</v>
      </c>
      <c r="B92" s="40">
        <f>DATE(2019,9,3)</f>
        <v>43711</v>
      </c>
      <c r="C92" s="43">
        <f t="shared" si="2"/>
        <v>9</v>
      </c>
      <c r="D92" s="39" t="s">
        <v>30</v>
      </c>
      <c r="E92" s="39" t="s">
        <v>85</v>
      </c>
      <c r="F92" s="39" t="s">
        <v>229</v>
      </c>
      <c r="G92" s="42">
        <v>0</v>
      </c>
      <c r="H92" s="42">
        <v>500</v>
      </c>
      <c r="I92" s="42">
        <f t="shared" si="3"/>
        <v>-500</v>
      </c>
      <c r="J92" s="39" t="s">
        <v>85</v>
      </c>
      <c r="K92" s="41">
        <v>28356</v>
      </c>
      <c r="L92" s="39" t="s">
        <v>85</v>
      </c>
      <c r="M92" s="39" t="s">
        <v>19</v>
      </c>
      <c r="N92" s="39" t="s">
        <v>85</v>
      </c>
      <c r="O92" s="39" t="s">
        <v>87</v>
      </c>
      <c r="P92" s="39" t="s">
        <v>85</v>
      </c>
      <c r="Q92" s="40">
        <f>DATE(2019,9,4)</f>
        <v>43712</v>
      </c>
      <c r="R92" s="39" t="s">
        <v>88</v>
      </c>
      <c r="S92" s="39" t="s">
        <v>85</v>
      </c>
      <c r="T92" s="39" t="s">
        <v>89</v>
      </c>
      <c r="U92" s="39" t="s">
        <v>89</v>
      </c>
      <c r="V92" s="39" t="s">
        <v>90</v>
      </c>
    </row>
    <row r="93" spans="1:22" ht="17.45" customHeight="1" x14ac:dyDescent="0.25">
      <c r="A93" s="39" t="s">
        <v>29</v>
      </c>
      <c r="B93" s="40">
        <f>DATE(2019,9,3)</f>
        <v>43711</v>
      </c>
      <c r="C93" s="43">
        <f t="shared" si="2"/>
        <v>9</v>
      </c>
      <c r="D93" s="39" t="s">
        <v>30</v>
      </c>
      <c r="E93" s="39" t="s">
        <v>85</v>
      </c>
      <c r="F93" s="39" t="s">
        <v>230</v>
      </c>
      <c r="G93" s="42">
        <v>0</v>
      </c>
      <c r="H93" s="42">
        <v>715</v>
      </c>
      <c r="I93" s="42">
        <f t="shared" si="3"/>
        <v>-715</v>
      </c>
      <c r="J93" s="39" t="s">
        <v>85</v>
      </c>
      <c r="K93" s="41">
        <v>28357</v>
      </c>
      <c r="L93" s="39" t="s">
        <v>85</v>
      </c>
      <c r="M93" s="39" t="s">
        <v>19</v>
      </c>
      <c r="N93" s="39" t="s">
        <v>85</v>
      </c>
      <c r="O93" s="39" t="s">
        <v>87</v>
      </c>
      <c r="P93" s="39" t="s">
        <v>85</v>
      </c>
      <c r="Q93" s="40">
        <f>DATE(2019,9,4)</f>
        <v>43712</v>
      </c>
      <c r="R93" s="39" t="s">
        <v>88</v>
      </c>
      <c r="S93" s="39" t="s">
        <v>85</v>
      </c>
      <c r="T93" s="39" t="s">
        <v>89</v>
      </c>
      <c r="U93" s="39" t="s">
        <v>89</v>
      </c>
      <c r="V93" s="39" t="s">
        <v>90</v>
      </c>
    </row>
    <row r="94" spans="1:22" ht="17.45" customHeight="1" x14ac:dyDescent="0.25">
      <c r="A94" s="39" t="s">
        <v>29</v>
      </c>
      <c r="B94" s="40">
        <f>DATE(2019,9,10)</f>
        <v>43718</v>
      </c>
      <c r="C94" s="43">
        <f t="shared" si="2"/>
        <v>9</v>
      </c>
      <c r="D94" s="39" t="s">
        <v>30</v>
      </c>
      <c r="E94" s="39" t="s">
        <v>85</v>
      </c>
      <c r="F94" s="39" t="s">
        <v>231</v>
      </c>
      <c r="G94" s="42">
        <v>0</v>
      </c>
      <c r="H94" s="42">
        <v>630</v>
      </c>
      <c r="I94" s="42">
        <f t="shared" si="3"/>
        <v>-630</v>
      </c>
      <c r="J94" s="39" t="s">
        <v>85</v>
      </c>
      <c r="K94" s="41">
        <v>29622</v>
      </c>
      <c r="L94" s="39" t="s">
        <v>85</v>
      </c>
      <c r="M94" s="39" t="s">
        <v>19</v>
      </c>
      <c r="N94" s="39" t="s">
        <v>85</v>
      </c>
      <c r="O94" s="39" t="s">
        <v>87</v>
      </c>
      <c r="P94" s="39" t="s">
        <v>85</v>
      </c>
      <c r="Q94" s="40">
        <f>DATE(2019,9,11)</f>
        <v>43719</v>
      </c>
      <c r="R94" s="39" t="s">
        <v>88</v>
      </c>
      <c r="S94" s="39" t="s">
        <v>85</v>
      </c>
      <c r="T94" s="39" t="s">
        <v>89</v>
      </c>
      <c r="U94" s="39" t="s">
        <v>89</v>
      </c>
      <c r="V94" s="39" t="s">
        <v>90</v>
      </c>
    </row>
    <row r="95" spans="1:22" ht="17.45" customHeight="1" x14ac:dyDescent="0.25">
      <c r="A95" s="39" t="s">
        <v>29</v>
      </c>
      <c r="B95" s="40">
        <f>DATE(2019,9,23)</f>
        <v>43731</v>
      </c>
      <c r="C95" s="43">
        <f t="shared" si="2"/>
        <v>9</v>
      </c>
      <c r="D95" s="39" t="s">
        <v>30</v>
      </c>
      <c r="E95" s="39" t="s">
        <v>85</v>
      </c>
      <c r="F95" s="39" t="s">
        <v>232</v>
      </c>
      <c r="G95" s="42">
        <v>0</v>
      </c>
      <c r="H95" s="42">
        <v>65</v>
      </c>
      <c r="I95" s="42">
        <f t="shared" si="3"/>
        <v>-65</v>
      </c>
      <c r="J95" s="39" t="s">
        <v>85</v>
      </c>
      <c r="K95" s="41">
        <v>1113462</v>
      </c>
      <c r="L95" s="39" t="s">
        <v>85</v>
      </c>
      <c r="M95" s="39" t="s">
        <v>19</v>
      </c>
      <c r="N95" s="39" t="s">
        <v>85</v>
      </c>
      <c r="O95" s="39" t="s">
        <v>87</v>
      </c>
      <c r="P95" s="39" t="s">
        <v>85</v>
      </c>
      <c r="Q95" s="40">
        <f>DATE(2019,9,24)</f>
        <v>43732</v>
      </c>
      <c r="R95" s="39" t="s">
        <v>88</v>
      </c>
      <c r="S95" s="39" t="s">
        <v>85</v>
      </c>
      <c r="T95" s="39" t="s">
        <v>89</v>
      </c>
      <c r="U95" s="39" t="s">
        <v>89</v>
      </c>
      <c r="V95" s="39" t="s">
        <v>90</v>
      </c>
    </row>
    <row r="96" spans="1:22" ht="17.45" customHeight="1" x14ac:dyDescent="0.25">
      <c r="A96" s="39" t="s">
        <v>29</v>
      </c>
      <c r="B96" s="40">
        <f>DATE(2019,10,2)</f>
        <v>43740</v>
      </c>
      <c r="C96" s="43">
        <f t="shared" si="2"/>
        <v>10</v>
      </c>
      <c r="D96" s="39" t="s">
        <v>30</v>
      </c>
      <c r="E96" s="39" t="s">
        <v>85</v>
      </c>
      <c r="F96" s="39" t="s">
        <v>233</v>
      </c>
      <c r="G96" s="42">
        <v>0</v>
      </c>
      <c r="H96" s="42">
        <v>520</v>
      </c>
      <c r="I96" s="42">
        <f t="shared" si="3"/>
        <v>-520</v>
      </c>
      <c r="J96" s="39" t="s">
        <v>85</v>
      </c>
      <c r="K96" s="41">
        <v>1115389</v>
      </c>
      <c r="L96" s="39" t="s">
        <v>85</v>
      </c>
      <c r="M96" s="39" t="s">
        <v>19</v>
      </c>
      <c r="N96" s="39" t="s">
        <v>85</v>
      </c>
      <c r="O96" s="39" t="s">
        <v>87</v>
      </c>
      <c r="P96" s="39" t="s">
        <v>85</v>
      </c>
      <c r="Q96" s="40">
        <f>DATE(2019,10,4)</f>
        <v>43742</v>
      </c>
      <c r="R96" s="39" t="s">
        <v>88</v>
      </c>
      <c r="S96" s="39" t="s">
        <v>85</v>
      </c>
      <c r="T96" s="39" t="s">
        <v>89</v>
      </c>
      <c r="U96" s="39" t="s">
        <v>89</v>
      </c>
      <c r="V96" s="39" t="s">
        <v>90</v>
      </c>
    </row>
    <row r="97" spans="1:22" ht="17.45" customHeight="1" x14ac:dyDescent="0.25">
      <c r="A97" s="39" t="s">
        <v>29</v>
      </c>
      <c r="B97" s="40">
        <f>DATE(2019,9,25)</f>
        <v>43733</v>
      </c>
      <c r="C97" s="43">
        <f t="shared" si="2"/>
        <v>9</v>
      </c>
      <c r="D97" s="39" t="s">
        <v>30</v>
      </c>
      <c r="E97" s="39" t="s">
        <v>85</v>
      </c>
      <c r="F97" s="39" t="s">
        <v>234</v>
      </c>
      <c r="G97" s="42">
        <v>0</v>
      </c>
      <c r="H97" s="42">
        <v>185</v>
      </c>
      <c r="I97" s="42">
        <f t="shared" si="3"/>
        <v>-185</v>
      </c>
      <c r="J97" s="39" t="s">
        <v>85</v>
      </c>
      <c r="K97" s="41">
        <v>1113848</v>
      </c>
      <c r="L97" s="39" t="s">
        <v>85</v>
      </c>
      <c r="M97" s="39" t="s">
        <v>19</v>
      </c>
      <c r="N97" s="39" t="s">
        <v>85</v>
      </c>
      <c r="O97" s="39" t="s">
        <v>87</v>
      </c>
      <c r="P97" s="39" t="s">
        <v>85</v>
      </c>
      <c r="Q97" s="40">
        <f>DATE(2019,9,25)</f>
        <v>43733</v>
      </c>
      <c r="R97" s="39" t="s">
        <v>88</v>
      </c>
      <c r="S97" s="39" t="s">
        <v>85</v>
      </c>
      <c r="T97" s="39" t="s">
        <v>89</v>
      </c>
      <c r="U97" s="39" t="s">
        <v>89</v>
      </c>
      <c r="V97" s="39" t="s">
        <v>90</v>
      </c>
    </row>
    <row r="98" spans="1:22" ht="17.45" customHeight="1" x14ac:dyDescent="0.25">
      <c r="A98" s="39" t="s">
        <v>29</v>
      </c>
      <c r="B98" s="40">
        <f>DATE(2019,10,2)</f>
        <v>43740</v>
      </c>
      <c r="C98" s="43">
        <f t="shared" si="2"/>
        <v>10</v>
      </c>
      <c r="D98" s="39" t="s">
        <v>30</v>
      </c>
      <c r="E98" s="39" t="s">
        <v>85</v>
      </c>
      <c r="F98" s="39" t="s">
        <v>235</v>
      </c>
      <c r="G98" s="42">
        <v>0</v>
      </c>
      <c r="H98" s="42">
        <v>575</v>
      </c>
      <c r="I98" s="42">
        <f t="shared" si="3"/>
        <v>-575</v>
      </c>
      <c r="J98" s="39" t="s">
        <v>85</v>
      </c>
      <c r="K98" s="41">
        <v>1115390</v>
      </c>
      <c r="L98" s="39" t="s">
        <v>85</v>
      </c>
      <c r="M98" s="39" t="s">
        <v>19</v>
      </c>
      <c r="N98" s="39" t="s">
        <v>85</v>
      </c>
      <c r="O98" s="39" t="s">
        <v>87</v>
      </c>
      <c r="P98" s="39" t="s">
        <v>85</v>
      </c>
      <c r="Q98" s="40">
        <f>DATE(2019,10,4)</f>
        <v>43742</v>
      </c>
      <c r="R98" s="39" t="s">
        <v>88</v>
      </c>
      <c r="S98" s="39" t="s">
        <v>85</v>
      </c>
      <c r="T98" s="39" t="s">
        <v>89</v>
      </c>
      <c r="U98" s="39" t="s">
        <v>89</v>
      </c>
      <c r="V98" s="39" t="s">
        <v>90</v>
      </c>
    </row>
    <row r="99" spans="1:22" ht="17.45" customHeight="1" x14ac:dyDescent="0.25">
      <c r="A99" s="39" t="s">
        <v>29</v>
      </c>
      <c r="B99" s="40">
        <f>DATE(2019,10,2)</f>
        <v>43740</v>
      </c>
      <c r="C99" s="43">
        <f t="shared" si="2"/>
        <v>10</v>
      </c>
      <c r="D99" s="39" t="s">
        <v>30</v>
      </c>
      <c r="E99" s="39" t="s">
        <v>85</v>
      </c>
      <c r="F99" s="39" t="s">
        <v>236</v>
      </c>
      <c r="G99" s="42">
        <v>0</v>
      </c>
      <c r="H99" s="42">
        <v>585</v>
      </c>
      <c r="I99" s="42">
        <f t="shared" si="3"/>
        <v>-585</v>
      </c>
      <c r="J99" s="39" t="s">
        <v>85</v>
      </c>
      <c r="K99" s="41">
        <v>1115388</v>
      </c>
      <c r="L99" s="39" t="s">
        <v>85</v>
      </c>
      <c r="M99" s="39" t="s">
        <v>19</v>
      </c>
      <c r="N99" s="39" t="s">
        <v>85</v>
      </c>
      <c r="O99" s="39" t="s">
        <v>87</v>
      </c>
      <c r="P99" s="39" t="s">
        <v>85</v>
      </c>
      <c r="Q99" s="40">
        <f>DATE(2019,10,4)</f>
        <v>43742</v>
      </c>
      <c r="R99" s="39" t="s">
        <v>88</v>
      </c>
      <c r="S99" s="39" t="s">
        <v>85</v>
      </c>
      <c r="T99" s="39" t="s">
        <v>89</v>
      </c>
      <c r="U99" s="39" t="s">
        <v>89</v>
      </c>
      <c r="V99" s="39" t="s">
        <v>90</v>
      </c>
    </row>
    <row r="100" spans="1:22" ht="17.45" customHeight="1" x14ac:dyDescent="0.25">
      <c r="A100" s="39" t="s">
        <v>29</v>
      </c>
      <c r="B100" s="40">
        <f>DATE(2019,10,2)</f>
        <v>43740</v>
      </c>
      <c r="C100" s="43">
        <f t="shared" si="2"/>
        <v>10</v>
      </c>
      <c r="D100" s="39" t="s">
        <v>30</v>
      </c>
      <c r="E100" s="39" t="s">
        <v>85</v>
      </c>
      <c r="F100" s="39" t="s">
        <v>237</v>
      </c>
      <c r="G100" s="42">
        <v>185</v>
      </c>
      <c r="H100" s="42">
        <v>0</v>
      </c>
      <c r="I100" s="42">
        <f t="shared" si="3"/>
        <v>185</v>
      </c>
      <c r="J100" s="39" t="s">
        <v>85</v>
      </c>
      <c r="K100" s="41">
        <v>1115432</v>
      </c>
      <c r="L100" s="39" t="s">
        <v>85</v>
      </c>
      <c r="M100" s="39" t="s">
        <v>19</v>
      </c>
      <c r="N100" s="39" t="s">
        <v>85</v>
      </c>
      <c r="O100" s="39" t="s">
        <v>87</v>
      </c>
      <c r="P100" s="39" t="s">
        <v>85</v>
      </c>
      <c r="Q100" s="40">
        <f>DATE(2019,10,4)</f>
        <v>43742</v>
      </c>
      <c r="R100" s="39" t="s">
        <v>88</v>
      </c>
      <c r="S100" s="39" t="s">
        <v>85</v>
      </c>
      <c r="T100" s="39" t="s">
        <v>89</v>
      </c>
      <c r="U100" s="39" t="s">
        <v>89</v>
      </c>
      <c r="V100" s="39" t="s">
        <v>90</v>
      </c>
    </row>
    <row r="101" spans="1:22" ht="17.45" customHeight="1" x14ac:dyDescent="0.25">
      <c r="A101" s="39" t="s">
        <v>29</v>
      </c>
      <c r="B101" s="40">
        <f>DATE(2019,9,27)</f>
        <v>43735</v>
      </c>
      <c r="C101" s="43">
        <f t="shared" si="2"/>
        <v>9</v>
      </c>
      <c r="D101" s="39" t="s">
        <v>30</v>
      </c>
      <c r="E101" s="39" t="s">
        <v>85</v>
      </c>
      <c r="F101" s="39" t="s">
        <v>238</v>
      </c>
      <c r="G101" s="42">
        <v>0</v>
      </c>
      <c r="H101" s="42">
        <v>65</v>
      </c>
      <c r="I101" s="42">
        <f t="shared" si="3"/>
        <v>-65</v>
      </c>
      <c r="J101" s="39" t="s">
        <v>85</v>
      </c>
      <c r="K101" s="41">
        <v>1114068</v>
      </c>
      <c r="L101" s="39" t="s">
        <v>85</v>
      </c>
      <c r="M101" s="39" t="s">
        <v>19</v>
      </c>
      <c r="N101" s="39" t="s">
        <v>85</v>
      </c>
      <c r="O101" s="39" t="s">
        <v>87</v>
      </c>
      <c r="P101" s="39" t="s">
        <v>85</v>
      </c>
      <c r="Q101" s="40">
        <f>DATE(2019,9,27)</f>
        <v>43735</v>
      </c>
      <c r="R101" s="39" t="s">
        <v>88</v>
      </c>
      <c r="S101" s="39" t="s">
        <v>85</v>
      </c>
      <c r="T101" s="39" t="s">
        <v>89</v>
      </c>
      <c r="U101" s="39" t="s">
        <v>89</v>
      </c>
      <c r="V101" s="39" t="s">
        <v>90</v>
      </c>
    </row>
    <row r="102" spans="1:22" ht="17.45" customHeight="1" x14ac:dyDescent="0.25">
      <c r="A102" s="39" t="s">
        <v>29</v>
      </c>
      <c r="B102" s="40">
        <f>DATE(2019,10,7)</f>
        <v>43745</v>
      </c>
      <c r="C102" s="43">
        <f t="shared" si="2"/>
        <v>10</v>
      </c>
      <c r="D102" s="39" t="s">
        <v>30</v>
      </c>
      <c r="E102" s="39" t="s">
        <v>85</v>
      </c>
      <c r="F102" s="39" t="s">
        <v>239</v>
      </c>
      <c r="G102" s="42">
        <v>0</v>
      </c>
      <c r="H102" s="42">
        <v>1400</v>
      </c>
      <c r="I102" s="42">
        <f t="shared" si="3"/>
        <v>-1400</v>
      </c>
      <c r="J102" s="39" t="s">
        <v>85</v>
      </c>
      <c r="K102" s="41">
        <v>1115592</v>
      </c>
      <c r="L102" s="39" t="s">
        <v>85</v>
      </c>
      <c r="M102" s="39" t="s">
        <v>19</v>
      </c>
      <c r="N102" s="39" t="s">
        <v>85</v>
      </c>
      <c r="O102" s="39" t="s">
        <v>87</v>
      </c>
      <c r="P102" s="39" t="s">
        <v>85</v>
      </c>
      <c r="Q102" s="40">
        <f>DATE(2019,10,8)</f>
        <v>43746</v>
      </c>
      <c r="R102" s="39" t="s">
        <v>88</v>
      </c>
      <c r="S102" s="39" t="s">
        <v>85</v>
      </c>
      <c r="T102" s="39" t="s">
        <v>89</v>
      </c>
      <c r="U102" s="39" t="s">
        <v>89</v>
      </c>
      <c r="V102" s="39" t="s">
        <v>90</v>
      </c>
    </row>
    <row r="103" spans="1:22" ht="17.45" customHeight="1" x14ac:dyDescent="0.25">
      <c r="A103" s="39" t="s">
        <v>29</v>
      </c>
      <c r="B103" s="40">
        <f>DATE(2019,10,7)</f>
        <v>43745</v>
      </c>
      <c r="C103" s="43">
        <f t="shared" si="2"/>
        <v>10</v>
      </c>
      <c r="D103" s="39" t="s">
        <v>30</v>
      </c>
      <c r="E103" s="39" t="s">
        <v>85</v>
      </c>
      <c r="F103" s="39" t="s">
        <v>240</v>
      </c>
      <c r="G103" s="42">
        <v>120</v>
      </c>
      <c r="H103" s="42">
        <v>0</v>
      </c>
      <c r="I103" s="42">
        <f t="shared" si="3"/>
        <v>120</v>
      </c>
      <c r="J103" s="39" t="s">
        <v>85</v>
      </c>
      <c r="K103" s="41">
        <v>1115632</v>
      </c>
      <c r="L103" s="39" t="s">
        <v>85</v>
      </c>
      <c r="M103" s="39" t="s">
        <v>19</v>
      </c>
      <c r="N103" s="39" t="s">
        <v>85</v>
      </c>
      <c r="O103" s="39" t="s">
        <v>87</v>
      </c>
      <c r="P103" s="39" t="s">
        <v>85</v>
      </c>
      <c r="Q103" s="40">
        <f>DATE(2019,10,8)</f>
        <v>43746</v>
      </c>
      <c r="R103" s="39" t="s">
        <v>88</v>
      </c>
      <c r="S103" s="39" t="s">
        <v>85</v>
      </c>
      <c r="T103" s="39" t="s">
        <v>89</v>
      </c>
      <c r="U103" s="39" t="s">
        <v>89</v>
      </c>
      <c r="V103" s="39" t="s">
        <v>90</v>
      </c>
    </row>
    <row r="104" spans="1:22" ht="17.45" customHeight="1" x14ac:dyDescent="0.25">
      <c r="A104" s="39" t="s">
        <v>29</v>
      </c>
      <c r="B104" s="40">
        <f>DATE(2019,10,8)</f>
        <v>43746</v>
      </c>
      <c r="C104" s="43">
        <f t="shared" si="2"/>
        <v>10</v>
      </c>
      <c r="D104" s="39" t="s">
        <v>30</v>
      </c>
      <c r="E104" s="39" t="s">
        <v>85</v>
      </c>
      <c r="F104" s="39" t="s">
        <v>241</v>
      </c>
      <c r="G104" s="42">
        <v>0</v>
      </c>
      <c r="H104" s="42">
        <v>325</v>
      </c>
      <c r="I104" s="42">
        <f t="shared" si="3"/>
        <v>-325</v>
      </c>
      <c r="J104" s="39" t="s">
        <v>85</v>
      </c>
      <c r="K104" s="41">
        <v>1115745</v>
      </c>
      <c r="L104" s="39" t="s">
        <v>85</v>
      </c>
      <c r="M104" s="39" t="s">
        <v>19</v>
      </c>
      <c r="N104" s="39" t="s">
        <v>85</v>
      </c>
      <c r="O104" s="39" t="s">
        <v>87</v>
      </c>
      <c r="P104" s="39" t="s">
        <v>85</v>
      </c>
      <c r="Q104" s="40">
        <f>DATE(2019,10,9)</f>
        <v>43747</v>
      </c>
      <c r="R104" s="39" t="s">
        <v>88</v>
      </c>
      <c r="S104" s="39" t="s">
        <v>85</v>
      </c>
      <c r="T104" s="39" t="s">
        <v>89</v>
      </c>
      <c r="U104" s="39" t="s">
        <v>89</v>
      </c>
      <c r="V104" s="39" t="s">
        <v>90</v>
      </c>
    </row>
    <row r="105" spans="1:22" ht="17.45" customHeight="1" x14ac:dyDescent="0.25">
      <c r="A105" s="39" t="s">
        <v>29</v>
      </c>
      <c r="B105" s="40">
        <f>DATE(2019,10,8)</f>
        <v>43746</v>
      </c>
      <c r="C105" s="43">
        <f t="shared" si="2"/>
        <v>10</v>
      </c>
      <c r="D105" s="39" t="s">
        <v>30</v>
      </c>
      <c r="E105" s="39" t="s">
        <v>85</v>
      </c>
      <c r="F105" s="39" t="s">
        <v>242</v>
      </c>
      <c r="G105" s="42">
        <v>0</v>
      </c>
      <c r="H105" s="42">
        <v>380</v>
      </c>
      <c r="I105" s="42">
        <f t="shared" si="3"/>
        <v>-380</v>
      </c>
      <c r="J105" s="39" t="s">
        <v>85</v>
      </c>
      <c r="K105" s="41">
        <v>1115748</v>
      </c>
      <c r="L105" s="39" t="s">
        <v>85</v>
      </c>
      <c r="M105" s="39" t="s">
        <v>19</v>
      </c>
      <c r="N105" s="39" t="s">
        <v>85</v>
      </c>
      <c r="O105" s="39" t="s">
        <v>87</v>
      </c>
      <c r="P105" s="39" t="s">
        <v>85</v>
      </c>
      <c r="Q105" s="40">
        <f>DATE(2019,10,9)</f>
        <v>43747</v>
      </c>
      <c r="R105" s="39" t="s">
        <v>88</v>
      </c>
      <c r="S105" s="39" t="s">
        <v>85</v>
      </c>
      <c r="T105" s="39" t="s">
        <v>89</v>
      </c>
      <c r="U105" s="39" t="s">
        <v>89</v>
      </c>
      <c r="V105" s="39" t="s">
        <v>90</v>
      </c>
    </row>
    <row r="106" spans="1:22" ht="17.45" customHeight="1" x14ac:dyDescent="0.25">
      <c r="A106" s="39" t="s">
        <v>29</v>
      </c>
      <c r="B106" s="40">
        <f>DATE(2019,10,8)</f>
        <v>43746</v>
      </c>
      <c r="C106" s="43">
        <f t="shared" si="2"/>
        <v>10</v>
      </c>
      <c r="D106" s="39" t="s">
        <v>30</v>
      </c>
      <c r="E106" s="39" t="s">
        <v>85</v>
      </c>
      <c r="F106" s="39" t="s">
        <v>243</v>
      </c>
      <c r="G106" s="42">
        <v>0</v>
      </c>
      <c r="H106" s="42">
        <v>705</v>
      </c>
      <c r="I106" s="42">
        <f t="shared" si="3"/>
        <v>-705</v>
      </c>
      <c r="J106" s="39" t="s">
        <v>85</v>
      </c>
      <c r="K106" s="41">
        <v>1115746</v>
      </c>
      <c r="L106" s="39" t="s">
        <v>85</v>
      </c>
      <c r="M106" s="39" t="s">
        <v>19</v>
      </c>
      <c r="N106" s="39" t="s">
        <v>85</v>
      </c>
      <c r="O106" s="39" t="s">
        <v>87</v>
      </c>
      <c r="P106" s="39" t="s">
        <v>85</v>
      </c>
      <c r="Q106" s="40">
        <f>DATE(2019,10,9)</f>
        <v>43747</v>
      </c>
      <c r="R106" s="39" t="s">
        <v>88</v>
      </c>
      <c r="S106" s="39" t="s">
        <v>85</v>
      </c>
      <c r="T106" s="39" t="s">
        <v>89</v>
      </c>
      <c r="U106" s="39" t="s">
        <v>89</v>
      </c>
      <c r="V106" s="39" t="s">
        <v>90</v>
      </c>
    </row>
    <row r="107" spans="1:22" ht="17.45" customHeight="1" x14ac:dyDescent="0.25">
      <c r="A107" s="39" t="s">
        <v>29</v>
      </c>
      <c r="B107" s="40">
        <f>DATE(2019,10,8)</f>
        <v>43746</v>
      </c>
      <c r="C107" s="43">
        <f t="shared" si="2"/>
        <v>10</v>
      </c>
      <c r="D107" s="39" t="s">
        <v>30</v>
      </c>
      <c r="E107" s="39" t="s">
        <v>85</v>
      </c>
      <c r="F107" s="39" t="s">
        <v>244</v>
      </c>
      <c r="G107" s="42">
        <v>0</v>
      </c>
      <c r="H107" s="42">
        <v>1140</v>
      </c>
      <c r="I107" s="42">
        <f t="shared" si="3"/>
        <v>-1140</v>
      </c>
      <c r="J107" s="39" t="s">
        <v>85</v>
      </c>
      <c r="K107" s="41">
        <v>1115747</v>
      </c>
      <c r="L107" s="39" t="s">
        <v>85</v>
      </c>
      <c r="M107" s="39" t="s">
        <v>19</v>
      </c>
      <c r="N107" s="39" t="s">
        <v>85</v>
      </c>
      <c r="O107" s="39" t="s">
        <v>87</v>
      </c>
      <c r="P107" s="39" t="s">
        <v>85</v>
      </c>
      <c r="Q107" s="40">
        <f>DATE(2019,10,9)</f>
        <v>43747</v>
      </c>
      <c r="R107" s="39" t="s">
        <v>88</v>
      </c>
      <c r="S107" s="39" t="s">
        <v>85</v>
      </c>
      <c r="T107" s="39" t="s">
        <v>89</v>
      </c>
      <c r="U107" s="39" t="s">
        <v>89</v>
      </c>
      <c r="V107" s="39" t="s">
        <v>90</v>
      </c>
    </row>
    <row r="108" spans="1:22" ht="17.45" customHeight="1" x14ac:dyDescent="0.25">
      <c r="A108" s="39" t="s">
        <v>29</v>
      </c>
      <c r="B108" s="40">
        <f>DATE(2019,10,9)</f>
        <v>43747</v>
      </c>
      <c r="C108" s="43">
        <f t="shared" si="2"/>
        <v>10</v>
      </c>
      <c r="D108" s="39" t="s">
        <v>30</v>
      </c>
      <c r="E108" s="39" t="s">
        <v>85</v>
      </c>
      <c r="F108" s="39" t="s">
        <v>245</v>
      </c>
      <c r="G108" s="42">
        <v>0</v>
      </c>
      <c r="H108" s="42">
        <v>555</v>
      </c>
      <c r="I108" s="42">
        <f t="shared" si="3"/>
        <v>-555</v>
      </c>
      <c r="J108" s="39" t="s">
        <v>85</v>
      </c>
      <c r="K108" s="41">
        <v>1115833</v>
      </c>
      <c r="L108" s="39" t="s">
        <v>85</v>
      </c>
      <c r="M108" s="39" t="s">
        <v>19</v>
      </c>
      <c r="N108" s="39" t="s">
        <v>85</v>
      </c>
      <c r="O108" s="39" t="s">
        <v>87</v>
      </c>
      <c r="P108" s="39" t="s">
        <v>85</v>
      </c>
      <c r="Q108" s="40">
        <f>DATE(2019,10,10)</f>
        <v>43748</v>
      </c>
      <c r="R108" s="39" t="s">
        <v>88</v>
      </c>
      <c r="S108" s="39" t="s">
        <v>85</v>
      </c>
      <c r="T108" s="39" t="s">
        <v>89</v>
      </c>
      <c r="U108" s="39" t="s">
        <v>89</v>
      </c>
      <c r="V108" s="39" t="s">
        <v>90</v>
      </c>
    </row>
    <row r="109" spans="1:22" ht="17.45" customHeight="1" x14ac:dyDescent="0.25">
      <c r="A109" s="39" t="s">
        <v>29</v>
      </c>
      <c r="B109" s="40">
        <f>DATE(2019,10,9)</f>
        <v>43747</v>
      </c>
      <c r="C109" s="43">
        <f t="shared" si="2"/>
        <v>10</v>
      </c>
      <c r="D109" s="39" t="s">
        <v>30</v>
      </c>
      <c r="E109" s="39" t="s">
        <v>85</v>
      </c>
      <c r="F109" s="39" t="s">
        <v>246</v>
      </c>
      <c r="G109" s="42">
        <v>0</v>
      </c>
      <c r="H109" s="42">
        <v>630</v>
      </c>
      <c r="I109" s="42">
        <f t="shared" si="3"/>
        <v>-630</v>
      </c>
      <c r="J109" s="39" t="s">
        <v>85</v>
      </c>
      <c r="K109" s="41">
        <v>1115832</v>
      </c>
      <c r="L109" s="39" t="s">
        <v>85</v>
      </c>
      <c r="M109" s="39" t="s">
        <v>19</v>
      </c>
      <c r="N109" s="39" t="s">
        <v>85</v>
      </c>
      <c r="O109" s="39" t="s">
        <v>87</v>
      </c>
      <c r="P109" s="39" t="s">
        <v>85</v>
      </c>
      <c r="Q109" s="40">
        <f>DATE(2019,10,10)</f>
        <v>43748</v>
      </c>
      <c r="R109" s="39" t="s">
        <v>88</v>
      </c>
      <c r="S109" s="39" t="s">
        <v>85</v>
      </c>
      <c r="T109" s="39" t="s">
        <v>89</v>
      </c>
      <c r="U109" s="39" t="s">
        <v>89</v>
      </c>
      <c r="V109" s="39" t="s">
        <v>90</v>
      </c>
    </row>
    <row r="110" spans="1:22" ht="17.45" customHeight="1" x14ac:dyDescent="0.25">
      <c r="A110" s="39" t="s">
        <v>29</v>
      </c>
      <c r="B110" s="40">
        <f>DATE(2019,10,11)</f>
        <v>43749</v>
      </c>
      <c r="C110" s="43">
        <f t="shared" si="2"/>
        <v>10</v>
      </c>
      <c r="D110" s="39" t="s">
        <v>30</v>
      </c>
      <c r="E110" s="39" t="s">
        <v>85</v>
      </c>
      <c r="F110" s="39" t="s">
        <v>247</v>
      </c>
      <c r="G110" s="42">
        <v>0</v>
      </c>
      <c r="H110" s="42">
        <v>65</v>
      </c>
      <c r="I110" s="42">
        <f t="shared" si="3"/>
        <v>-65</v>
      </c>
      <c r="J110" s="39" t="s">
        <v>85</v>
      </c>
      <c r="K110" s="41">
        <v>1116103</v>
      </c>
      <c r="L110" s="39" t="s">
        <v>85</v>
      </c>
      <c r="M110" s="39" t="s">
        <v>19</v>
      </c>
      <c r="N110" s="39" t="s">
        <v>85</v>
      </c>
      <c r="O110" s="39" t="s">
        <v>87</v>
      </c>
      <c r="P110" s="39" t="s">
        <v>85</v>
      </c>
      <c r="Q110" s="40">
        <f>DATE(2019,10,15)</f>
        <v>43753</v>
      </c>
      <c r="R110" s="39" t="s">
        <v>88</v>
      </c>
      <c r="S110" s="39" t="s">
        <v>85</v>
      </c>
      <c r="T110" s="39" t="s">
        <v>89</v>
      </c>
      <c r="U110" s="39" t="s">
        <v>89</v>
      </c>
      <c r="V110" s="39" t="s">
        <v>90</v>
      </c>
    </row>
    <row r="111" spans="1:22" ht="17.45" customHeight="1" x14ac:dyDescent="0.25">
      <c r="A111" s="39" t="s">
        <v>29</v>
      </c>
      <c r="B111" s="40">
        <f>DATE(2019,10,11)</f>
        <v>43749</v>
      </c>
      <c r="C111" s="43">
        <f t="shared" si="2"/>
        <v>10</v>
      </c>
      <c r="D111" s="39" t="s">
        <v>30</v>
      </c>
      <c r="E111" s="39" t="s">
        <v>85</v>
      </c>
      <c r="F111" s="39" t="s">
        <v>248</v>
      </c>
      <c r="G111" s="42">
        <v>0</v>
      </c>
      <c r="H111" s="42">
        <v>185</v>
      </c>
      <c r="I111" s="42">
        <f t="shared" si="3"/>
        <v>-185</v>
      </c>
      <c r="J111" s="39" t="s">
        <v>85</v>
      </c>
      <c r="K111" s="41">
        <v>1116105</v>
      </c>
      <c r="L111" s="39" t="s">
        <v>85</v>
      </c>
      <c r="M111" s="39" t="s">
        <v>19</v>
      </c>
      <c r="N111" s="39" t="s">
        <v>85</v>
      </c>
      <c r="O111" s="39" t="s">
        <v>87</v>
      </c>
      <c r="P111" s="39" t="s">
        <v>85</v>
      </c>
      <c r="Q111" s="40">
        <f>DATE(2019,10,15)</f>
        <v>43753</v>
      </c>
      <c r="R111" s="39" t="s">
        <v>88</v>
      </c>
      <c r="S111" s="39" t="s">
        <v>85</v>
      </c>
      <c r="T111" s="39" t="s">
        <v>89</v>
      </c>
      <c r="U111" s="39" t="s">
        <v>89</v>
      </c>
      <c r="V111" s="39" t="s">
        <v>90</v>
      </c>
    </row>
    <row r="112" spans="1:22" ht="17.45" customHeight="1" x14ac:dyDescent="0.25">
      <c r="A112" s="39" t="s">
        <v>29</v>
      </c>
      <c r="B112" s="40">
        <f>DATE(2019,10,1)</f>
        <v>43739</v>
      </c>
      <c r="C112" s="43">
        <f t="shared" si="2"/>
        <v>10</v>
      </c>
      <c r="D112" s="39" t="s">
        <v>30</v>
      </c>
      <c r="E112" s="39" t="s">
        <v>85</v>
      </c>
      <c r="F112" s="39" t="s">
        <v>249</v>
      </c>
      <c r="G112" s="42">
        <v>0</v>
      </c>
      <c r="H112" s="42">
        <v>130</v>
      </c>
      <c r="I112" s="42">
        <f t="shared" si="3"/>
        <v>-130</v>
      </c>
      <c r="J112" s="39" t="s">
        <v>85</v>
      </c>
      <c r="K112" s="41">
        <v>1114437</v>
      </c>
      <c r="L112" s="39" t="s">
        <v>85</v>
      </c>
      <c r="M112" s="39" t="s">
        <v>19</v>
      </c>
      <c r="N112" s="39" t="s">
        <v>85</v>
      </c>
      <c r="O112" s="39" t="s">
        <v>87</v>
      </c>
      <c r="P112" s="39" t="s">
        <v>85</v>
      </c>
      <c r="Q112" s="40">
        <f>DATE(2019,10,2)</f>
        <v>43740</v>
      </c>
      <c r="R112" s="39" t="s">
        <v>88</v>
      </c>
      <c r="S112" s="39" t="s">
        <v>85</v>
      </c>
      <c r="T112" s="39" t="s">
        <v>89</v>
      </c>
      <c r="U112" s="39" t="s">
        <v>89</v>
      </c>
      <c r="V112" s="39" t="s">
        <v>90</v>
      </c>
    </row>
    <row r="113" spans="1:22" ht="17.45" customHeight="1" x14ac:dyDescent="0.25">
      <c r="A113" s="39" t="s">
        <v>29</v>
      </c>
      <c r="B113" s="40">
        <f>DATE(2019,10,23)</f>
        <v>43761</v>
      </c>
      <c r="C113" s="43">
        <f t="shared" si="2"/>
        <v>10</v>
      </c>
      <c r="D113" s="39" t="s">
        <v>30</v>
      </c>
      <c r="E113" s="39" t="s">
        <v>85</v>
      </c>
      <c r="F113" s="39" t="s">
        <v>250</v>
      </c>
      <c r="G113" s="42">
        <v>0</v>
      </c>
      <c r="H113" s="42">
        <v>325</v>
      </c>
      <c r="I113" s="42">
        <f t="shared" si="3"/>
        <v>-325</v>
      </c>
      <c r="J113" s="39" t="s">
        <v>85</v>
      </c>
      <c r="K113" s="41">
        <v>1118482</v>
      </c>
      <c r="L113" s="39" t="s">
        <v>85</v>
      </c>
      <c r="M113" s="39" t="s">
        <v>19</v>
      </c>
      <c r="N113" s="39" t="s">
        <v>85</v>
      </c>
      <c r="O113" s="39" t="s">
        <v>87</v>
      </c>
      <c r="P113" s="39" t="s">
        <v>85</v>
      </c>
      <c r="Q113" s="40">
        <f>DATE(2019,10,24)</f>
        <v>43762</v>
      </c>
      <c r="R113" s="39" t="s">
        <v>88</v>
      </c>
      <c r="S113" s="39" t="s">
        <v>85</v>
      </c>
      <c r="T113" s="39" t="s">
        <v>89</v>
      </c>
      <c r="U113" s="39" t="s">
        <v>89</v>
      </c>
      <c r="V113" s="39" t="s">
        <v>90</v>
      </c>
    </row>
    <row r="114" spans="1:22" ht="17.45" customHeight="1" x14ac:dyDescent="0.25">
      <c r="A114" s="39" t="s">
        <v>29</v>
      </c>
      <c r="B114" s="40">
        <f>DATE(2019,10,25)</f>
        <v>43763</v>
      </c>
      <c r="C114" s="43">
        <f t="shared" si="2"/>
        <v>10</v>
      </c>
      <c r="D114" s="39" t="s">
        <v>30</v>
      </c>
      <c r="E114" s="39" t="s">
        <v>85</v>
      </c>
      <c r="F114" s="39" t="s">
        <v>251</v>
      </c>
      <c r="G114" s="42">
        <v>0</v>
      </c>
      <c r="H114" s="42">
        <v>65</v>
      </c>
      <c r="I114" s="42">
        <f t="shared" si="3"/>
        <v>-65</v>
      </c>
      <c r="J114" s="39" t="s">
        <v>85</v>
      </c>
      <c r="K114" s="41">
        <v>1118789</v>
      </c>
      <c r="L114" s="39" t="s">
        <v>85</v>
      </c>
      <c r="M114" s="39" t="s">
        <v>19</v>
      </c>
      <c r="N114" s="39" t="s">
        <v>85</v>
      </c>
      <c r="O114" s="39" t="s">
        <v>87</v>
      </c>
      <c r="P114" s="39" t="s">
        <v>85</v>
      </c>
      <c r="Q114" s="40">
        <f>DATE(2019,10,30)</f>
        <v>43768</v>
      </c>
      <c r="R114" s="39" t="s">
        <v>88</v>
      </c>
      <c r="S114" s="39" t="s">
        <v>85</v>
      </c>
      <c r="T114" s="39" t="s">
        <v>89</v>
      </c>
      <c r="U114" s="39" t="s">
        <v>89</v>
      </c>
      <c r="V114" s="39" t="s">
        <v>90</v>
      </c>
    </row>
    <row r="115" spans="1:22" ht="17.45" customHeight="1" x14ac:dyDescent="0.25">
      <c r="A115" s="39" t="s">
        <v>29</v>
      </c>
      <c r="B115" s="40">
        <f>DATE(2019,10,1)</f>
        <v>43739</v>
      </c>
      <c r="C115" s="43">
        <f t="shared" si="2"/>
        <v>10</v>
      </c>
      <c r="D115" s="39" t="s">
        <v>30</v>
      </c>
      <c r="E115" s="39" t="s">
        <v>85</v>
      </c>
      <c r="F115" s="39" t="s">
        <v>252</v>
      </c>
      <c r="G115" s="42">
        <v>0</v>
      </c>
      <c r="H115" s="42">
        <v>445</v>
      </c>
      <c r="I115" s="42">
        <f t="shared" si="3"/>
        <v>-445</v>
      </c>
      <c r="J115" s="39" t="s">
        <v>85</v>
      </c>
      <c r="K115" s="41">
        <v>1114436</v>
      </c>
      <c r="L115" s="39" t="s">
        <v>85</v>
      </c>
      <c r="M115" s="39" t="s">
        <v>19</v>
      </c>
      <c r="N115" s="39" t="s">
        <v>85</v>
      </c>
      <c r="O115" s="39" t="s">
        <v>87</v>
      </c>
      <c r="P115" s="39" t="s">
        <v>85</v>
      </c>
      <c r="Q115" s="40">
        <f>DATE(2019,10,2)</f>
        <v>43740</v>
      </c>
      <c r="R115" s="39" t="s">
        <v>88</v>
      </c>
      <c r="S115" s="39" t="s">
        <v>85</v>
      </c>
      <c r="T115" s="39" t="s">
        <v>89</v>
      </c>
      <c r="U115" s="39" t="s">
        <v>89</v>
      </c>
      <c r="V115" s="39" t="s">
        <v>90</v>
      </c>
    </row>
    <row r="116" spans="1:22" ht="17.45" customHeight="1" x14ac:dyDescent="0.25">
      <c r="A116" s="39" t="s">
        <v>29</v>
      </c>
      <c r="B116" s="40">
        <f>DATE(2019,10,1)</f>
        <v>43739</v>
      </c>
      <c r="C116" s="43">
        <f t="shared" si="2"/>
        <v>10</v>
      </c>
      <c r="D116" s="39" t="s">
        <v>30</v>
      </c>
      <c r="E116" s="39" t="s">
        <v>85</v>
      </c>
      <c r="F116" s="39" t="s">
        <v>253</v>
      </c>
      <c r="G116" s="42">
        <v>0</v>
      </c>
      <c r="H116" s="42">
        <v>510</v>
      </c>
      <c r="I116" s="42">
        <f t="shared" si="3"/>
        <v>-510</v>
      </c>
      <c r="J116" s="39" t="s">
        <v>85</v>
      </c>
      <c r="K116" s="41">
        <v>1114435</v>
      </c>
      <c r="L116" s="39" t="s">
        <v>85</v>
      </c>
      <c r="M116" s="39" t="s">
        <v>19</v>
      </c>
      <c r="N116" s="39" t="s">
        <v>85</v>
      </c>
      <c r="O116" s="39" t="s">
        <v>87</v>
      </c>
      <c r="P116" s="39" t="s">
        <v>85</v>
      </c>
      <c r="Q116" s="40">
        <f>DATE(2019,10,2)</f>
        <v>43740</v>
      </c>
      <c r="R116" s="39" t="s">
        <v>88</v>
      </c>
      <c r="S116" s="39" t="s">
        <v>85</v>
      </c>
      <c r="T116" s="39" t="s">
        <v>89</v>
      </c>
      <c r="U116" s="39" t="s">
        <v>89</v>
      </c>
      <c r="V116" s="39" t="s">
        <v>90</v>
      </c>
    </row>
    <row r="117" spans="1:22" ht="17.45" customHeight="1" x14ac:dyDescent="0.25">
      <c r="A117" s="39" t="s">
        <v>29</v>
      </c>
      <c r="B117" s="40">
        <f>DATE(2019,10,9)</f>
        <v>43747</v>
      </c>
      <c r="C117" s="43">
        <f t="shared" si="2"/>
        <v>10</v>
      </c>
      <c r="D117" s="39" t="s">
        <v>30</v>
      </c>
      <c r="E117" s="39" t="s">
        <v>85</v>
      </c>
      <c r="F117" s="39" t="s">
        <v>254</v>
      </c>
      <c r="G117" s="42">
        <v>0</v>
      </c>
      <c r="H117" s="42">
        <v>380</v>
      </c>
      <c r="I117" s="42">
        <f t="shared" si="3"/>
        <v>-380</v>
      </c>
      <c r="J117" s="39" t="s">
        <v>85</v>
      </c>
      <c r="K117" s="41">
        <v>1115835</v>
      </c>
      <c r="L117" s="39" t="s">
        <v>85</v>
      </c>
      <c r="M117" s="39" t="s">
        <v>19</v>
      </c>
      <c r="N117" s="39" t="s">
        <v>85</v>
      </c>
      <c r="O117" s="39" t="s">
        <v>87</v>
      </c>
      <c r="P117" s="39" t="s">
        <v>85</v>
      </c>
      <c r="Q117" s="40">
        <f>DATE(2019,10,10)</f>
        <v>43748</v>
      </c>
      <c r="R117" s="39" t="s">
        <v>88</v>
      </c>
      <c r="S117" s="39" t="s">
        <v>85</v>
      </c>
      <c r="T117" s="39" t="s">
        <v>89</v>
      </c>
      <c r="U117" s="39" t="s">
        <v>89</v>
      </c>
      <c r="V117" s="39" t="s">
        <v>90</v>
      </c>
    </row>
    <row r="118" spans="1:22" ht="17.45" customHeight="1" x14ac:dyDescent="0.25">
      <c r="A118" s="39" t="s">
        <v>29</v>
      </c>
      <c r="B118" s="40">
        <f>DATE(2019,11,1)</f>
        <v>43770</v>
      </c>
      <c r="C118" s="43">
        <f t="shared" si="2"/>
        <v>11</v>
      </c>
      <c r="D118" s="39" t="s">
        <v>30</v>
      </c>
      <c r="E118" s="39" t="s">
        <v>85</v>
      </c>
      <c r="F118" s="39" t="s">
        <v>255</v>
      </c>
      <c r="G118" s="42">
        <v>0</v>
      </c>
      <c r="H118" s="42">
        <v>130</v>
      </c>
      <c r="I118" s="42">
        <f t="shared" si="3"/>
        <v>-130</v>
      </c>
      <c r="J118" s="39" t="s">
        <v>85</v>
      </c>
      <c r="K118" s="41">
        <v>1120092</v>
      </c>
      <c r="L118" s="39" t="s">
        <v>85</v>
      </c>
      <c r="M118" s="39" t="s">
        <v>19</v>
      </c>
      <c r="N118" s="39" t="s">
        <v>85</v>
      </c>
      <c r="O118" s="39" t="s">
        <v>87</v>
      </c>
      <c r="P118" s="39" t="s">
        <v>85</v>
      </c>
      <c r="Q118" s="40">
        <f>DATE(2019,11,4)</f>
        <v>43773</v>
      </c>
      <c r="R118" s="39" t="s">
        <v>88</v>
      </c>
      <c r="S118" s="39" t="s">
        <v>85</v>
      </c>
      <c r="T118" s="39" t="s">
        <v>89</v>
      </c>
      <c r="U118" s="39" t="s">
        <v>89</v>
      </c>
      <c r="V118" s="39" t="s">
        <v>90</v>
      </c>
    </row>
    <row r="119" spans="1:22" ht="17.45" customHeight="1" x14ac:dyDescent="0.25">
      <c r="A119" s="39" t="s">
        <v>29</v>
      </c>
      <c r="B119" s="40">
        <f>DATE(2019,11,1)</f>
        <v>43770</v>
      </c>
      <c r="C119" s="43">
        <f t="shared" si="2"/>
        <v>11</v>
      </c>
      <c r="D119" s="39" t="s">
        <v>30</v>
      </c>
      <c r="E119" s="39" t="s">
        <v>85</v>
      </c>
      <c r="F119" s="39" t="s">
        <v>256</v>
      </c>
      <c r="G119" s="42">
        <v>0</v>
      </c>
      <c r="H119" s="42">
        <v>325</v>
      </c>
      <c r="I119" s="42">
        <f t="shared" si="3"/>
        <v>-325</v>
      </c>
      <c r="J119" s="39" t="s">
        <v>85</v>
      </c>
      <c r="K119" s="41">
        <v>1120091</v>
      </c>
      <c r="L119" s="39" t="s">
        <v>85</v>
      </c>
      <c r="M119" s="39" t="s">
        <v>19</v>
      </c>
      <c r="N119" s="39" t="s">
        <v>85</v>
      </c>
      <c r="O119" s="39" t="s">
        <v>87</v>
      </c>
      <c r="P119" s="39" t="s">
        <v>85</v>
      </c>
      <c r="Q119" s="40">
        <f>DATE(2019,11,4)</f>
        <v>43773</v>
      </c>
      <c r="R119" s="39" t="s">
        <v>88</v>
      </c>
      <c r="S119" s="39" t="s">
        <v>85</v>
      </c>
      <c r="T119" s="39" t="s">
        <v>89</v>
      </c>
      <c r="U119" s="39" t="s">
        <v>89</v>
      </c>
      <c r="V119" s="39" t="s">
        <v>90</v>
      </c>
    </row>
    <row r="120" spans="1:22" ht="17.45" customHeight="1" x14ac:dyDescent="0.25">
      <c r="A120" s="39" t="s">
        <v>29</v>
      </c>
      <c r="B120" s="40">
        <f>DATE(2019,11,5)</f>
        <v>43774</v>
      </c>
      <c r="C120" s="43">
        <f t="shared" si="2"/>
        <v>11</v>
      </c>
      <c r="D120" s="39" t="s">
        <v>30</v>
      </c>
      <c r="E120" s="39" t="s">
        <v>85</v>
      </c>
      <c r="F120" s="39" t="s">
        <v>257</v>
      </c>
      <c r="G120" s="42">
        <v>0</v>
      </c>
      <c r="H120" s="42">
        <v>390</v>
      </c>
      <c r="I120" s="42">
        <f t="shared" si="3"/>
        <v>-390</v>
      </c>
      <c r="J120" s="39" t="s">
        <v>85</v>
      </c>
      <c r="K120" s="41">
        <v>1120398</v>
      </c>
      <c r="L120" s="39" t="s">
        <v>85</v>
      </c>
      <c r="M120" s="39" t="s">
        <v>19</v>
      </c>
      <c r="N120" s="39" t="s">
        <v>85</v>
      </c>
      <c r="O120" s="39" t="s">
        <v>87</v>
      </c>
      <c r="P120" s="39" t="s">
        <v>85</v>
      </c>
      <c r="Q120" s="40">
        <f>DATE(2019,11,6)</f>
        <v>43775</v>
      </c>
      <c r="R120" s="39" t="s">
        <v>88</v>
      </c>
      <c r="S120" s="39" t="s">
        <v>85</v>
      </c>
      <c r="T120" s="39" t="s">
        <v>89</v>
      </c>
      <c r="U120" s="39" t="s">
        <v>89</v>
      </c>
      <c r="V120" s="39" t="s">
        <v>90</v>
      </c>
    </row>
    <row r="121" spans="1:22" ht="17.45" customHeight="1" x14ac:dyDescent="0.25">
      <c r="A121" s="39" t="s">
        <v>29</v>
      </c>
      <c r="B121" s="40">
        <f>DATE(2019,11,8)</f>
        <v>43777</v>
      </c>
      <c r="C121" s="43">
        <f t="shared" si="2"/>
        <v>11</v>
      </c>
      <c r="D121" s="39" t="s">
        <v>30</v>
      </c>
      <c r="E121" s="39" t="s">
        <v>85</v>
      </c>
      <c r="F121" s="39" t="s">
        <v>258</v>
      </c>
      <c r="G121" s="42">
        <v>0</v>
      </c>
      <c r="H121" s="42">
        <v>260</v>
      </c>
      <c r="I121" s="42">
        <f t="shared" si="3"/>
        <v>-260</v>
      </c>
      <c r="J121" s="39" t="s">
        <v>85</v>
      </c>
      <c r="K121" s="41">
        <v>1120616</v>
      </c>
      <c r="L121" s="39" t="s">
        <v>85</v>
      </c>
      <c r="M121" s="39" t="s">
        <v>19</v>
      </c>
      <c r="N121" s="39" t="s">
        <v>85</v>
      </c>
      <c r="O121" s="39" t="s">
        <v>87</v>
      </c>
      <c r="P121" s="39" t="s">
        <v>85</v>
      </c>
      <c r="Q121" s="40">
        <f>DATE(2019,11,11)</f>
        <v>43780</v>
      </c>
      <c r="R121" s="39" t="s">
        <v>88</v>
      </c>
      <c r="S121" s="39" t="s">
        <v>85</v>
      </c>
      <c r="T121" s="39" t="s">
        <v>89</v>
      </c>
      <c r="U121" s="39" t="s">
        <v>89</v>
      </c>
      <c r="V121" s="39" t="s">
        <v>90</v>
      </c>
    </row>
    <row r="122" spans="1:22" ht="17.45" customHeight="1" x14ac:dyDescent="0.25">
      <c r="A122" s="39" t="s">
        <v>29</v>
      </c>
      <c r="B122" s="40">
        <f>DATE(2019,11,8)</f>
        <v>43777</v>
      </c>
      <c r="C122" s="43">
        <f t="shared" si="2"/>
        <v>11</v>
      </c>
      <c r="D122" s="39" t="s">
        <v>30</v>
      </c>
      <c r="E122" s="39" t="s">
        <v>85</v>
      </c>
      <c r="F122" s="39" t="s">
        <v>259</v>
      </c>
      <c r="G122" s="42">
        <v>0</v>
      </c>
      <c r="H122" s="42">
        <v>1020</v>
      </c>
      <c r="I122" s="42">
        <f t="shared" si="3"/>
        <v>-1020</v>
      </c>
      <c r="J122" s="39" t="s">
        <v>85</v>
      </c>
      <c r="K122" s="41">
        <v>1120614</v>
      </c>
      <c r="L122" s="39" t="s">
        <v>85</v>
      </c>
      <c r="M122" s="39" t="s">
        <v>19</v>
      </c>
      <c r="N122" s="39" t="s">
        <v>85</v>
      </c>
      <c r="O122" s="39" t="s">
        <v>87</v>
      </c>
      <c r="P122" s="39" t="s">
        <v>85</v>
      </c>
      <c r="Q122" s="40">
        <f>DATE(2019,11,11)</f>
        <v>43780</v>
      </c>
      <c r="R122" s="39" t="s">
        <v>88</v>
      </c>
      <c r="S122" s="39" t="s">
        <v>85</v>
      </c>
      <c r="T122" s="39" t="s">
        <v>89</v>
      </c>
      <c r="U122" s="39" t="s">
        <v>89</v>
      </c>
      <c r="V122" s="39" t="s">
        <v>90</v>
      </c>
    </row>
    <row r="123" spans="1:22" ht="17.45" customHeight="1" x14ac:dyDescent="0.25">
      <c r="A123" s="39" t="s">
        <v>29</v>
      </c>
      <c r="B123" s="40">
        <f>DATE(2019,11,5)</f>
        <v>43774</v>
      </c>
      <c r="C123" s="43">
        <f t="shared" si="2"/>
        <v>11</v>
      </c>
      <c r="D123" s="39" t="s">
        <v>30</v>
      </c>
      <c r="E123" s="39" t="s">
        <v>85</v>
      </c>
      <c r="F123" s="39" t="s">
        <v>260</v>
      </c>
      <c r="G123" s="42">
        <v>0</v>
      </c>
      <c r="H123" s="42">
        <v>540</v>
      </c>
      <c r="I123" s="42">
        <f t="shared" si="3"/>
        <v>-540</v>
      </c>
      <c r="J123" s="39" t="s">
        <v>85</v>
      </c>
      <c r="K123" s="41">
        <v>1120400</v>
      </c>
      <c r="L123" s="39" t="s">
        <v>85</v>
      </c>
      <c r="M123" s="39" t="s">
        <v>19</v>
      </c>
      <c r="N123" s="39" t="s">
        <v>85</v>
      </c>
      <c r="O123" s="39" t="s">
        <v>87</v>
      </c>
      <c r="P123" s="39" t="s">
        <v>85</v>
      </c>
      <c r="Q123" s="40">
        <f>DATE(2019,11,6)</f>
        <v>43775</v>
      </c>
      <c r="R123" s="39" t="s">
        <v>88</v>
      </c>
      <c r="S123" s="39" t="s">
        <v>85</v>
      </c>
      <c r="T123" s="39" t="s">
        <v>89</v>
      </c>
      <c r="U123" s="39" t="s">
        <v>89</v>
      </c>
      <c r="V123" s="39" t="s">
        <v>90</v>
      </c>
    </row>
    <row r="124" spans="1:22" ht="17.45" customHeight="1" x14ac:dyDescent="0.25">
      <c r="A124" s="39" t="s">
        <v>29</v>
      </c>
      <c r="B124" s="40">
        <f>DATE(2019,10,22)</f>
        <v>43760</v>
      </c>
      <c r="C124" s="43">
        <f t="shared" si="2"/>
        <v>10</v>
      </c>
      <c r="D124" s="39" t="s">
        <v>30</v>
      </c>
      <c r="E124" s="39" t="s">
        <v>85</v>
      </c>
      <c r="F124" s="39" t="s">
        <v>261</v>
      </c>
      <c r="G124" s="42">
        <v>0</v>
      </c>
      <c r="H124" s="42">
        <v>445</v>
      </c>
      <c r="I124" s="42">
        <f t="shared" si="3"/>
        <v>-445</v>
      </c>
      <c r="J124" s="39" t="s">
        <v>85</v>
      </c>
      <c r="K124" s="41">
        <v>1118286</v>
      </c>
      <c r="L124" s="39" t="s">
        <v>85</v>
      </c>
      <c r="M124" s="39" t="s">
        <v>19</v>
      </c>
      <c r="N124" s="39" t="s">
        <v>85</v>
      </c>
      <c r="O124" s="39" t="s">
        <v>87</v>
      </c>
      <c r="P124" s="39" t="s">
        <v>85</v>
      </c>
      <c r="Q124" s="40">
        <f>DATE(2019,10,23)</f>
        <v>43761</v>
      </c>
      <c r="R124" s="39" t="s">
        <v>88</v>
      </c>
      <c r="S124" s="39" t="s">
        <v>85</v>
      </c>
      <c r="T124" s="39" t="s">
        <v>89</v>
      </c>
      <c r="U124" s="39" t="s">
        <v>89</v>
      </c>
      <c r="V124" s="39" t="s">
        <v>90</v>
      </c>
    </row>
    <row r="125" spans="1:22" ht="17.45" customHeight="1" x14ac:dyDescent="0.25">
      <c r="A125" s="39" t="s">
        <v>29</v>
      </c>
      <c r="B125" s="40">
        <f>DATE(2019,10,22)</f>
        <v>43760</v>
      </c>
      <c r="C125" s="43">
        <f t="shared" si="2"/>
        <v>10</v>
      </c>
      <c r="D125" s="39" t="s">
        <v>30</v>
      </c>
      <c r="E125" s="39" t="s">
        <v>85</v>
      </c>
      <c r="F125" s="39" t="s">
        <v>262</v>
      </c>
      <c r="G125" s="42">
        <v>0</v>
      </c>
      <c r="H125" s="42">
        <v>585</v>
      </c>
      <c r="I125" s="42">
        <f t="shared" si="3"/>
        <v>-585</v>
      </c>
      <c r="J125" s="39" t="s">
        <v>85</v>
      </c>
      <c r="K125" s="41">
        <v>1118288</v>
      </c>
      <c r="L125" s="39" t="s">
        <v>85</v>
      </c>
      <c r="M125" s="39" t="s">
        <v>19</v>
      </c>
      <c r="N125" s="39" t="s">
        <v>85</v>
      </c>
      <c r="O125" s="39" t="s">
        <v>87</v>
      </c>
      <c r="P125" s="39" t="s">
        <v>85</v>
      </c>
      <c r="Q125" s="40">
        <f>DATE(2019,10,23)</f>
        <v>43761</v>
      </c>
      <c r="R125" s="39" t="s">
        <v>88</v>
      </c>
      <c r="S125" s="39" t="s">
        <v>85</v>
      </c>
      <c r="T125" s="39" t="s">
        <v>89</v>
      </c>
      <c r="U125" s="39" t="s">
        <v>89</v>
      </c>
      <c r="V125" s="39" t="s">
        <v>90</v>
      </c>
    </row>
    <row r="126" spans="1:22" ht="17.45" customHeight="1" x14ac:dyDescent="0.25">
      <c r="A126" s="39" t="s">
        <v>29</v>
      </c>
      <c r="B126" s="40">
        <f>DATE(2019,10,22)</f>
        <v>43760</v>
      </c>
      <c r="C126" s="43">
        <f t="shared" si="2"/>
        <v>10</v>
      </c>
      <c r="D126" s="39" t="s">
        <v>30</v>
      </c>
      <c r="E126" s="39" t="s">
        <v>85</v>
      </c>
      <c r="F126" s="39" t="s">
        <v>263</v>
      </c>
      <c r="G126" s="42">
        <v>0</v>
      </c>
      <c r="H126" s="42">
        <v>615</v>
      </c>
      <c r="I126" s="42">
        <f t="shared" si="3"/>
        <v>-615</v>
      </c>
      <c r="J126" s="39" t="s">
        <v>85</v>
      </c>
      <c r="K126" s="41">
        <v>1118289</v>
      </c>
      <c r="L126" s="39" t="s">
        <v>85</v>
      </c>
      <c r="M126" s="39" t="s">
        <v>19</v>
      </c>
      <c r="N126" s="39" t="s">
        <v>85</v>
      </c>
      <c r="O126" s="39" t="s">
        <v>87</v>
      </c>
      <c r="P126" s="39" t="s">
        <v>85</v>
      </c>
      <c r="Q126" s="40">
        <f>DATE(2019,10,23)</f>
        <v>43761</v>
      </c>
      <c r="R126" s="39" t="s">
        <v>88</v>
      </c>
      <c r="S126" s="39" t="s">
        <v>85</v>
      </c>
      <c r="T126" s="39" t="s">
        <v>89</v>
      </c>
      <c r="U126" s="39" t="s">
        <v>89</v>
      </c>
      <c r="V126" s="39" t="s">
        <v>90</v>
      </c>
    </row>
    <row r="127" spans="1:22" ht="17.45" customHeight="1" x14ac:dyDescent="0.25">
      <c r="A127" s="39" t="s">
        <v>29</v>
      </c>
      <c r="B127" s="40">
        <f>DATE(2019,10,22)</f>
        <v>43760</v>
      </c>
      <c r="C127" s="43">
        <f t="shared" si="2"/>
        <v>10</v>
      </c>
      <c r="D127" s="39" t="s">
        <v>30</v>
      </c>
      <c r="E127" s="39" t="s">
        <v>85</v>
      </c>
      <c r="F127" s="39" t="s">
        <v>264</v>
      </c>
      <c r="G127" s="42">
        <v>0</v>
      </c>
      <c r="H127" s="42">
        <v>955</v>
      </c>
      <c r="I127" s="42">
        <f t="shared" si="3"/>
        <v>-955</v>
      </c>
      <c r="J127" s="39" t="s">
        <v>85</v>
      </c>
      <c r="K127" s="41">
        <v>1118287</v>
      </c>
      <c r="L127" s="39" t="s">
        <v>85</v>
      </c>
      <c r="M127" s="39" t="s">
        <v>19</v>
      </c>
      <c r="N127" s="39" t="s">
        <v>85</v>
      </c>
      <c r="O127" s="39" t="s">
        <v>87</v>
      </c>
      <c r="P127" s="39" t="s">
        <v>85</v>
      </c>
      <c r="Q127" s="40">
        <f>DATE(2019,10,23)</f>
        <v>43761</v>
      </c>
      <c r="R127" s="39" t="s">
        <v>88</v>
      </c>
      <c r="S127" s="39" t="s">
        <v>85</v>
      </c>
      <c r="T127" s="39" t="s">
        <v>89</v>
      </c>
      <c r="U127" s="39" t="s">
        <v>89</v>
      </c>
      <c r="V127" s="39" t="s">
        <v>90</v>
      </c>
    </row>
    <row r="128" spans="1:22" ht="17.45" customHeight="1" x14ac:dyDescent="0.25">
      <c r="A128" s="39" t="s">
        <v>29</v>
      </c>
      <c r="B128" s="40">
        <f>DATE(2019,11,5)</f>
        <v>43774</v>
      </c>
      <c r="C128" s="43">
        <f t="shared" si="2"/>
        <v>11</v>
      </c>
      <c r="D128" s="39" t="s">
        <v>30</v>
      </c>
      <c r="E128" s="39" t="s">
        <v>85</v>
      </c>
      <c r="F128" s="39" t="s">
        <v>265</v>
      </c>
      <c r="G128" s="42">
        <v>0</v>
      </c>
      <c r="H128" s="42">
        <v>835</v>
      </c>
      <c r="I128" s="42">
        <f t="shared" si="3"/>
        <v>-835</v>
      </c>
      <c r="J128" s="39" t="s">
        <v>85</v>
      </c>
      <c r="K128" s="41">
        <v>1120399</v>
      </c>
      <c r="L128" s="39" t="s">
        <v>85</v>
      </c>
      <c r="M128" s="39" t="s">
        <v>19</v>
      </c>
      <c r="N128" s="39" t="s">
        <v>85</v>
      </c>
      <c r="O128" s="39" t="s">
        <v>87</v>
      </c>
      <c r="P128" s="39" t="s">
        <v>85</v>
      </c>
      <c r="Q128" s="40">
        <f>DATE(2019,11,6)</f>
        <v>43775</v>
      </c>
      <c r="R128" s="39" t="s">
        <v>88</v>
      </c>
      <c r="S128" s="39" t="s">
        <v>85</v>
      </c>
      <c r="T128" s="39" t="s">
        <v>89</v>
      </c>
      <c r="U128" s="39" t="s">
        <v>89</v>
      </c>
      <c r="V128" s="39" t="s">
        <v>90</v>
      </c>
    </row>
    <row r="129" spans="1:22" ht="17.45" customHeight="1" x14ac:dyDescent="0.25">
      <c r="A129" s="39" t="s">
        <v>29</v>
      </c>
      <c r="B129" s="40">
        <f>DATE(2019,10,31)</f>
        <v>43769</v>
      </c>
      <c r="C129" s="43">
        <f t="shared" si="2"/>
        <v>10</v>
      </c>
      <c r="D129" s="39" t="s">
        <v>30</v>
      </c>
      <c r="E129" s="39" t="s">
        <v>85</v>
      </c>
      <c r="F129" s="39" t="s">
        <v>266</v>
      </c>
      <c r="G129" s="42">
        <v>0</v>
      </c>
      <c r="H129" s="42">
        <v>130</v>
      </c>
      <c r="I129" s="42">
        <f t="shared" si="3"/>
        <v>-130</v>
      </c>
      <c r="J129" s="39" t="s">
        <v>85</v>
      </c>
      <c r="K129" s="41">
        <v>1119144</v>
      </c>
      <c r="L129" s="39" t="s">
        <v>85</v>
      </c>
      <c r="M129" s="39" t="s">
        <v>19</v>
      </c>
      <c r="N129" s="39" t="s">
        <v>85</v>
      </c>
      <c r="O129" s="39" t="s">
        <v>87</v>
      </c>
      <c r="P129" s="39" t="s">
        <v>85</v>
      </c>
      <c r="Q129" s="40">
        <f>DATE(2019,10,31)</f>
        <v>43769</v>
      </c>
      <c r="R129" s="39" t="s">
        <v>88</v>
      </c>
      <c r="S129" s="39" t="s">
        <v>85</v>
      </c>
      <c r="T129" s="39" t="s">
        <v>89</v>
      </c>
      <c r="U129" s="39" t="s">
        <v>89</v>
      </c>
      <c r="V129" s="39" t="s">
        <v>90</v>
      </c>
    </row>
    <row r="130" spans="1:22" ht="17.45" customHeight="1" x14ac:dyDescent="0.25">
      <c r="A130" s="39" t="s">
        <v>29</v>
      </c>
      <c r="B130" s="40">
        <f>DATE(2019,11,1)</f>
        <v>43770</v>
      </c>
      <c r="C130" s="43">
        <f t="shared" si="2"/>
        <v>11</v>
      </c>
      <c r="D130" s="39" t="s">
        <v>30</v>
      </c>
      <c r="E130" s="39" t="s">
        <v>85</v>
      </c>
      <c r="F130" s="39" t="s">
        <v>267</v>
      </c>
      <c r="G130" s="42">
        <v>0</v>
      </c>
      <c r="H130" s="42">
        <v>130</v>
      </c>
      <c r="I130" s="42">
        <f t="shared" si="3"/>
        <v>-130</v>
      </c>
      <c r="J130" s="39" t="s">
        <v>85</v>
      </c>
      <c r="K130" s="41">
        <v>1120090</v>
      </c>
      <c r="L130" s="39" t="s">
        <v>85</v>
      </c>
      <c r="M130" s="39" t="s">
        <v>19</v>
      </c>
      <c r="N130" s="39" t="s">
        <v>85</v>
      </c>
      <c r="O130" s="39" t="s">
        <v>87</v>
      </c>
      <c r="P130" s="39" t="s">
        <v>85</v>
      </c>
      <c r="Q130" s="40">
        <f>DATE(2019,11,4)</f>
        <v>43773</v>
      </c>
      <c r="R130" s="39" t="s">
        <v>88</v>
      </c>
      <c r="S130" s="39" t="s">
        <v>85</v>
      </c>
      <c r="T130" s="39" t="s">
        <v>89</v>
      </c>
      <c r="U130" s="39" t="s">
        <v>89</v>
      </c>
      <c r="V130" s="39" t="s">
        <v>90</v>
      </c>
    </row>
    <row r="131" spans="1:22" ht="17.45" customHeight="1" x14ac:dyDescent="0.25">
      <c r="A131" s="39" t="s">
        <v>29</v>
      </c>
      <c r="B131" s="40">
        <f>DATE(2019,11,6)</f>
        <v>43775</v>
      </c>
      <c r="C131" s="43">
        <f t="shared" ref="C131:C176" si="4">MONTH(B131)</f>
        <v>11</v>
      </c>
      <c r="D131" s="39" t="s">
        <v>30</v>
      </c>
      <c r="E131" s="39" t="s">
        <v>85</v>
      </c>
      <c r="F131" s="39" t="s">
        <v>268</v>
      </c>
      <c r="G131" s="42">
        <v>0</v>
      </c>
      <c r="H131" s="42">
        <v>2215</v>
      </c>
      <c r="I131" s="42">
        <f t="shared" ref="I131:I176" si="5">G131-H131</f>
        <v>-2215</v>
      </c>
      <c r="J131" s="39" t="s">
        <v>85</v>
      </c>
      <c r="K131" s="41">
        <v>1120518</v>
      </c>
      <c r="L131" s="39" t="s">
        <v>85</v>
      </c>
      <c r="M131" s="39" t="s">
        <v>19</v>
      </c>
      <c r="N131" s="39" t="s">
        <v>85</v>
      </c>
      <c r="O131" s="39" t="s">
        <v>87</v>
      </c>
      <c r="P131" s="39" t="s">
        <v>85</v>
      </c>
      <c r="Q131" s="40">
        <f>DATE(2019,11,7)</f>
        <v>43776</v>
      </c>
      <c r="R131" s="39" t="s">
        <v>88</v>
      </c>
      <c r="S131" s="39" t="s">
        <v>85</v>
      </c>
      <c r="T131" s="39" t="s">
        <v>89</v>
      </c>
      <c r="U131" s="39" t="s">
        <v>89</v>
      </c>
      <c r="V131" s="39" t="s">
        <v>90</v>
      </c>
    </row>
    <row r="132" spans="1:22" ht="17.45" customHeight="1" x14ac:dyDescent="0.25">
      <c r="A132" s="39" t="s">
        <v>29</v>
      </c>
      <c r="B132" s="40">
        <f>DATE(2019,11,7)</f>
        <v>43776</v>
      </c>
      <c r="C132" s="43">
        <f t="shared" si="4"/>
        <v>11</v>
      </c>
      <c r="D132" s="39" t="s">
        <v>30</v>
      </c>
      <c r="E132" s="39" t="s">
        <v>85</v>
      </c>
      <c r="F132" s="39" t="s">
        <v>269</v>
      </c>
      <c r="G132" s="42">
        <v>120</v>
      </c>
      <c r="H132" s="42">
        <v>0</v>
      </c>
      <c r="I132" s="42">
        <f t="shared" si="5"/>
        <v>120</v>
      </c>
      <c r="J132" s="39" t="s">
        <v>85</v>
      </c>
      <c r="K132" s="41">
        <v>1120569</v>
      </c>
      <c r="L132" s="39" t="s">
        <v>85</v>
      </c>
      <c r="M132" s="39" t="s">
        <v>19</v>
      </c>
      <c r="N132" s="39" t="s">
        <v>85</v>
      </c>
      <c r="O132" s="39" t="s">
        <v>87</v>
      </c>
      <c r="P132" s="39" t="s">
        <v>85</v>
      </c>
      <c r="Q132" s="40">
        <f>DATE(2019,11,8)</f>
        <v>43777</v>
      </c>
      <c r="R132" s="39" t="s">
        <v>88</v>
      </c>
      <c r="S132" s="39" t="s">
        <v>85</v>
      </c>
      <c r="T132" s="39" t="s">
        <v>89</v>
      </c>
      <c r="U132" s="39" t="s">
        <v>89</v>
      </c>
      <c r="V132" s="39" t="s">
        <v>90</v>
      </c>
    </row>
    <row r="133" spans="1:22" ht="17.45" customHeight="1" x14ac:dyDescent="0.25">
      <c r="A133" s="39" t="s">
        <v>29</v>
      </c>
      <c r="B133" s="40">
        <f>DATE(2019,11,6)</f>
        <v>43775</v>
      </c>
      <c r="C133" s="43">
        <f t="shared" si="4"/>
        <v>11</v>
      </c>
      <c r="D133" s="39" t="s">
        <v>30</v>
      </c>
      <c r="E133" s="39" t="s">
        <v>85</v>
      </c>
      <c r="F133" s="39" t="s">
        <v>270</v>
      </c>
      <c r="G133" s="42">
        <v>0</v>
      </c>
      <c r="H133" s="42">
        <v>65</v>
      </c>
      <c r="I133" s="42">
        <f t="shared" si="5"/>
        <v>-65</v>
      </c>
      <c r="J133" s="39" t="s">
        <v>85</v>
      </c>
      <c r="K133" s="41">
        <v>1120521</v>
      </c>
      <c r="L133" s="39" t="s">
        <v>85</v>
      </c>
      <c r="M133" s="39" t="s">
        <v>19</v>
      </c>
      <c r="N133" s="39" t="s">
        <v>85</v>
      </c>
      <c r="O133" s="39" t="s">
        <v>87</v>
      </c>
      <c r="P133" s="39" t="s">
        <v>85</v>
      </c>
      <c r="Q133" s="40">
        <f>DATE(2019,11,7)</f>
        <v>43776</v>
      </c>
      <c r="R133" s="39" t="s">
        <v>88</v>
      </c>
      <c r="S133" s="39" t="s">
        <v>85</v>
      </c>
      <c r="T133" s="39" t="s">
        <v>89</v>
      </c>
      <c r="U133" s="39" t="s">
        <v>89</v>
      </c>
      <c r="V133" s="39" t="s">
        <v>90</v>
      </c>
    </row>
    <row r="134" spans="1:22" ht="17.45" customHeight="1" x14ac:dyDescent="0.25">
      <c r="A134" s="39" t="s">
        <v>29</v>
      </c>
      <c r="B134" s="40">
        <f>DATE(2019,11,6)</f>
        <v>43775</v>
      </c>
      <c r="C134" s="43">
        <f t="shared" si="4"/>
        <v>11</v>
      </c>
      <c r="D134" s="39" t="s">
        <v>30</v>
      </c>
      <c r="E134" s="39" t="s">
        <v>85</v>
      </c>
      <c r="F134" s="39" t="s">
        <v>271</v>
      </c>
      <c r="G134" s="42">
        <v>0</v>
      </c>
      <c r="H134" s="42">
        <v>325</v>
      </c>
      <c r="I134" s="42">
        <f t="shared" si="5"/>
        <v>-325</v>
      </c>
      <c r="J134" s="39" t="s">
        <v>85</v>
      </c>
      <c r="K134" s="41">
        <v>1120519</v>
      </c>
      <c r="L134" s="39" t="s">
        <v>85</v>
      </c>
      <c r="M134" s="39" t="s">
        <v>19</v>
      </c>
      <c r="N134" s="39" t="s">
        <v>85</v>
      </c>
      <c r="O134" s="39" t="s">
        <v>87</v>
      </c>
      <c r="P134" s="39" t="s">
        <v>85</v>
      </c>
      <c r="Q134" s="40">
        <f>DATE(2019,11,7)</f>
        <v>43776</v>
      </c>
      <c r="R134" s="39" t="s">
        <v>88</v>
      </c>
      <c r="S134" s="39" t="s">
        <v>85</v>
      </c>
      <c r="T134" s="39" t="s">
        <v>89</v>
      </c>
      <c r="U134" s="39" t="s">
        <v>89</v>
      </c>
      <c r="V134" s="39" t="s">
        <v>90</v>
      </c>
    </row>
    <row r="135" spans="1:22" ht="17.45" customHeight="1" x14ac:dyDescent="0.25">
      <c r="A135" s="39" t="s">
        <v>29</v>
      </c>
      <c r="B135" s="40">
        <f>DATE(2019,11,6)</f>
        <v>43775</v>
      </c>
      <c r="C135" s="43">
        <f t="shared" si="4"/>
        <v>11</v>
      </c>
      <c r="D135" s="39" t="s">
        <v>30</v>
      </c>
      <c r="E135" s="39" t="s">
        <v>85</v>
      </c>
      <c r="F135" s="39" t="s">
        <v>272</v>
      </c>
      <c r="G135" s="42">
        <v>0</v>
      </c>
      <c r="H135" s="42">
        <v>380</v>
      </c>
      <c r="I135" s="42">
        <f t="shared" si="5"/>
        <v>-380</v>
      </c>
      <c r="J135" s="39" t="s">
        <v>85</v>
      </c>
      <c r="K135" s="41">
        <v>1120522</v>
      </c>
      <c r="L135" s="39" t="s">
        <v>85</v>
      </c>
      <c r="M135" s="39" t="s">
        <v>19</v>
      </c>
      <c r="N135" s="39" t="s">
        <v>85</v>
      </c>
      <c r="O135" s="39" t="s">
        <v>87</v>
      </c>
      <c r="P135" s="39" t="s">
        <v>85</v>
      </c>
      <c r="Q135" s="40">
        <f>DATE(2019,11,7)</f>
        <v>43776</v>
      </c>
      <c r="R135" s="39" t="s">
        <v>88</v>
      </c>
      <c r="S135" s="39" t="s">
        <v>85</v>
      </c>
      <c r="T135" s="39" t="s">
        <v>89</v>
      </c>
      <c r="U135" s="39" t="s">
        <v>89</v>
      </c>
      <c r="V135" s="39" t="s">
        <v>90</v>
      </c>
    </row>
    <row r="136" spans="1:22" ht="17.45" customHeight="1" x14ac:dyDescent="0.25">
      <c r="A136" s="39" t="s">
        <v>29</v>
      </c>
      <c r="B136" s="40">
        <f>DATE(2019,11,6)</f>
        <v>43775</v>
      </c>
      <c r="C136" s="43">
        <f t="shared" si="4"/>
        <v>11</v>
      </c>
      <c r="D136" s="39" t="s">
        <v>30</v>
      </c>
      <c r="E136" s="39" t="s">
        <v>85</v>
      </c>
      <c r="F136" s="39" t="s">
        <v>273</v>
      </c>
      <c r="G136" s="42">
        <v>0</v>
      </c>
      <c r="H136" s="42">
        <v>770</v>
      </c>
      <c r="I136" s="42">
        <f t="shared" si="5"/>
        <v>-770</v>
      </c>
      <c r="J136" s="39" t="s">
        <v>85</v>
      </c>
      <c r="K136" s="41">
        <v>1120520</v>
      </c>
      <c r="L136" s="39" t="s">
        <v>85</v>
      </c>
      <c r="M136" s="39" t="s">
        <v>19</v>
      </c>
      <c r="N136" s="39" t="s">
        <v>85</v>
      </c>
      <c r="O136" s="39" t="s">
        <v>87</v>
      </c>
      <c r="P136" s="39" t="s">
        <v>85</v>
      </c>
      <c r="Q136" s="40">
        <f>DATE(2019,11,7)</f>
        <v>43776</v>
      </c>
      <c r="R136" s="39" t="s">
        <v>88</v>
      </c>
      <c r="S136" s="39" t="s">
        <v>85</v>
      </c>
      <c r="T136" s="39" t="s">
        <v>89</v>
      </c>
      <c r="U136" s="39" t="s">
        <v>89</v>
      </c>
      <c r="V136" s="39" t="s">
        <v>90</v>
      </c>
    </row>
    <row r="137" spans="1:22" ht="17.45" customHeight="1" x14ac:dyDescent="0.25">
      <c r="A137" s="39" t="s">
        <v>29</v>
      </c>
      <c r="B137" s="40">
        <f>DATE(2019,11,6)</f>
        <v>43775</v>
      </c>
      <c r="C137" s="43">
        <f t="shared" si="4"/>
        <v>11</v>
      </c>
      <c r="D137" s="39" t="s">
        <v>30</v>
      </c>
      <c r="E137" s="39" t="s">
        <v>85</v>
      </c>
      <c r="F137" s="39" t="s">
        <v>274</v>
      </c>
      <c r="G137" s="42">
        <v>0</v>
      </c>
      <c r="H137" s="42">
        <v>890</v>
      </c>
      <c r="I137" s="42">
        <f t="shared" si="5"/>
        <v>-890</v>
      </c>
      <c r="J137" s="39" t="s">
        <v>85</v>
      </c>
      <c r="K137" s="41">
        <v>1120524</v>
      </c>
      <c r="L137" s="39" t="s">
        <v>85</v>
      </c>
      <c r="M137" s="39" t="s">
        <v>19</v>
      </c>
      <c r="N137" s="39" t="s">
        <v>85</v>
      </c>
      <c r="O137" s="39" t="s">
        <v>87</v>
      </c>
      <c r="P137" s="39" t="s">
        <v>85</v>
      </c>
      <c r="Q137" s="40">
        <f>DATE(2019,11,7)</f>
        <v>43776</v>
      </c>
      <c r="R137" s="39" t="s">
        <v>88</v>
      </c>
      <c r="S137" s="39" t="s">
        <v>85</v>
      </c>
      <c r="T137" s="39" t="s">
        <v>89</v>
      </c>
      <c r="U137" s="39" t="s">
        <v>89</v>
      </c>
      <c r="V137" s="39" t="s">
        <v>90</v>
      </c>
    </row>
    <row r="138" spans="1:22" ht="17.45" customHeight="1" x14ac:dyDescent="0.25">
      <c r="A138" s="39" t="s">
        <v>29</v>
      </c>
      <c r="B138" s="40">
        <f>DATE(2019,11,11)</f>
        <v>43780</v>
      </c>
      <c r="C138" s="43">
        <f t="shared" si="4"/>
        <v>11</v>
      </c>
      <c r="D138" s="39" t="s">
        <v>30</v>
      </c>
      <c r="E138" s="39" t="s">
        <v>85</v>
      </c>
      <c r="F138" s="39" t="s">
        <v>275</v>
      </c>
      <c r="G138" s="42">
        <v>0</v>
      </c>
      <c r="H138" s="42">
        <v>65</v>
      </c>
      <c r="I138" s="42">
        <f t="shared" si="5"/>
        <v>-65</v>
      </c>
      <c r="J138" s="39" t="s">
        <v>85</v>
      </c>
      <c r="K138" s="41">
        <v>1120747</v>
      </c>
      <c r="L138" s="39" t="s">
        <v>85</v>
      </c>
      <c r="M138" s="39" t="s">
        <v>19</v>
      </c>
      <c r="N138" s="39" t="s">
        <v>85</v>
      </c>
      <c r="O138" s="39" t="s">
        <v>87</v>
      </c>
      <c r="P138" s="39" t="s">
        <v>85</v>
      </c>
      <c r="Q138" s="40">
        <f>DATE(2019,11,12)</f>
        <v>43781</v>
      </c>
      <c r="R138" s="39" t="s">
        <v>88</v>
      </c>
      <c r="S138" s="39" t="s">
        <v>85</v>
      </c>
      <c r="T138" s="39" t="s">
        <v>89</v>
      </c>
      <c r="U138" s="39" t="s">
        <v>89</v>
      </c>
      <c r="V138" s="39" t="s">
        <v>90</v>
      </c>
    </row>
    <row r="139" spans="1:22" ht="17.45" customHeight="1" x14ac:dyDescent="0.25">
      <c r="A139" s="39" t="s">
        <v>29</v>
      </c>
      <c r="B139" s="40">
        <f>DATE(2019,11,11)</f>
        <v>43780</v>
      </c>
      <c r="C139" s="43">
        <f t="shared" si="4"/>
        <v>11</v>
      </c>
      <c r="D139" s="39" t="s">
        <v>30</v>
      </c>
      <c r="E139" s="39" t="s">
        <v>85</v>
      </c>
      <c r="F139" s="39" t="s">
        <v>276</v>
      </c>
      <c r="G139" s="42">
        <v>0</v>
      </c>
      <c r="H139" s="42">
        <v>195</v>
      </c>
      <c r="I139" s="42">
        <f t="shared" si="5"/>
        <v>-195</v>
      </c>
      <c r="J139" s="39" t="s">
        <v>85</v>
      </c>
      <c r="K139" s="41">
        <v>1120743</v>
      </c>
      <c r="L139" s="39" t="s">
        <v>85</v>
      </c>
      <c r="M139" s="39" t="s">
        <v>19</v>
      </c>
      <c r="N139" s="39" t="s">
        <v>85</v>
      </c>
      <c r="O139" s="39" t="s">
        <v>87</v>
      </c>
      <c r="P139" s="39" t="s">
        <v>85</v>
      </c>
      <c r="Q139" s="40">
        <f>DATE(2019,11,12)</f>
        <v>43781</v>
      </c>
      <c r="R139" s="39" t="s">
        <v>88</v>
      </c>
      <c r="S139" s="39" t="s">
        <v>85</v>
      </c>
      <c r="T139" s="39" t="s">
        <v>89</v>
      </c>
      <c r="U139" s="39" t="s">
        <v>89</v>
      </c>
      <c r="V139" s="39" t="s">
        <v>90</v>
      </c>
    </row>
    <row r="140" spans="1:22" ht="17.45" customHeight="1" x14ac:dyDescent="0.25">
      <c r="A140" s="39" t="s">
        <v>29</v>
      </c>
      <c r="B140" s="40">
        <f>DATE(2019,11,12)</f>
        <v>43781</v>
      </c>
      <c r="C140" s="43">
        <f t="shared" si="4"/>
        <v>11</v>
      </c>
      <c r="D140" s="39" t="s">
        <v>30</v>
      </c>
      <c r="E140" s="39" t="s">
        <v>85</v>
      </c>
      <c r="F140" s="39" t="s">
        <v>277</v>
      </c>
      <c r="G140" s="42">
        <v>0</v>
      </c>
      <c r="H140" s="42">
        <v>65</v>
      </c>
      <c r="I140" s="42">
        <f t="shared" si="5"/>
        <v>-65</v>
      </c>
      <c r="J140" s="39" t="s">
        <v>85</v>
      </c>
      <c r="K140" s="41">
        <v>1120799</v>
      </c>
      <c r="L140" s="39" t="s">
        <v>85</v>
      </c>
      <c r="M140" s="39" t="s">
        <v>19</v>
      </c>
      <c r="N140" s="39" t="s">
        <v>85</v>
      </c>
      <c r="O140" s="39" t="s">
        <v>87</v>
      </c>
      <c r="P140" s="39" t="s">
        <v>85</v>
      </c>
      <c r="Q140" s="40">
        <f>DATE(2019,11,13)</f>
        <v>43782</v>
      </c>
      <c r="R140" s="39" t="s">
        <v>88</v>
      </c>
      <c r="S140" s="39" t="s">
        <v>85</v>
      </c>
      <c r="T140" s="39" t="s">
        <v>89</v>
      </c>
      <c r="U140" s="39" t="s">
        <v>89</v>
      </c>
      <c r="V140" s="39" t="s">
        <v>90</v>
      </c>
    </row>
    <row r="141" spans="1:22" ht="17.45" customHeight="1" x14ac:dyDescent="0.25">
      <c r="A141" s="39" t="s">
        <v>29</v>
      </c>
      <c r="B141" s="40">
        <f>DATE(2019,11,27)</f>
        <v>43796</v>
      </c>
      <c r="C141" s="43">
        <f t="shared" si="4"/>
        <v>11</v>
      </c>
      <c r="D141" s="39" t="s">
        <v>30</v>
      </c>
      <c r="E141" s="39" t="s">
        <v>85</v>
      </c>
      <c r="F141" s="39" t="s">
        <v>278</v>
      </c>
      <c r="G141" s="42">
        <v>0</v>
      </c>
      <c r="H141" s="42">
        <v>130</v>
      </c>
      <c r="I141" s="42">
        <f t="shared" si="5"/>
        <v>-130</v>
      </c>
      <c r="J141" s="39" t="s">
        <v>85</v>
      </c>
      <c r="K141" s="41">
        <v>1123520</v>
      </c>
      <c r="L141" s="39" t="s">
        <v>85</v>
      </c>
      <c r="M141" s="39" t="s">
        <v>19</v>
      </c>
      <c r="N141" s="39" t="s">
        <v>85</v>
      </c>
      <c r="O141" s="39" t="s">
        <v>87</v>
      </c>
      <c r="P141" s="39" t="s">
        <v>85</v>
      </c>
      <c r="Q141" s="40">
        <f>DATE(2019,11,28)</f>
        <v>43797</v>
      </c>
      <c r="R141" s="39" t="s">
        <v>88</v>
      </c>
      <c r="S141" s="39" t="s">
        <v>85</v>
      </c>
      <c r="T141" s="39" t="s">
        <v>89</v>
      </c>
      <c r="U141" s="39" t="s">
        <v>89</v>
      </c>
      <c r="V141" s="39" t="s">
        <v>90</v>
      </c>
    </row>
    <row r="142" spans="1:22" ht="17.45" customHeight="1" x14ac:dyDescent="0.25">
      <c r="A142" s="39" t="s">
        <v>29</v>
      </c>
      <c r="B142" s="40">
        <f>DATE(2019,12,2)</f>
        <v>43801</v>
      </c>
      <c r="C142" s="43">
        <f t="shared" si="4"/>
        <v>12</v>
      </c>
      <c r="D142" s="39" t="s">
        <v>30</v>
      </c>
      <c r="E142" s="39" t="s">
        <v>85</v>
      </c>
      <c r="F142" s="39" t="s">
        <v>279</v>
      </c>
      <c r="G142" s="42">
        <v>0</v>
      </c>
      <c r="H142" s="42">
        <v>250</v>
      </c>
      <c r="I142" s="42">
        <f t="shared" si="5"/>
        <v>-250</v>
      </c>
      <c r="J142" s="39" t="s">
        <v>85</v>
      </c>
      <c r="K142" s="41">
        <v>1123794</v>
      </c>
      <c r="L142" s="39" t="s">
        <v>85</v>
      </c>
      <c r="M142" s="39" t="s">
        <v>19</v>
      </c>
      <c r="N142" s="39" t="s">
        <v>85</v>
      </c>
      <c r="O142" s="39" t="s">
        <v>87</v>
      </c>
      <c r="P142" s="39" t="s">
        <v>85</v>
      </c>
      <c r="Q142" s="40">
        <f>DATE(2019,12,3)</f>
        <v>43802</v>
      </c>
      <c r="R142" s="39" t="s">
        <v>88</v>
      </c>
      <c r="S142" s="39" t="s">
        <v>85</v>
      </c>
      <c r="T142" s="39" t="s">
        <v>89</v>
      </c>
      <c r="U142" s="39" t="s">
        <v>89</v>
      </c>
      <c r="V142" s="39" t="s">
        <v>90</v>
      </c>
    </row>
    <row r="143" spans="1:22" ht="17.45" customHeight="1" x14ac:dyDescent="0.25">
      <c r="A143" s="39" t="s">
        <v>29</v>
      </c>
      <c r="B143" s="40">
        <f>DATE(2019,11,25)</f>
        <v>43794</v>
      </c>
      <c r="C143" s="43">
        <f t="shared" si="4"/>
        <v>11</v>
      </c>
      <c r="D143" s="39" t="s">
        <v>30</v>
      </c>
      <c r="E143" s="39" t="s">
        <v>85</v>
      </c>
      <c r="F143" s="39" t="s">
        <v>280</v>
      </c>
      <c r="G143" s="42">
        <v>0</v>
      </c>
      <c r="H143" s="42">
        <v>130</v>
      </c>
      <c r="I143" s="42">
        <f t="shared" si="5"/>
        <v>-130</v>
      </c>
      <c r="J143" s="39" t="s">
        <v>85</v>
      </c>
      <c r="K143" s="41">
        <v>1123343</v>
      </c>
      <c r="L143" s="39" t="s">
        <v>85</v>
      </c>
      <c r="M143" s="39" t="s">
        <v>19</v>
      </c>
      <c r="N143" s="39" t="s">
        <v>85</v>
      </c>
      <c r="O143" s="39" t="s">
        <v>87</v>
      </c>
      <c r="P143" s="39" t="s">
        <v>85</v>
      </c>
      <c r="Q143" s="40">
        <f>DATE(2019,11,27)</f>
        <v>43796</v>
      </c>
      <c r="R143" s="39" t="s">
        <v>88</v>
      </c>
      <c r="S143" s="39" t="s">
        <v>85</v>
      </c>
      <c r="T143" s="39" t="s">
        <v>89</v>
      </c>
      <c r="U143" s="39" t="s">
        <v>89</v>
      </c>
      <c r="V143" s="39" t="s">
        <v>90</v>
      </c>
    </row>
    <row r="144" spans="1:22" ht="17.45" customHeight="1" x14ac:dyDescent="0.25">
      <c r="A144" s="39" t="s">
        <v>29</v>
      </c>
      <c r="B144" s="40">
        <f>DATE(2019,11,25)</f>
        <v>43794</v>
      </c>
      <c r="C144" s="43">
        <f t="shared" si="4"/>
        <v>11</v>
      </c>
      <c r="D144" s="39" t="s">
        <v>30</v>
      </c>
      <c r="E144" s="39" t="s">
        <v>85</v>
      </c>
      <c r="F144" s="39" t="s">
        <v>281</v>
      </c>
      <c r="G144" s="42">
        <v>0</v>
      </c>
      <c r="H144" s="42">
        <v>250</v>
      </c>
      <c r="I144" s="42">
        <f t="shared" si="5"/>
        <v>-250</v>
      </c>
      <c r="J144" s="39" t="s">
        <v>85</v>
      </c>
      <c r="K144" s="41">
        <v>1123340</v>
      </c>
      <c r="L144" s="39" t="s">
        <v>85</v>
      </c>
      <c r="M144" s="39" t="s">
        <v>19</v>
      </c>
      <c r="N144" s="39" t="s">
        <v>85</v>
      </c>
      <c r="O144" s="39" t="s">
        <v>87</v>
      </c>
      <c r="P144" s="39" t="s">
        <v>85</v>
      </c>
      <c r="Q144" s="40">
        <f>DATE(2019,11,27)</f>
        <v>43796</v>
      </c>
      <c r="R144" s="39" t="s">
        <v>88</v>
      </c>
      <c r="S144" s="39" t="s">
        <v>85</v>
      </c>
      <c r="T144" s="39" t="s">
        <v>89</v>
      </c>
      <c r="U144" s="39" t="s">
        <v>89</v>
      </c>
      <c r="V144" s="39" t="s">
        <v>90</v>
      </c>
    </row>
    <row r="145" spans="1:22" ht="17.45" customHeight="1" x14ac:dyDescent="0.25">
      <c r="A145" s="39" t="s">
        <v>29</v>
      </c>
      <c r="B145" s="40">
        <f>DATE(2019,11,25)</f>
        <v>43794</v>
      </c>
      <c r="C145" s="43">
        <f t="shared" si="4"/>
        <v>11</v>
      </c>
      <c r="D145" s="39" t="s">
        <v>30</v>
      </c>
      <c r="E145" s="39" t="s">
        <v>85</v>
      </c>
      <c r="F145" s="39" t="s">
        <v>282</v>
      </c>
      <c r="G145" s="42">
        <v>0</v>
      </c>
      <c r="H145" s="42">
        <v>325</v>
      </c>
      <c r="I145" s="42">
        <f t="shared" si="5"/>
        <v>-325</v>
      </c>
      <c r="J145" s="39" t="s">
        <v>85</v>
      </c>
      <c r="K145" s="41">
        <v>1123341</v>
      </c>
      <c r="L145" s="39" t="s">
        <v>85</v>
      </c>
      <c r="M145" s="39" t="s">
        <v>19</v>
      </c>
      <c r="N145" s="39" t="s">
        <v>85</v>
      </c>
      <c r="O145" s="39" t="s">
        <v>87</v>
      </c>
      <c r="P145" s="39" t="s">
        <v>85</v>
      </c>
      <c r="Q145" s="40">
        <f>DATE(2019,11,27)</f>
        <v>43796</v>
      </c>
      <c r="R145" s="39" t="s">
        <v>88</v>
      </c>
      <c r="S145" s="39" t="s">
        <v>85</v>
      </c>
      <c r="T145" s="39" t="s">
        <v>89</v>
      </c>
      <c r="U145" s="39" t="s">
        <v>89</v>
      </c>
      <c r="V145" s="39" t="s">
        <v>90</v>
      </c>
    </row>
    <row r="146" spans="1:22" ht="17.45" customHeight="1" x14ac:dyDescent="0.25">
      <c r="A146" s="39" t="s">
        <v>29</v>
      </c>
      <c r="B146" s="40">
        <f>DATE(2019,11,25)</f>
        <v>43794</v>
      </c>
      <c r="C146" s="43">
        <f t="shared" si="4"/>
        <v>11</v>
      </c>
      <c r="D146" s="39" t="s">
        <v>30</v>
      </c>
      <c r="E146" s="39" t="s">
        <v>85</v>
      </c>
      <c r="F146" s="39" t="s">
        <v>283</v>
      </c>
      <c r="G146" s="42">
        <v>0</v>
      </c>
      <c r="H146" s="42">
        <v>445</v>
      </c>
      <c r="I146" s="42">
        <f t="shared" si="5"/>
        <v>-445</v>
      </c>
      <c r="J146" s="39" t="s">
        <v>85</v>
      </c>
      <c r="K146" s="41">
        <v>1123342</v>
      </c>
      <c r="L146" s="39" t="s">
        <v>85</v>
      </c>
      <c r="M146" s="39" t="s">
        <v>19</v>
      </c>
      <c r="N146" s="39" t="s">
        <v>85</v>
      </c>
      <c r="O146" s="39" t="s">
        <v>87</v>
      </c>
      <c r="P146" s="39" t="s">
        <v>85</v>
      </c>
      <c r="Q146" s="40">
        <f>DATE(2019,11,27)</f>
        <v>43796</v>
      </c>
      <c r="R146" s="39" t="s">
        <v>88</v>
      </c>
      <c r="S146" s="39" t="s">
        <v>85</v>
      </c>
      <c r="T146" s="39" t="s">
        <v>89</v>
      </c>
      <c r="U146" s="39" t="s">
        <v>89</v>
      </c>
      <c r="V146" s="39" t="s">
        <v>90</v>
      </c>
    </row>
    <row r="147" spans="1:22" ht="17.45" customHeight="1" x14ac:dyDescent="0.25">
      <c r="A147" s="39" t="s">
        <v>29</v>
      </c>
      <c r="B147" s="40">
        <f>DATE(2019,12,3)</f>
        <v>43802</v>
      </c>
      <c r="C147" s="43">
        <f t="shared" si="4"/>
        <v>12</v>
      </c>
      <c r="D147" s="39" t="s">
        <v>30</v>
      </c>
      <c r="E147" s="39" t="s">
        <v>85</v>
      </c>
      <c r="F147" s="39" t="s">
        <v>284</v>
      </c>
      <c r="G147" s="42">
        <v>0</v>
      </c>
      <c r="H147" s="42">
        <v>65</v>
      </c>
      <c r="I147" s="42">
        <f t="shared" si="5"/>
        <v>-65</v>
      </c>
      <c r="J147" s="39" t="s">
        <v>85</v>
      </c>
      <c r="K147" s="41">
        <v>1123796</v>
      </c>
      <c r="L147" s="39" t="s">
        <v>85</v>
      </c>
      <c r="M147" s="39" t="s">
        <v>19</v>
      </c>
      <c r="N147" s="39" t="s">
        <v>85</v>
      </c>
      <c r="O147" s="39" t="s">
        <v>87</v>
      </c>
      <c r="P147" s="39" t="s">
        <v>85</v>
      </c>
      <c r="Q147" s="40">
        <f>DATE(2019,12,3)</f>
        <v>43802</v>
      </c>
      <c r="R147" s="39" t="s">
        <v>88</v>
      </c>
      <c r="S147" s="39" t="s">
        <v>85</v>
      </c>
      <c r="T147" s="39" t="s">
        <v>89</v>
      </c>
      <c r="U147" s="39" t="s">
        <v>89</v>
      </c>
      <c r="V147" s="39" t="s">
        <v>90</v>
      </c>
    </row>
    <row r="148" spans="1:22" ht="17.45" customHeight="1" x14ac:dyDescent="0.25">
      <c r="A148" s="39" t="s">
        <v>29</v>
      </c>
      <c r="B148" s="40">
        <f>DATE(2019,11,26)</f>
        <v>43795</v>
      </c>
      <c r="C148" s="43">
        <f t="shared" si="4"/>
        <v>11</v>
      </c>
      <c r="D148" s="39" t="s">
        <v>30</v>
      </c>
      <c r="E148" s="39" t="s">
        <v>85</v>
      </c>
      <c r="F148" s="39" t="s">
        <v>285</v>
      </c>
      <c r="G148" s="42">
        <v>0</v>
      </c>
      <c r="H148" s="42">
        <v>185</v>
      </c>
      <c r="I148" s="42">
        <f t="shared" si="5"/>
        <v>-185</v>
      </c>
      <c r="J148" s="39" t="s">
        <v>85</v>
      </c>
      <c r="K148" s="41">
        <v>1123346</v>
      </c>
      <c r="L148" s="39" t="s">
        <v>85</v>
      </c>
      <c r="M148" s="39" t="s">
        <v>19</v>
      </c>
      <c r="N148" s="39" t="s">
        <v>85</v>
      </c>
      <c r="O148" s="39" t="s">
        <v>87</v>
      </c>
      <c r="P148" s="39" t="s">
        <v>85</v>
      </c>
      <c r="Q148" s="40">
        <f>DATE(2019,11,27)</f>
        <v>43796</v>
      </c>
      <c r="R148" s="39" t="s">
        <v>88</v>
      </c>
      <c r="S148" s="39" t="s">
        <v>85</v>
      </c>
      <c r="T148" s="39" t="s">
        <v>89</v>
      </c>
      <c r="U148" s="39" t="s">
        <v>89</v>
      </c>
      <c r="V148" s="39" t="s">
        <v>90</v>
      </c>
    </row>
    <row r="149" spans="1:22" ht="17.45" customHeight="1" x14ac:dyDescent="0.25">
      <c r="A149" s="39" t="s">
        <v>29</v>
      </c>
      <c r="B149" s="40">
        <f>DATE(2019,11,26)</f>
        <v>43795</v>
      </c>
      <c r="C149" s="43">
        <f t="shared" si="4"/>
        <v>11</v>
      </c>
      <c r="D149" s="39" t="s">
        <v>30</v>
      </c>
      <c r="E149" s="39" t="s">
        <v>85</v>
      </c>
      <c r="F149" s="39" t="s">
        <v>286</v>
      </c>
      <c r="G149" s="42">
        <v>0</v>
      </c>
      <c r="H149" s="42">
        <v>195</v>
      </c>
      <c r="I149" s="42">
        <f t="shared" si="5"/>
        <v>-195</v>
      </c>
      <c r="J149" s="39" t="s">
        <v>85</v>
      </c>
      <c r="K149" s="41">
        <v>1123344</v>
      </c>
      <c r="L149" s="39" t="s">
        <v>85</v>
      </c>
      <c r="M149" s="39" t="s">
        <v>19</v>
      </c>
      <c r="N149" s="39" t="s">
        <v>85</v>
      </c>
      <c r="O149" s="39" t="s">
        <v>87</v>
      </c>
      <c r="P149" s="39" t="s">
        <v>85</v>
      </c>
      <c r="Q149" s="40">
        <f>DATE(2019,11,27)</f>
        <v>43796</v>
      </c>
      <c r="R149" s="39" t="s">
        <v>88</v>
      </c>
      <c r="S149" s="39" t="s">
        <v>85</v>
      </c>
      <c r="T149" s="39" t="s">
        <v>89</v>
      </c>
      <c r="U149" s="39" t="s">
        <v>89</v>
      </c>
      <c r="V149" s="39" t="s">
        <v>90</v>
      </c>
    </row>
    <row r="150" spans="1:22" ht="17.45" customHeight="1" x14ac:dyDescent="0.25">
      <c r="A150" s="39" t="s">
        <v>29</v>
      </c>
      <c r="B150" s="40">
        <f>DATE(2019,12,10)</f>
        <v>43809</v>
      </c>
      <c r="C150" s="43">
        <f t="shared" si="4"/>
        <v>12</v>
      </c>
      <c r="D150" s="39" t="s">
        <v>30</v>
      </c>
      <c r="E150" s="39" t="s">
        <v>85</v>
      </c>
      <c r="F150" s="39" t="s">
        <v>287</v>
      </c>
      <c r="G150" s="42">
        <v>0</v>
      </c>
      <c r="H150" s="42">
        <v>370</v>
      </c>
      <c r="I150" s="42">
        <f t="shared" si="5"/>
        <v>-370</v>
      </c>
      <c r="J150" s="39" t="s">
        <v>85</v>
      </c>
      <c r="K150" s="41">
        <v>1125534</v>
      </c>
      <c r="L150" s="39" t="s">
        <v>85</v>
      </c>
      <c r="M150" s="39" t="s">
        <v>19</v>
      </c>
      <c r="N150" s="39" t="s">
        <v>85</v>
      </c>
      <c r="O150" s="39" t="s">
        <v>87</v>
      </c>
      <c r="P150" s="39" t="s">
        <v>85</v>
      </c>
      <c r="Q150" s="40">
        <f>DATE(2019,12,11)</f>
        <v>43810</v>
      </c>
      <c r="R150" s="39" t="s">
        <v>88</v>
      </c>
      <c r="S150" s="39" t="s">
        <v>85</v>
      </c>
      <c r="T150" s="39" t="s">
        <v>89</v>
      </c>
      <c r="U150" s="39" t="s">
        <v>89</v>
      </c>
      <c r="V150" s="39" t="s">
        <v>90</v>
      </c>
    </row>
    <row r="151" spans="1:22" ht="17.45" customHeight="1" x14ac:dyDescent="0.25">
      <c r="A151" s="39" t="s">
        <v>29</v>
      </c>
      <c r="B151" s="40">
        <f>DATE(2019,12,13)</f>
        <v>43812</v>
      </c>
      <c r="C151" s="43">
        <f t="shared" si="4"/>
        <v>12</v>
      </c>
      <c r="D151" s="39" t="s">
        <v>30</v>
      </c>
      <c r="E151" s="39" t="s">
        <v>85</v>
      </c>
      <c r="F151" s="39" t="s">
        <v>288</v>
      </c>
      <c r="G151" s="42">
        <v>65</v>
      </c>
      <c r="H151" s="42">
        <v>0</v>
      </c>
      <c r="I151" s="42">
        <f t="shared" si="5"/>
        <v>65</v>
      </c>
      <c r="J151" s="39" t="s">
        <v>85</v>
      </c>
      <c r="K151" s="41">
        <v>1126923</v>
      </c>
      <c r="L151" s="39" t="s">
        <v>85</v>
      </c>
      <c r="M151" s="39" t="s">
        <v>19</v>
      </c>
      <c r="N151" s="39" t="s">
        <v>85</v>
      </c>
      <c r="O151" s="39" t="s">
        <v>87</v>
      </c>
      <c r="P151" s="39" t="s">
        <v>85</v>
      </c>
      <c r="Q151" s="40">
        <f>DATE(2019,12,17)</f>
        <v>43816</v>
      </c>
      <c r="R151" s="39" t="s">
        <v>88</v>
      </c>
      <c r="S151" s="39" t="s">
        <v>85</v>
      </c>
      <c r="T151" s="39" t="s">
        <v>89</v>
      </c>
      <c r="U151" s="39" t="s">
        <v>89</v>
      </c>
      <c r="V151" s="39" t="s">
        <v>90</v>
      </c>
    </row>
    <row r="152" spans="1:22" ht="17.45" customHeight="1" x14ac:dyDescent="0.25">
      <c r="A152" s="39" t="s">
        <v>29</v>
      </c>
      <c r="B152" s="40">
        <f>DATE(2019,12,10)</f>
        <v>43809</v>
      </c>
      <c r="C152" s="43">
        <f t="shared" si="4"/>
        <v>12</v>
      </c>
      <c r="D152" s="39" t="s">
        <v>30</v>
      </c>
      <c r="E152" s="39" t="s">
        <v>85</v>
      </c>
      <c r="F152" s="39" t="s">
        <v>289</v>
      </c>
      <c r="G152" s="42">
        <v>0</v>
      </c>
      <c r="H152" s="42">
        <v>130</v>
      </c>
      <c r="I152" s="42">
        <f t="shared" si="5"/>
        <v>-130</v>
      </c>
      <c r="J152" s="39" t="s">
        <v>85</v>
      </c>
      <c r="K152" s="41">
        <v>1125533</v>
      </c>
      <c r="L152" s="39" t="s">
        <v>85</v>
      </c>
      <c r="M152" s="39" t="s">
        <v>19</v>
      </c>
      <c r="N152" s="39" t="s">
        <v>85</v>
      </c>
      <c r="O152" s="39" t="s">
        <v>87</v>
      </c>
      <c r="P152" s="39" t="s">
        <v>85</v>
      </c>
      <c r="Q152" s="40">
        <f>DATE(2019,12,11)</f>
        <v>43810</v>
      </c>
      <c r="R152" s="39" t="s">
        <v>88</v>
      </c>
      <c r="S152" s="39" t="s">
        <v>85</v>
      </c>
      <c r="T152" s="39" t="s">
        <v>89</v>
      </c>
      <c r="U152" s="39" t="s">
        <v>89</v>
      </c>
      <c r="V152" s="39" t="s">
        <v>90</v>
      </c>
    </row>
    <row r="153" spans="1:22" ht="17.45" customHeight="1" x14ac:dyDescent="0.25">
      <c r="A153" s="39" t="s">
        <v>29</v>
      </c>
      <c r="B153" s="40">
        <f>DATE(2019,12,10)</f>
        <v>43809</v>
      </c>
      <c r="C153" s="43">
        <f t="shared" si="4"/>
        <v>12</v>
      </c>
      <c r="D153" s="39" t="s">
        <v>30</v>
      </c>
      <c r="E153" s="39" t="s">
        <v>85</v>
      </c>
      <c r="F153" s="39" t="s">
        <v>290</v>
      </c>
      <c r="G153" s="42">
        <v>0</v>
      </c>
      <c r="H153" s="42">
        <v>185</v>
      </c>
      <c r="I153" s="42">
        <f t="shared" si="5"/>
        <v>-185</v>
      </c>
      <c r="J153" s="39" t="s">
        <v>85</v>
      </c>
      <c r="K153" s="41">
        <v>1125537</v>
      </c>
      <c r="L153" s="39" t="s">
        <v>85</v>
      </c>
      <c r="M153" s="39" t="s">
        <v>19</v>
      </c>
      <c r="N153" s="39" t="s">
        <v>85</v>
      </c>
      <c r="O153" s="39" t="s">
        <v>87</v>
      </c>
      <c r="P153" s="39" t="s">
        <v>85</v>
      </c>
      <c r="Q153" s="40">
        <f>DATE(2019,12,11)</f>
        <v>43810</v>
      </c>
      <c r="R153" s="39" t="s">
        <v>88</v>
      </c>
      <c r="S153" s="39" t="s">
        <v>85</v>
      </c>
      <c r="T153" s="39" t="s">
        <v>89</v>
      </c>
      <c r="U153" s="39" t="s">
        <v>89</v>
      </c>
      <c r="V153" s="39" t="s">
        <v>90</v>
      </c>
    </row>
    <row r="154" spans="1:22" ht="17.45" customHeight="1" x14ac:dyDescent="0.25">
      <c r="A154" s="39" t="s">
        <v>29</v>
      </c>
      <c r="B154" s="40">
        <f>DATE(2019,12,10)</f>
        <v>43809</v>
      </c>
      <c r="C154" s="43">
        <f t="shared" si="4"/>
        <v>12</v>
      </c>
      <c r="D154" s="39" t="s">
        <v>30</v>
      </c>
      <c r="E154" s="39" t="s">
        <v>85</v>
      </c>
      <c r="F154" s="39" t="s">
        <v>291</v>
      </c>
      <c r="G154" s="42">
        <v>0</v>
      </c>
      <c r="H154" s="42">
        <v>250</v>
      </c>
      <c r="I154" s="42">
        <f t="shared" si="5"/>
        <v>-250</v>
      </c>
      <c r="J154" s="39" t="s">
        <v>85</v>
      </c>
      <c r="K154" s="41">
        <v>1125536</v>
      </c>
      <c r="L154" s="39" t="s">
        <v>85</v>
      </c>
      <c r="M154" s="39" t="s">
        <v>19</v>
      </c>
      <c r="N154" s="39" t="s">
        <v>85</v>
      </c>
      <c r="O154" s="39" t="s">
        <v>87</v>
      </c>
      <c r="P154" s="39" t="s">
        <v>85</v>
      </c>
      <c r="Q154" s="40">
        <f>DATE(2019,12,11)</f>
        <v>43810</v>
      </c>
      <c r="R154" s="39" t="s">
        <v>88</v>
      </c>
      <c r="S154" s="39" t="s">
        <v>85</v>
      </c>
      <c r="T154" s="39" t="s">
        <v>89</v>
      </c>
      <c r="U154" s="39" t="s">
        <v>89</v>
      </c>
      <c r="V154" s="39" t="s">
        <v>90</v>
      </c>
    </row>
    <row r="155" spans="1:22" ht="17.45" customHeight="1" x14ac:dyDescent="0.25">
      <c r="A155" s="39" t="s">
        <v>29</v>
      </c>
      <c r="B155" s="40">
        <f>DATE(2019,12,16)</f>
        <v>43815</v>
      </c>
      <c r="C155" s="43">
        <f t="shared" si="4"/>
        <v>12</v>
      </c>
      <c r="D155" s="39" t="s">
        <v>30</v>
      </c>
      <c r="E155" s="39" t="s">
        <v>85</v>
      </c>
      <c r="F155" s="39" t="s">
        <v>292</v>
      </c>
      <c r="G155" s="42">
        <v>0</v>
      </c>
      <c r="H155" s="42">
        <v>65</v>
      </c>
      <c r="I155" s="42">
        <f t="shared" si="5"/>
        <v>-65</v>
      </c>
      <c r="J155" s="39" t="s">
        <v>85</v>
      </c>
      <c r="K155" s="41">
        <v>1126929</v>
      </c>
      <c r="L155" s="39" t="s">
        <v>85</v>
      </c>
      <c r="M155" s="39" t="s">
        <v>19</v>
      </c>
      <c r="N155" s="39" t="s">
        <v>85</v>
      </c>
      <c r="O155" s="39" t="s">
        <v>87</v>
      </c>
      <c r="P155" s="39" t="s">
        <v>85</v>
      </c>
      <c r="Q155" s="40">
        <f>DATE(2019,12,17)</f>
        <v>43816</v>
      </c>
      <c r="R155" s="39" t="s">
        <v>88</v>
      </c>
      <c r="S155" s="39" t="s">
        <v>85</v>
      </c>
      <c r="T155" s="39" t="s">
        <v>89</v>
      </c>
      <c r="U155" s="39" t="s">
        <v>89</v>
      </c>
      <c r="V155" s="39" t="s">
        <v>90</v>
      </c>
    </row>
    <row r="156" spans="1:22" ht="17.45" customHeight="1" x14ac:dyDescent="0.25">
      <c r="A156" s="39" t="s">
        <v>29</v>
      </c>
      <c r="B156" s="40">
        <f>DATE(2019,12,17)</f>
        <v>43816</v>
      </c>
      <c r="C156" s="43">
        <f t="shared" si="4"/>
        <v>12</v>
      </c>
      <c r="D156" s="39" t="s">
        <v>30</v>
      </c>
      <c r="E156" s="39" t="s">
        <v>85</v>
      </c>
      <c r="F156" s="39" t="s">
        <v>293</v>
      </c>
      <c r="G156" s="42">
        <v>0</v>
      </c>
      <c r="H156" s="42">
        <v>65</v>
      </c>
      <c r="I156" s="42">
        <f t="shared" si="5"/>
        <v>-65</v>
      </c>
      <c r="J156" s="39" t="s">
        <v>85</v>
      </c>
      <c r="K156" s="41">
        <v>1127690</v>
      </c>
      <c r="L156" s="39" t="s">
        <v>85</v>
      </c>
      <c r="M156" s="39" t="s">
        <v>19</v>
      </c>
      <c r="N156" s="39" t="s">
        <v>85</v>
      </c>
      <c r="O156" s="39" t="s">
        <v>87</v>
      </c>
      <c r="P156" s="39" t="s">
        <v>85</v>
      </c>
      <c r="Q156" s="40">
        <f>DATE(2019,12,18)</f>
        <v>43817</v>
      </c>
      <c r="R156" s="39" t="s">
        <v>88</v>
      </c>
      <c r="S156" s="39" t="s">
        <v>85</v>
      </c>
      <c r="T156" s="39" t="s">
        <v>89</v>
      </c>
      <c r="U156" s="39" t="s">
        <v>89</v>
      </c>
      <c r="V156" s="39" t="s">
        <v>90</v>
      </c>
    </row>
    <row r="157" spans="1:22" ht="17.45" customHeight="1" x14ac:dyDescent="0.25">
      <c r="A157" s="39" t="s">
        <v>29</v>
      </c>
      <c r="B157" s="40">
        <f>DATE(2019,12,19)</f>
        <v>43818</v>
      </c>
      <c r="C157" s="43">
        <f t="shared" si="4"/>
        <v>12</v>
      </c>
      <c r="D157" s="39" t="s">
        <v>30</v>
      </c>
      <c r="E157" s="39" t="s">
        <v>85</v>
      </c>
      <c r="F157" s="39" t="s">
        <v>294</v>
      </c>
      <c r="G157" s="42">
        <v>0</v>
      </c>
      <c r="H157" s="42">
        <v>185</v>
      </c>
      <c r="I157" s="42">
        <f t="shared" si="5"/>
        <v>-185</v>
      </c>
      <c r="J157" s="39" t="s">
        <v>85</v>
      </c>
      <c r="K157" s="41">
        <v>1127772</v>
      </c>
      <c r="L157" s="39" t="s">
        <v>85</v>
      </c>
      <c r="M157" s="39" t="s">
        <v>19</v>
      </c>
      <c r="N157" s="39" t="s">
        <v>85</v>
      </c>
      <c r="O157" s="39" t="s">
        <v>87</v>
      </c>
      <c r="P157" s="39" t="s">
        <v>85</v>
      </c>
      <c r="Q157" s="40">
        <f>DATE(2019,12,20)</f>
        <v>43819</v>
      </c>
      <c r="R157" s="39" t="s">
        <v>88</v>
      </c>
      <c r="S157" s="39" t="s">
        <v>85</v>
      </c>
      <c r="T157" s="39" t="s">
        <v>89</v>
      </c>
      <c r="U157" s="39" t="s">
        <v>89</v>
      </c>
      <c r="V157" s="39" t="s">
        <v>90</v>
      </c>
    </row>
    <row r="158" spans="1:22" ht="17.45" customHeight="1" x14ac:dyDescent="0.25">
      <c r="A158" s="39" t="s">
        <v>29</v>
      </c>
      <c r="B158" s="40">
        <f>DATE(2019,12,23)</f>
        <v>43822</v>
      </c>
      <c r="C158" s="43">
        <f t="shared" si="4"/>
        <v>12</v>
      </c>
      <c r="D158" s="39" t="s">
        <v>30</v>
      </c>
      <c r="E158" s="39" t="s">
        <v>85</v>
      </c>
      <c r="F158" s="39" t="s">
        <v>295</v>
      </c>
      <c r="G158" s="42">
        <v>0</v>
      </c>
      <c r="H158" s="42">
        <v>185</v>
      </c>
      <c r="I158" s="42">
        <f t="shared" si="5"/>
        <v>-185</v>
      </c>
      <c r="J158" s="39" t="s">
        <v>85</v>
      </c>
      <c r="K158" s="41">
        <v>1128797</v>
      </c>
      <c r="L158" s="39" t="s">
        <v>85</v>
      </c>
      <c r="M158" s="39" t="s">
        <v>19</v>
      </c>
      <c r="N158" s="39" t="s">
        <v>85</v>
      </c>
      <c r="O158" s="39" t="s">
        <v>87</v>
      </c>
      <c r="P158" s="39" t="s">
        <v>85</v>
      </c>
      <c r="Q158" s="40">
        <f>DATE(2019,12,31)</f>
        <v>43830</v>
      </c>
      <c r="R158" s="39" t="s">
        <v>88</v>
      </c>
      <c r="S158" s="39" t="s">
        <v>85</v>
      </c>
      <c r="T158" s="39" t="s">
        <v>89</v>
      </c>
      <c r="U158" s="39" t="s">
        <v>89</v>
      </c>
      <c r="V158" s="39" t="s">
        <v>90</v>
      </c>
    </row>
    <row r="159" spans="1:22" ht="17.45" customHeight="1" x14ac:dyDescent="0.25">
      <c r="A159" s="39" t="s">
        <v>29</v>
      </c>
      <c r="B159" s="40">
        <f>DATE(2019,12,6)</f>
        <v>43805</v>
      </c>
      <c r="C159" s="43">
        <f t="shared" si="4"/>
        <v>12</v>
      </c>
      <c r="D159" s="39" t="s">
        <v>30</v>
      </c>
      <c r="E159" s="39" t="s">
        <v>85</v>
      </c>
      <c r="F159" s="39" t="s">
        <v>296</v>
      </c>
      <c r="G159" s="42">
        <v>0</v>
      </c>
      <c r="H159" s="42">
        <v>130</v>
      </c>
      <c r="I159" s="42">
        <f t="shared" si="5"/>
        <v>-130</v>
      </c>
      <c r="J159" s="39" t="s">
        <v>85</v>
      </c>
      <c r="K159" s="41">
        <v>1125310</v>
      </c>
      <c r="L159" s="39" t="s">
        <v>85</v>
      </c>
      <c r="M159" s="39" t="s">
        <v>19</v>
      </c>
      <c r="N159" s="39" t="s">
        <v>85</v>
      </c>
      <c r="O159" s="39" t="s">
        <v>87</v>
      </c>
      <c r="P159" s="39" t="s">
        <v>85</v>
      </c>
      <c r="Q159" s="40">
        <f>DATE(2019,12,9)</f>
        <v>43808</v>
      </c>
      <c r="R159" s="39" t="s">
        <v>88</v>
      </c>
      <c r="S159" s="39" t="s">
        <v>85</v>
      </c>
      <c r="T159" s="39" t="s">
        <v>89</v>
      </c>
      <c r="U159" s="39" t="s">
        <v>89</v>
      </c>
      <c r="V159" s="39" t="s">
        <v>90</v>
      </c>
    </row>
    <row r="160" spans="1:22" ht="17.45" customHeight="1" x14ac:dyDescent="0.25">
      <c r="A160" s="39" t="s">
        <v>29</v>
      </c>
      <c r="B160" s="40">
        <f>DATE(2019,12,6)</f>
        <v>43805</v>
      </c>
      <c r="C160" s="43">
        <f t="shared" si="4"/>
        <v>12</v>
      </c>
      <c r="D160" s="39" t="s">
        <v>30</v>
      </c>
      <c r="E160" s="39" t="s">
        <v>85</v>
      </c>
      <c r="F160" s="39" t="s">
        <v>297</v>
      </c>
      <c r="G160" s="42">
        <v>0</v>
      </c>
      <c r="H160" s="42">
        <v>185</v>
      </c>
      <c r="I160" s="42">
        <f t="shared" si="5"/>
        <v>-185</v>
      </c>
      <c r="J160" s="39" t="s">
        <v>85</v>
      </c>
      <c r="K160" s="41">
        <v>1125312</v>
      </c>
      <c r="L160" s="39" t="s">
        <v>85</v>
      </c>
      <c r="M160" s="39" t="s">
        <v>19</v>
      </c>
      <c r="N160" s="39" t="s">
        <v>85</v>
      </c>
      <c r="O160" s="39" t="s">
        <v>87</v>
      </c>
      <c r="P160" s="39" t="s">
        <v>85</v>
      </c>
      <c r="Q160" s="40">
        <f>DATE(2019,12,9)</f>
        <v>43808</v>
      </c>
      <c r="R160" s="39" t="s">
        <v>88</v>
      </c>
      <c r="S160" s="39" t="s">
        <v>85</v>
      </c>
      <c r="T160" s="39" t="s">
        <v>89</v>
      </c>
      <c r="U160" s="39" t="s">
        <v>89</v>
      </c>
      <c r="V160" s="39" t="s">
        <v>90</v>
      </c>
    </row>
    <row r="161" spans="1:22" ht="17.45" customHeight="1" x14ac:dyDescent="0.25">
      <c r="A161" s="39" t="s">
        <v>29</v>
      </c>
      <c r="B161" s="40">
        <f>DATE(2019,12,6)</f>
        <v>43805</v>
      </c>
      <c r="C161" s="43">
        <f t="shared" si="4"/>
        <v>12</v>
      </c>
      <c r="D161" s="39" t="s">
        <v>30</v>
      </c>
      <c r="E161" s="39" t="s">
        <v>85</v>
      </c>
      <c r="F161" s="39" t="s">
        <v>298</v>
      </c>
      <c r="G161" s="42">
        <v>0</v>
      </c>
      <c r="H161" s="42">
        <v>250</v>
      </c>
      <c r="I161" s="42">
        <f t="shared" si="5"/>
        <v>-250</v>
      </c>
      <c r="J161" s="39" t="s">
        <v>85</v>
      </c>
      <c r="K161" s="41">
        <v>1125309</v>
      </c>
      <c r="L161" s="39" t="s">
        <v>85</v>
      </c>
      <c r="M161" s="39" t="s">
        <v>19</v>
      </c>
      <c r="N161" s="39" t="s">
        <v>85</v>
      </c>
      <c r="O161" s="39" t="s">
        <v>87</v>
      </c>
      <c r="P161" s="39" t="s">
        <v>85</v>
      </c>
      <c r="Q161" s="40">
        <f>DATE(2019,12,9)</f>
        <v>43808</v>
      </c>
      <c r="R161" s="39" t="s">
        <v>88</v>
      </c>
      <c r="S161" s="39" t="s">
        <v>85</v>
      </c>
      <c r="T161" s="39" t="s">
        <v>89</v>
      </c>
      <c r="U161" s="39" t="s">
        <v>89</v>
      </c>
      <c r="V161" s="39" t="s">
        <v>90</v>
      </c>
    </row>
    <row r="162" spans="1:22" ht="17.45" customHeight="1" x14ac:dyDescent="0.25">
      <c r="A162" s="39" t="s">
        <v>29</v>
      </c>
      <c r="B162" s="40">
        <f>DATE(2019,12,10)</f>
        <v>43809</v>
      </c>
      <c r="C162" s="43">
        <f t="shared" si="4"/>
        <v>12</v>
      </c>
      <c r="D162" s="39" t="s">
        <v>30</v>
      </c>
      <c r="E162" s="39" t="s">
        <v>85</v>
      </c>
      <c r="F162" s="39" t="s">
        <v>299</v>
      </c>
      <c r="G162" s="42">
        <v>0</v>
      </c>
      <c r="H162" s="42">
        <v>65</v>
      </c>
      <c r="I162" s="42">
        <f t="shared" si="5"/>
        <v>-65</v>
      </c>
      <c r="J162" s="39" t="s">
        <v>85</v>
      </c>
      <c r="K162" s="41">
        <v>1125535</v>
      </c>
      <c r="L162" s="39" t="s">
        <v>85</v>
      </c>
      <c r="M162" s="39" t="s">
        <v>19</v>
      </c>
      <c r="N162" s="39" t="s">
        <v>85</v>
      </c>
      <c r="O162" s="39" t="s">
        <v>87</v>
      </c>
      <c r="P162" s="39" t="s">
        <v>85</v>
      </c>
      <c r="Q162" s="40">
        <f>DATE(2019,12,11)</f>
        <v>43810</v>
      </c>
      <c r="R162" s="39" t="s">
        <v>88</v>
      </c>
      <c r="S162" s="39" t="s">
        <v>85</v>
      </c>
      <c r="T162" s="39" t="s">
        <v>89</v>
      </c>
      <c r="U162" s="39" t="s">
        <v>89</v>
      </c>
      <c r="V162" s="39" t="s">
        <v>90</v>
      </c>
    </row>
    <row r="163" spans="1:22" ht="17.45" customHeight="1" x14ac:dyDescent="0.25">
      <c r="A163" s="39" t="s">
        <v>21</v>
      </c>
      <c r="B163" s="40">
        <f>DATE(2019,1,17)</f>
        <v>43482</v>
      </c>
      <c r="C163" s="43">
        <f t="shared" si="4"/>
        <v>1</v>
      </c>
      <c r="D163" s="39" t="s">
        <v>22</v>
      </c>
      <c r="E163" s="39" t="s">
        <v>85</v>
      </c>
      <c r="F163" s="39" t="s">
        <v>103</v>
      </c>
      <c r="G163" s="42">
        <v>0</v>
      </c>
      <c r="H163" s="42">
        <v>65</v>
      </c>
      <c r="I163" s="42">
        <f t="shared" si="5"/>
        <v>-65</v>
      </c>
      <c r="J163" s="39" t="s">
        <v>85</v>
      </c>
      <c r="K163" s="41">
        <v>1077877</v>
      </c>
      <c r="L163" s="39" t="s">
        <v>85</v>
      </c>
      <c r="M163" s="39" t="s">
        <v>7</v>
      </c>
      <c r="N163" s="39" t="s">
        <v>85</v>
      </c>
      <c r="O163" s="39" t="s">
        <v>87</v>
      </c>
      <c r="P163" s="39" t="s">
        <v>85</v>
      </c>
      <c r="Q163" s="40">
        <f>DATE(2019,1,18)</f>
        <v>43483</v>
      </c>
      <c r="R163" s="39" t="s">
        <v>88</v>
      </c>
      <c r="S163" s="39" t="s">
        <v>85</v>
      </c>
      <c r="T163" s="39" t="s">
        <v>89</v>
      </c>
      <c r="U163" s="39" t="s">
        <v>89</v>
      </c>
      <c r="V163" s="39" t="s">
        <v>90</v>
      </c>
    </row>
    <row r="164" spans="1:22" ht="17.45" customHeight="1" x14ac:dyDescent="0.25">
      <c r="A164" s="39" t="s">
        <v>21</v>
      </c>
      <c r="B164" s="40">
        <f>DATE(2019,1,23)</f>
        <v>43488</v>
      </c>
      <c r="C164" s="43">
        <f t="shared" si="4"/>
        <v>1</v>
      </c>
      <c r="D164" s="39" t="s">
        <v>22</v>
      </c>
      <c r="E164" s="39" t="s">
        <v>85</v>
      </c>
      <c r="F164" s="39" t="s">
        <v>102</v>
      </c>
      <c r="G164" s="42">
        <v>0</v>
      </c>
      <c r="H164" s="42">
        <v>65</v>
      </c>
      <c r="I164" s="42">
        <f t="shared" si="5"/>
        <v>-65</v>
      </c>
      <c r="J164" s="39" t="s">
        <v>85</v>
      </c>
      <c r="K164" s="41">
        <v>1078985</v>
      </c>
      <c r="L164" s="39" t="s">
        <v>85</v>
      </c>
      <c r="M164" s="39" t="s">
        <v>7</v>
      </c>
      <c r="N164" s="39" t="s">
        <v>85</v>
      </c>
      <c r="O164" s="39" t="s">
        <v>87</v>
      </c>
      <c r="P164" s="39" t="s">
        <v>85</v>
      </c>
      <c r="Q164" s="40">
        <f>DATE(2019,1,24)</f>
        <v>43489</v>
      </c>
      <c r="R164" s="39" t="s">
        <v>88</v>
      </c>
      <c r="S164" s="39" t="s">
        <v>85</v>
      </c>
      <c r="T164" s="39" t="s">
        <v>89</v>
      </c>
      <c r="U164" s="39" t="s">
        <v>89</v>
      </c>
      <c r="V164" s="39" t="s">
        <v>90</v>
      </c>
    </row>
    <row r="165" spans="1:22" ht="17.45" customHeight="1" x14ac:dyDescent="0.25">
      <c r="A165" s="39" t="s">
        <v>21</v>
      </c>
      <c r="B165" s="40">
        <f>DATE(2019,2,20)</f>
        <v>43516</v>
      </c>
      <c r="C165" s="43">
        <f t="shared" si="4"/>
        <v>2</v>
      </c>
      <c r="D165" s="39" t="s">
        <v>22</v>
      </c>
      <c r="E165" s="39" t="s">
        <v>85</v>
      </c>
      <c r="F165" s="39" t="s">
        <v>108</v>
      </c>
      <c r="G165" s="42">
        <v>0</v>
      </c>
      <c r="H165" s="42">
        <v>1000</v>
      </c>
      <c r="I165" s="42">
        <f t="shared" si="5"/>
        <v>-1000</v>
      </c>
      <c r="J165" s="39" t="s">
        <v>85</v>
      </c>
      <c r="K165" s="41">
        <v>1082561</v>
      </c>
      <c r="L165" s="39" t="s">
        <v>85</v>
      </c>
      <c r="M165" s="39" t="s">
        <v>7</v>
      </c>
      <c r="N165" s="39" t="s">
        <v>85</v>
      </c>
      <c r="O165" s="39" t="s">
        <v>87</v>
      </c>
      <c r="P165" s="39" t="s">
        <v>85</v>
      </c>
      <c r="Q165" s="40">
        <f>DATE(2019,2,21)</f>
        <v>43517</v>
      </c>
      <c r="R165" s="39" t="s">
        <v>88</v>
      </c>
      <c r="S165" s="39" t="s">
        <v>85</v>
      </c>
      <c r="T165" s="39" t="s">
        <v>89</v>
      </c>
      <c r="U165" s="39" t="s">
        <v>89</v>
      </c>
      <c r="V165" s="39" t="s">
        <v>90</v>
      </c>
    </row>
    <row r="166" spans="1:22" ht="17.45" customHeight="1" x14ac:dyDescent="0.25">
      <c r="A166" s="39" t="s">
        <v>21</v>
      </c>
      <c r="B166" s="40">
        <f>DATE(2019,3,15)</f>
        <v>43539</v>
      </c>
      <c r="C166" s="43">
        <f t="shared" si="4"/>
        <v>3</v>
      </c>
      <c r="D166" s="39" t="s">
        <v>22</v>
      </c>
      <c r="E166" s="39" t="s">
        <v>85</v>
      </c>
      <c r="F166" s="39" t="s">
        <v>112</v>
      </c>
      <c r="G166" s="42">
        <v>0</v>
      </c>
      <c r="H166" s="42">
        <v>260</v>
      </c>
      <c r="I166" s="42">
        <f t="shared" si="5"/>
        <v>-260</v>
      </c>
      <c r="J166" s="39" t="s">
        <v>85</v>
      </c>
      <c r="K166" s="41">
        <v>1086509</v>
      </c>
      <c r="L166" s="39" t="s">
        <v>85</v>
      </c>
      <c r="M166" s="39" t="s">
        <v>7</v>
      </c>
      <c r="N166" s="39" t="s">
        <v>85</v>
      </c>
      <c r="O166" s="39" t="s">
        <v>87</v>
      </c>
      <c r="P166" s="39" t="s">
        <v>85</v>
      </c>
      <c r="Q166" s="40">
        <f>DATE(2019,3,18)</f>
        <v>43542</v>
      </c>
      <c r="R166" s="39" t="s">
        <v>88</v>
      </c>
      <c r="S166" s="39" t="s">
        <v>85</v>
      </c>
      <c r="T166" s="39" t="s">
        <v>89</v>
      </c>
      <c r="U166" s="39" t="s">
        <v>89</v>
      </c>
      <c r="V166" s="39" t="s">
        <v>90</v>
      </c>
    </row>
    <row r="167" spans="1:22" ht="17.45" customHeight="1" x14ac:dyDescent="0.25">
      <c r="A167" s="39" t="s">
        <v>21</v>
      </c>
      <c r="B167" s="40">
        <f>DATE(2019,5,15)</f>
        <v>43600</v>
      </c>
      <c r="C167" s="43">
        <f t="shared" si="4"/>
        <v>5</v>
      </c>
      <c r="D167" s="39" t="s">
        <v>22</v>
      </c>
      <c r="E167" s="39" t="s">
        <v>85</v>
      </c>
      <c r="F167" s="39" t="s">
        <v>114</v>
      </c>
      <c r="G167" s="42">
        <v>0</v>
      </c>
      <c r="H167" s="42">
        <v>195</v>
      </c>
      <c r="I167" s="42">
        <f t="shared" si="5"/>
        <v>-195</v>
      </c>
      <c r="J167" s="39" t="s">
        <v>85</v>
      </c>
      <c r="K167" s="41">
        <v>1097913</v>
      </c>
      <c r="L167" s="39" t="s">
        <v>85</v>
      </c>
      <c r="M167" s="39" t="s">
        <v>7</v>
      </c>
      <c r="N167" s="39" t="s">
        <v>85</v>
      </c>
      <c r="O167" s="39" t="s">
        <v>87</v>
      </c>
      <c r="P167" s="39" t="s">
        <v>85</v>
      </c>
      <c r="Q167" s="40">
        <f>DATE(2019,5,27)</f>
        <v>43612</v>
      </c>
      <c r="R167" s="39" t="s">
        <v>88</v>
      </c>
      <c r="S167" s="39" t="s">
        <v>85</v>
      </c>
      <c r="T167" s="39" t="s">
        <v>89</v>
      </c>
      <c r="U167" s="39" t="s">
        <v>89</v>
      </c>
      <c r="V167" s="39" t="s">
        <v>90</v>
      </c>
    </row>
    <row r="168" spans="1:22" ht="17.45" customHeight="1" x14ac:dyDescent="0.25">
      <c r="A168" s="39" t="s">
        <v>21</v>
      </c>
      <c r="B168" s="40">
        <f>DATE(2019,5,17)</f>
        <v>43602</v>
      </c>
      <c r="C168" s="43">
        <f t="shared" si="4"/>
        <v>5</v>
      </c>
      <c r="D168" s="39" t="s">
        <v>22</v>
      </c>
      <c r="E168" s="39" t="s">
        <v>85</v>
      </c>
      <c r="F168" s="39" t="s">
        <v>300</v>
      </c>
      <c r="G168" s="42">
        <v>0</v>
      </c>
      <c r="H168" s="42">
        <v>65</v>
      </c>
      <c r="I168" s="42">
        <f t="shared" si="5"/>
        <v>-65</v>
      </c>
      <c r="J168" s="39" t="s">
        <v>85</v>
      </c>
      <c r="K168" s="41">
        <v>1097921</v>
      </c>
      <c r="L168" s="39" t="s">
        <v>85</v>
      </c>
      <c r="M168" s="39" t="s">
        <v>7</v>
      </c>
      <c r="N168" s="39" t="s">
        <v>85</v>
      </c>
      <c r="O168" s="39" t="s">
        <v>87</v>
      </c>
      <c r="P168" s="39" t="s">
        <v>85</v>
      </c>
      <c r="Q168" s="40">
        <f>DATE(2019,5,27)</f>
        <v>43612</v>
      </c>
      <c r="R168" s="39" t="s">
        <v>88</v>
      </c>
      <c r="S168" s="39" t="s">
        <v>85</v>
      </c>
      <c r="T168" s="39" t="s">
        <v>89</v>
      </c>
      <c r="U168" s="39" t="s">
        <v>89</v>
      </c>
      <c r="V168" s="39" t="s">
        <v>90</v>
      </c>
    </row>
    <row r="169" spans="1:22" ht="17.45" customHeight="1" x14ac:dyDescent="0.25">
      <c r="A169" s="39" t="s">
        <v>21</v>
      </c>
      <c r="B169" s="40">
        <f>DATE(2019,8,12)</f>
        <v>43689</v>
      </c>
      <c r="C169" s="43">
        <f t="shared" si="4"/>
        <v>8</v>
      </c>
      <c r="D169" s="39" t="s">
        <v>22</v>
      </c>
      <c r="E169" s="39" t="s">
        <v>85</v>
      </c>
      <c r="F169" s="39" t="s">
        <v>301</v>
      </c>
      <c r="G169" s="42">
        <v>0</v>
      </c>
      <c r="H169" s="42">
        <v>185</v>
      </c>
      <c r="I169" s="42">
        <f t="shared" si="5"/>
        <v>-185</v>
      </c>
      <c r="J169" s="39" t="s">
        <v>85</v>
      </c>
      <c r="K169" s="41">
        <v>1110422</v>
      </c>
      <c r="L169" s="39" t="s">
        <v>85</v>
      </c>
      <c r="M169" s="39" t="s">
        <v>7</v>
      </c>
      <c r="N169" s="39" t="s">
        <v>85</v>
      </c>
      <c r="O169" s="39" t="s">
        <v>87</v>
      </c>
      <c r="P169" s="39" t="s">
        <v>85</v>
      </c>
      <c r="Q169" s="40">
        <f>DATE(2019,8,13)</f>
        <v>43690</v>
      </c>
      <c r="R169" s="39" t="s">
        <v>88</v>
      </c>
      <c r="S169" s="39" t="s">
        <v>85</v>
      </c>
      <c r="T169" s="39" t="s">
        <v>89</v>
      </c>
      <c r="U169" s="39" t="s">
        <v>89</v>
      </c>
      <c r="V169" s="39" t="s">
        <v>90</v>
      </c>
    </row>
    <row r="170" spans="1:22" ht="17.45" customHeight="1" x14ac:dyDescent="0.25">
      <c r="A170" s="39" t="s">
        <v>21</v>
      </c>
      <c r="B170" s="40">
        <f>DATE(2019,12,19)</f>
        <v>43818</v>
      </c>
      <c r="C170" s="43">
        <f t="shared" si="4"/>
        <v>12</v>
      </c>
      <c r="D170" s="39" t="s">
        <v>22</v>
      </c>
      <c r="E170" s="39" t="s">
        <v>85</v>
      </c>
      <c r="F170" s="39" t="s">
        <v>302</v>
      </c>
      <c r="G170" s="42">
        <v>0</v>
      </c>
      <c r="H170" s="42">
        <v>65</v>
      </c>
      <c r="I170" s="42">
        <f t="shared" si="5"/>
        <v>-65</v>
      </c>
      <c r="J170" s="39" t="s">
        <v>85</v>
      </c>
      <c r="K170" s="41">
        <v>1127773</v>
      </c>
      <c r="L170" s="39" t="s">
        <v>85</v>
      </c>
      <c r="M170" s="39" t="s">
        <v>7</v>
      </c>
      <c r="N170" s="39" t="s">
        <v>85</v>
      </c>
      <c r="O170" s="39" t="s">
        <v>87</v>
      </c>
      <c r="P170" s="39" t="s">
        <v>85</v>
      </c>
      <c r="Q170" s="40">
        <f>DATE(2019,12,20)</f>
        <v>43819</v>
      </c>
      <c r="R170" s="39" t="s">
        <v>88</v>
      </c>
      <c r="S170" s="39" t="s">
        <v>85</v>
      </c>
      <c r="T170" s="39" t="s">
        <v>89</v>
      </c>
      <c r="U170" s="39" t="s">
        <v>89</v>
      </c>
      <c r="V170" s="39" t="s">
        <v>90</v>
      </c>
    </row>
    <row r="171" spans="1:22" ht="17.45" customHeight="1" x14ac:dyDescent="0.25">
      <c r="A171" s="39" t="s">
        <v>21</v>
      </c>
      <c r="B171" s="40">
        <f>DATE(2019,9,17)</f>
        <v>43725</v>
      </c>
      <c r="C171" s="43">
        <f t="shared" si="4"/>
        <v>9</v>
      </c>
      <c r="D171" s="39" t="s">
        <v>22</v>
      </c>
      <c r="E171" s="39" t="s">
        <v>85</v>
      </c>
      <c r="F171" s="39" t="s">
        <v>303</v>
      </c>
      <c r="G171" s="42">
        <v>0</v>
      </c>
      <c r="H171" s="42">
        <v>130</v>
      </c>
      <c r="I171" s="42">
        <f t="shared" si="5"/>
        <v>-130</v>
      </c>
      <c r="J171" s="39" t="s">
        <v>85</v>
      </c>
      <c r="K171" s="41">
        <v>30264</v>
      </c>
      <c r="L171" s="39" t="s">
        <v>85</v>
      </c>
      <c r="M171" s="39" t="s">
        <v>7</v>
      </c>
      <c r="N171" s="39" t="s">
        <v>85</v>
      </c>
      <c r="O171" s="39" t="s">
        <v>87</v>
      </c>
      <c r="P171" s="39" t="s">
        <v>85</v>
      </c>
      <c r="Q171" s="40">
        <f>DATE(2019,9,18)</f>
        <v>43726</v>
      </c>
      <c r="R171" s="39" t="s">
        <v>88</v>
      </c>
      <c r="S171" s="39" t="s">
        <v>85</v>
      </c>
      <c r="T171" s="39" t="s">
        <v>89</v>
      </c>
      <c r="U171" s="39" t="s">
        <v>89</v>
      </c>
      <c r="V171" s="39" t="s">
        <v>90</v>
      </c>
    </row>
    <row r="172" spans="1:22" ht="17.45" customHeight="1" x14ac:dyDescent="0.25">
      <c r="A172" s="39" t="s">
        <v>21</v>
      </c>
      <c r="B172" s="40">
        <f>DATE(2019,10,23)</f>
        <v>43761</v>
      </c>
      <c r="C172" s="43">
        <f t="shared" si="4"/>
        <v>10</v>
      </c>
      <c r="D172" s="39" t="s">
        <v>22</v>
      </c>
      <c r="E172" s="39" t="s">
        <v>85</v>
      </c>
      <c r="F172" s="39" t="s">
        <v>304</v>
      </c>
      <c r="G172" s="42">
        <v>0</v>
      </c>
      <c r="H172" s="42">
        <v>65</v>
      </c>
      <c r="I172" s="42">
        <f t="shared" si="5"/>
        <v>-65</v>
      </c>
      <c r="J172" s="39" t="s">
        <v>85</v>
      </c>
      <c r="K172" s="41">
        <v>1118479</v>
      </c>
      <c r="L172" s="39" t="s">
        <v>85</v>
      </c>
      <c r="M172" s="39" t="s">
        <v>7</v>
      </c>
      <c r="N172" s="39" t="s">
        <v>85</v>
      </c>
      <c r="O172" s="39" t="s">
        <v>87</v>
      </c>
      <c r="P172" s="39" t="s">
        <v>85</v>
      </c>
      <c r="Q172" s="40">
        <f>DATE(2019,10,24)</f>
        <v>43762</v>
      </c>
      <c r="R172" s="39" t="s">
        <v>88</v>
      </c>
      <c r="S172" s="39" t="s">
        <v>85</v>
      </c>
      <c r="T172" s="39" t="s">
        <v>89</v>
      </c>
      <c r="U172" s="39" t="s">
        <v>89</v>
      </c>
      <c r="V172" s="39" t="s">
        <v>90</v>
      </c>
    </row>
    <row r="173" spans="1:22" ht="17.45" customHeight="1" x14ac:dyDescent="0.25">
      <c r="A173" s="39" t="s">
        <v>21</v>
      </c>
      <c r="B173" s="40">
        <f>DATE(2019,11,18)</f>
        <v>43787</v>
      </c>
      <c r="C173" s="43">
        <f t="shared" si="4"/>
        <v>11</v>
      </c>
      <c r="D173" s="39" t="s">
        <v>22</v>
      </c>
      <c r="E173" s="39" t="s">
        <v>85</v>
      </c>
      <c r="F173" s="39" t="s">
        <v>305</v>
      </c>
      <c r="G173" s="42">
        <v>0</v>
      </c>
      <c r="H173" s="42">
        <v>195</v>
      </c>
      <c r="I173" s="42">
        <f t="shared" si="5"/>
        <v>-195</v>
      </c>
      <c r="J173" s="39" t="s">
        <v>85</v>
      </c>
      <c r="K173" s="41">
        <v>1121285</v>
      </c>
      <c r="L173" s="39" t="s">
        <v>85</v>
      </c>
      <c r="M173" s="39" t="s">
        <v>7</v>
      </c>
      <c r="N173" s="39" t="s">
        <v>85</v>
      </c>
      <c r="O173" s="39" t="s">
        <v>87</v>
      </c>
      <c r="P173" s="39" t="s">
        <v>85</v>
      </c>
      <c r="Q173" s="40">
        <f>DATE(2019,11,19)</f>
        <v>43788</v>
      </c>
      <c r="R173" s="39" t="s">
        <v>88</v>
      </c>
      <c r="S173" s="39" t="s">
        <v>85</v>
      </c>
      <c r="T173" s="39" t="s">
        <v>89</v>
      </c>
      <c r="U173" s="39" t="s">
        <v>89</v>
      </c>
      <c r="V173" s="39" t="s">
        <v>90</v>
      </c>
    </row>
    <row r="174" spans="1:22" ht="17.45" customHeight="1" x14ac:dyDescent="0.25">
      <c r="A174" s="39" t="s">
        <v>21</v>
      </c>
      <c r="B174" s="40">
        <f>DATE(2019,6,19)</f>
        <v>43635</v>
      </c>
      <c r="C174" s="43">
        <f t="shared" si="4"/>
        <v>6</v>
      </c>
      <c r="D174" s="39" t="s">
        <v>22</v>
      </c>
      <c r="E174" s="39" t="s">
        <v>85</v>
      </c>
      <c r="F174" s="39" t="s">
        <v>306</v>
      </c>
      <c r="G174" s="42">
        <v>0</v>
      </c>
      <c r="H174" s="42">
        <v>65</v>
      </c>
      <c r="I174" s="42">
        <f t="shared" si="5"/>
        <v>-65</v>
      </c>
      <c r="J174" s="39" t="s">
        <v>85</v>
      </c>
      <c r="K174" s="41">
        <v>1102197</v>
      </c>
      <c r="L174" s="39" t="s">
        <v>85</v>
      </c>
      <c r="M174" s="39" t="s">
        <v>7</v>
      </c>
      <c r="N174" s="39" t="s">
        <v>85</v>
      </c>
      <c r="O174" s="39" t="s">
        <v>87</v>
      </c>
      <c r="P174" s="39" t="s">
        <v>85</v>
      </c>
      <c r="Q174" s="40">
        <f>DATE(2019,6,24)</f>
        <v>43640</v>
      </c>
      <c r="R174" s="39" t="s">
        <v>88</v>
      </c>
      <c r="S174" s="39" t="s">
        <v>85</v>
      </c>
      <c r="T174" s="39" t="s">
        <v>89</v>
      </c>
      <c r="U174" s="39" t="s">
        <v>89</v>
      </c>
      <c r="V174" s="39" t="s">
        <v>90</v>
      </c>
    </row>
    <row r="175" spans="1:22" ht="17.45" customHeight="1" x14ac:dyDescent="0.25">
      <c r="A175" s="39" t="s">
        <v>21</v>
      </c>
      <c r="B175" s="40">
        <f>DATE(2019,7,16)</f>
        <v>43662</v>
      </c>
      <c r="C175" s="43">
        <f t="shared" si="4"/>
        <v>7</v>
      </c>
      <c r="D175" s="39" t="s">
        <v>22</v>
      </c>
      <c r="E175" s="39" t="s">
        <v>85</v>
      </c>
      <c r="F175" s="39" t="s">
        <v>307</v>
      </c>
      <c r="G175" s="42">
        <v>0</v>
      </c>
      <c r="H175" s="42">
        <v>65</v>
      </c>
      <c r="I175" s="42">
        <f t="shared" si="5"/>
        <v>-65</v>
      </c>
      <c r="J175" s="39" t="s">
        <v>85</v>
      </c>
      <c r="K175" s="41">
        <v>1106074</v>
      </c>
      <c r="L175" s="39" t="s">
        <v>85</v>
      </c>
      <c r="M175" s="39" t="s">
        <v>7</v>
      </c>
      <c r="N175" s="39" t="s">
        <v>85</v>
      </c>
      <c r="O175" s="39" t="s">
        <v>87</v>
      </c>
      <c r="P175" s="39" t="s">
        <v>85</v>
      </c>
      <c r="Q175" s="40">
        <f>DATE(2019,7,17)</f>
        <v>43663</v>
      </c>
      <c r="R175" s="39" t="s">
        <v>88</v>
      </c>
      <c r="S175" s="39" t="s">
        <v>85</v>
      </c>
      <c r="T175" s="39" t="s">
        <v>89</v>
      </c>
      <c r="U175" s="39" t="s">
        <v>89</v>
      </c>
      <c r="V175" s="39" t="s">
        <v>90</v>
      </c>
    </row>
    <row r="176" spans="1:22" ht="17.45" customHeight="1" x14ac:dyDescent="0.25">
      <c r="A176" s="39" t="s">
        <v>21</v>
      </c>
      <c r="B176" s="40">
        <f>DATE(2019,8,16)</f>
        <v>43693</v>
      </c>
      <c r="C176" s="43">
        <f t="shared" si="4"/>
        <v>8</v>
      </c>
      <c r="D176" s="39" t="s">
        <v>22</v>
      </c>
      <c r="E176" s="39" t="s">
        <v>85</v>
      </c>
      <c r="F176" s="39" t="s">
        <v>308</v>
      </c>
      <c r="G176" s="42">
        <v>0</v>
      </c>
      <c r="H176" s="42">
        <v>195</v>
      </c>
      <c r="I176" s="42">
        <f t="shared" si="5"/>
        <v>-195</v>
      </c>
      <c r="J176" s="39" t="s">
        <v>85</v>
      </c>
      <c r="K176" s="41">
        <v>1111437</v>
      </c>
      <c r="L176" s="39" t="s">
        <v>85</v>
      </c>
      <c r="M176" s="39" t="s">
        <v>7</v>
      </c>
      <c r="N176" s="39" t="s">
        <v>85</v>
      </c>
      <c r="O176" s="39" t="s">
        <v>87</v>
      </c>
      <c r="P176" s="39" t="s">
        <v>85</v>
      </c>
      <c r="Q176" s="40">
        <f>DATE(2019,8,19)</f>
        <v>43696</v>
      </c>
      <c r="R176" s="39" t="s">
        <v>88</v>
      </c>
      <c r="S176" s="39" t="s">
        <v>85</v>
      </c>
      <c r="T176" s="39" t="s">
        <v>89</v>
      </c>
      <c r="U176" s="39" t="s">
        <v>89</v>
      </c>
      <c r="V176" s="39" t="s">
        <v>90</v>
      </c>
    </row>
  </sheetData>
  <autoFilter ref="A1:V17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Continuity</vt:lpstr>
      <vt:lpstr>WORKINGS</vt:lpstr>
      <vt:lpstr>ACTG Order</vt:lpstr>
      <vt:lpstr>NEW RULES</vt:lpstr>
      <vt:lpstr>Collec Chg</vt:lpstr>
      <vt:lpstr>Reconn Chg</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Boland</dc:creator>
  <cp:lastModifiedBy>Margaret Boland</cp:lastModifiedBy>
  <dcterms:created xsi:type="dcterms:W3CDTF">2020-08-11T19:46:12Z</dcterms:created>
  <dcterms:modified xsi:type="dcterms:W3CDTF">2020-10-13T19:20:42Z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