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inance\Finance Mgmt\Rate Applications\2021 Cost of Service (EB-2020-0048)\Workings\MB workings\Interrogatories Workings MB\"/>
    </mc:Choice>
  </mc:AlternateContent>
  <bookViews>
    <workbookView xWindow="0" yWindow="0" windowWidth="28800" windowHeight="12435"/>
  </bookViews>
  <sheets>
    <sheet name="Continuity" sheetId="6" r:id="rId1"/>
    <sheet name="PIVOT" sheetId="8" r:id="rId2"/>
    <sheet name="Workings" sheetId="7" r:id="rId3"/>
    <sheet name="ACTG Order" sheetId="5" r:id="rId4"/>
  </sheets>
  <definedNames>
    <definedName name="_xlnm._FilterDatabase" localSheetId="2" hidden="1">Workings!$A$1:$W$83</definedName>
  </definedNames>
  <calcPr calcId="152511"/>
  <pivotCaches>
    <pivotCache cacheId="4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6" l="1"/>
  <c r="Q14" i="6"/>
  <c r="R15" i="6"/>
  <c r="S15" i="6"/>
  <c r="T15" i="6"/>
  <c r="U15" i="6"/>
  <c r="V15" i="6"/>
  <c r="W15" i="6"/>
  <c r="X15" i="6"/>
  <c r="Y15" i="6"/>
  <c r="Z15" i="6"/>
  <c r="AA15" i="6"/>
  <c r="AB15" i="6"/>
  <c r="Q15" i="6"/>
  <c r="D15" i="6"/>
  <c r="E15" i="6"/>
  <c r="F15" i="6"/>
  <c r="G15" i="6"/>
  <c r="H15" i="6"/>
  <c r="I15" i="6"/>
  <c r="J15" i="6"/>
  <c r="K15" i="6"/>
  <c r="L15" i="6"/>
  <c r="M15" i="6"/>
  <c r="N15" i="6"/>
  <c r="C15" i="6"/>
  <c r="C16" i="6"/>
  <c r="D14" i="6" s="1"/>
  <c r="D16" i="6" s="1"/>
  <c r="E14" i="6" s="1"/>
  <c r="E16" i="6" s="1"/>
  <c r="F14" i="6" s="1"/>
  <c r="H44" i="6"/>
  <c r="F44" i="6"/>
  <c r="C44" i="6"/>
  <c r="AB8" i="6"/>
  <c r="AA8" i="6"/>
  <c r="Z8" i="6"/>
  <c r="Y8" i="6"/>
  <c r="X8" i="6"/>
  <c r="W8" i="6"/>
  <c r="V8" i="6"/>
  <c r="U8" i="6"/>
  <c r="T8" i="6"/>
  <c r="S8" i="6"/>
  <c r="R8" i="6"/>
  <c r="Q8" i="6"/>
  <c r="AC7" i="6"/>
  <c r="AC6" i="6"/>
  <c r="O8" i="6"/>
  <c r="D8" i="6"/>
  <c r="E8" i="6"/>
  <c r="F8" i="6"/>
  <c r="G8" i="6"/>
  <c r="H8" i="6"/>
  <c r="I8" i="6"/>
  <c r="J8" i="6"/>
  <c r="K8" i="6"/>
  <c r="L8" i="6"/>
  <c r="M8" i="6"/>
  <c r="N8" i="6"/>
  <c r="C8" i="6"/>
  <c r="O6" i="6"/>
  <c r="O7" i="6"/>
  <c r="D7" i="6"/>
  <c r="E7" i="6"/>
  <c r="F7" i="6"/>
  <c r="G7" i="6"/>
  <c r="C7" i="6"/>
  <c r="E21" i="8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2" i="7"/>
  <c r="D75" i="7"/>
  <c r="D78" i="7"/>
  <c r="D81" i="7"/>
  <c r="D18" i="7"/>
  <c r="D16" i="7"/>
  <c r="D14" i="7"/>
  <c r="D12" i="7"/>
  <c r="D10" i="7"/>
  <c r="D8" i="7"/>
  <c r="D6" i="7"/>
  <c r="D4" i="7"/>
  <c r="D2" i="7"/>
  <c r="D69" i="7"/>
  <c r="D66" i="7"/>
  <c r="D63" i="7"/>
  <c r="D60" i="7"/>
  <c r="D57" i="7"/>
  <c r="D22" i="7"/>
  <c r="D20" i="7"/>
  <c r="D24" i="7"/>
  <c r="D26" i="7"/>
  <c r="D28" i="7"/>
  <c r="D30" i="7"/>
  <c r="D32" i="7"/>
  <c r="D34" i="7"/>
  <c r="D35" i="7"/>
  <c r="D37" i="7"/>
  <c r="D39" i="7"/>
  <c r="D42" i="7"/>
  <c r="D45" i="7"/>
  <c r="D54" i="7"/>
  <c r="D48" i="7"/>
  <c r="D51" i="7"/>
  <c r="D58" i="7"/>
  <c r="D59" i="7"/>
  <c r="D61" i="7"/>
  <c r="D62" i="7"/>
  <c r="D64" i="7"/>
  <c r="D65" i="7"/>
  <c r="D67" i="7"/>
  <c r="D68" i="7"/>
  <c r="D70" i="7"/>
  <c r="D71" i="7"/>
  <c r="D73" i="7"/>
  <c r="D74" i="7"/>
  <c r="D76" i="7"/>
  <c r="D77" i="7"/>
  <c r="D79" i="7"/>
  <c r="D80" i="7"/>
  <c r="D82" i="7"/>
  <c r="D83" i="7"/>
  <c r="D3" i="7"/>
  <c r="D5" i="7"/>
  <c r="D7" i="7"/>
  <c r="D9" i="7"/>
  <c r="D11" i="7"/>
  <c r="D13" i="7"/>
  <c r="D15" i="7"/>
  <c r="D17" i="7"/>
  <c r="D19" i="7"/>
  <c r="D21" i="7"/>
  <c r="D23" i="7"/>
  <c r="D25" i="7"/>
  <c r="D27" i="7"/>
  <c r="D29" i="7"/>
  <c r="D31" i="7"/>
  <c r="D33" i="7"/>
  <c r="D36" i="7"/>
  <c r="D38" i="7"/>
  <c r="D40" i="7"/>
  <c r="D41" i="7"/>
  <c r="D43" i="7"/>
  <c r="D44" i="7"/>
  <c r="D46" i="7"/>
  <c r="D47" i="7"/>
  <c r="D49" i="7"/>
  <c r="D50" i="7"/>
  <c r="D52" i="7"/>
  <c r="D53" i="7"/>
  <c r="D55" i="7"/>
  <c r="D56" i="7"/>
  <c r="D72" i="7"/>
  <c r="J75" i="7"/>
  <c r="J78" i="7"/>
  <c r="J81" i="7"/>
  <c r="J18" i="7"/>
  <c r="J16" i="7"/>
  <c r="J14" i="7"/>
  <c r="J12" i="7"/>
  <c r="J10" i="7"/>
  <c r="J8" i="7"/>
  <c r="J6" i="7"/>
  <c r="J4" i="7"/>
  <c r="J2" i="7"/>
  <c r="J69" i="7"/>
  <c r="J66" i="7"/>
  <c r="J63" i="7"/>
  <c r="J60" i="7"/>
  <c r="J57" i="7"/>
  <c r="J22" i="7"/>
  <c r="J20" i="7"/>
  <c r="J24" i="7"/>
  <c r="J26" i="7"/>
  <c r="J28" i="7"/>
  <c r="J30" i="7"/>
  <c r="J32" i="7"/>
  <c r="J34" i="7"/>
  <c r="J35" i="7"/>
  <c r="J37" i="7"/>
  <c r="J39" i="7"/>
  <c r="J42" i="7"/>
  <c r="J45" i="7"/>
  <c r="J54" i="7"/>
  <c r="J48" i="7"/>
  <c r="J51" i="7"/>
  <c r="J58" i="7"/>
  <c r="J59" i="7"/>
  <c r="J61" i="7"/>
  <c r="J62" i="7"/>
  <c r="J64" i="7"/>
  <c r="J65" i="7"/>
  <c r="J67" i="7"/>
  <c r="J68" i="7"/>
  <c r="J70" i="7"/>
  <c r="J71" i="7"/>
  <c r="J73" i="7"/>
  <c r="J74" i="7"/>
  <c r="J76" i="7"/>
  <c r="J77" i="7"/>
  <c r="J79" i="7"/>
  <c r="J80" i="7"/>
  <c r="J82" i="7"/>
  <c r="J83" i="7"/>
  <c r="J3" i="7"/>
  <c r="J5" i="7"/>
  <c r="J7" i="7"/>
  <c r="J9" i="7"/>
  <c r="J11" i="7"/>
  <c r="J13" i="7"/>
  <c r="J15" i="7"/>
  <c r="J17" i="7"/>
  <c r="J19" i="7"/>
  <c r="J21" i="7"/>
  <c r="J23" i="7"/>
  <c r="J25" i="7"/>
  <c r="J27" i="7"/>
  <c r="J29" i="7"/>
  <c r="J31" i="7"/>
  <c r="J33" i="7"/>
  <c r="J36" i="7"/>
  <c r="J38" i="7"/>
  <c r="J40" i="7"/>
  <c r="J41" i="7"/>
  <c r="J43" i="7"/>
  <c r="J44" i="7"/>
  <c r="J46" i="7"/>
  <c r="J47" i="7"/>
  <c r="J49" i="7"/>
  <c r="J50" i="7"/>
  <c r="J52" i="7"/>
  <c r="J53" i="7"/>
  <c r="J55" i="7"/>
  <c r="J56" i="7"/>
  <c r="J72" i="7"/>
  <c r="R56" i="7"/>
  <c r="B56" i="7"/>
  <c r="R55" i="7"/>
  <c r="B55" i="7"/>
  <c r="R53" i="7"/>
  <c r="B53" i="7"/>
  <c r="R52" i="7"/>
  <c r="B52" i="7"/>
  <c r="R50" i="7"/>
  <c r="B50" i="7"/>
  <c r="R49" i="7"/>
  <c r="B49" i="7"/>
  <c r="R47" i="7"/>
  <c r="B47" i="7"/>
  <c r="R46" i="7"/>
  <c r="B46" i="7"/>
  <c r="R44" i="7"/>
  <c r="B44" i="7"/>
  <c r="R43" i="7"/>
  <c r="B43" i="7"/>
  <c r="R41" i="7"/>
  <c r="B41" i="7"/>
  <c r="R40" i="7"/>
  <c r="B40" i="7"/>
  <c r="R38" i="7"/>
  <c r="B38" i="7"/>
  <c r="R36" i="7"/>
  <c r="B36" i="7"/>
  <c r="R33" i="7"/>
  <c r="B33" i="7"/>
  <c r="R31" i="7"/>
  <c r="B31" i="7"/>
  <c r="R29" i="7"/>
  <c r="B29" i="7"/>
  <c r="R27" i="7"/>
  <c r="B27" i="7"/>
  <c r="R25" i="7"/>
  <c r="B25" i="7"/>
  <c r="R23" i="7"/>
  <c r="B23" i="7"/>
  <c r="R21" i="7"/>
  <c r="B21" i="7"/>
  <c r="R19" i="7"/>
  <c r="B19" i="7"/>
  <c r="R17" i="7"/>
  <c r="B17" i="7"/>
  <c r="R15" i="7"/>
  <c r="B15" i="7"/>
  <c r="R13" i="7"/>
  <c r="B13" i="7"/>
  <c r="R11" i="7"/>
  <c r="B11" i="7"/>
  <c r="R9" i="7"/>
  <c r="B9" i="7"/>
  <c r="R7" i="7"/>
  <c r="B7" i="7"/>
  <c r="R5" i="7"/>
  <c r="B5" i="7"/>
  <c r="R3" i="7"/>
  <c r="B3" i="7"/>
  <c r="R83" i="7"/>
  <c r="B83" i="7"/>
  <c r="R82" i="7"/>
  <c r="B82" i="7"/>
  <c r="R80" i="7"/>
  <c r="B80" i="7"/>
  <c r="R79" i="7"/>
  <c r="B79" i="7"/>
  <c r="R77" i="7"/>
  <c r="B77" i="7"/>
  <c r="R76" i="7"/>
  <c r="B76" i="7"/>
  <c r="R74" i="7"/>
  <c r="B74" i="7"/>
  <c r="R73" i="7"/>
  <c r="B73" i="7"/>
  <c r="R71" i="7"/>
  <c r="B71" i="7"/>
  <c r="R70" i="7"/>
  <c r="B70" i="7"/>
  <c r="R68" i="7"/>
  <c r="B68" i="7"/>
  <c r="R67" i="7"/>
  <c r="B67" i="7"/>
  <c r="R65" i="7"/>
  <c r="B65" i="7"/>
  <c r="R64" i="7"/>
  <c r="B64" i="7"/>
  <c r="R62" i="7"/>
  <c r="B62" i="7"/>
  <c r="R61" i="7"/>
  <c r="B61" i="7"/>
  <c r="R59" i="7"/>
  <c r="B59" i="7"/>
  <c r="R58" i="7"/>
  <c r="B58" i="7"/>
  <c r="R51" i="7"/>
  <c r="B51" i="7"/>
  <c r="R48" i="7"/>
  <c r="B48" i="7"/>
  <c r="R54" i="7"/>
  <c r="B54" i="7"/>
  <c r="R45" i="7"/>
  <c r="B45" i="7"/>
  <c r="R42" i="7"/>
  <c r="B42" i="7"/>
  <c r="R39" i="7"/>
  <c r="B39" i="7"/>
  <c r="R37" i="7"/>
  <c r="B37" i="7"/>
  <c r="R35" i="7"/>
  <c r="B35" i="7"/>
  <c r="R34" i="7"/>
  <c r="B34" i="7"/>
  <c r="R32" i="7"/>
  <c r="B32" i="7"/>
  <c r="R30" i="7"/>
  <c r="B30" i="7"/>
  <c r="R28" i="7"/>
  <c r="B28" i="7"/>
  <c r="R26" i="7"/>
  <c r="B26" i="7"/>
  <c r="R24" i="7"/>
  <c r="B24" i="7"/>
  <c r="R20" i="7"/>
  <c r="B20" i="7"/>
  <c r="R22" i="7"/>
  <c r="B22" i="7"/>
  <c r="R57" i="7"/>
  <c r="B57" i="7"/>
  <c r="R60" i="7"/>
  <c r="B60" i="7"/>
  <c r="R63" i="7"/>
  <c r="B63" i="7"/>
  <c r="R66" i="7"/>
  <c r="B66" i="7"/>
  <c r="R69" i="7"/>
  <c r="B69" i="7"/>
  <c r="R2" i="7"/>
  <c r="B2" i="7"/>
  <c r="R4" i="7"/>
  <c r="B4" i="7"/>
  <c r="R6" i="7"/>
  <c r="B6" i="7"/>
  <c r="R8" i="7"/>
  <c r="B8" i="7"/>
  <c r="R10" i="7"/>
  <c r="B10" i="7"/>
  <c r="R12" i="7"/>
  <c r="B12" i="7"/>
  <c r="R14" i="7"/>
  <c r="B14" i="7"/>
  <c r="R16" i="7"/>
  <c r="B16" i="7"/>
  <c r="R18" i="7"/>
  <c r="B18" i="7"/>
  <c r="R81" i="7"/>
  <c r="B81" i="7"/>
  <c r="R78" i="7"/>
  <c r="B78" i="7"/>
  <c r="R75" i="7"/>
  <c r="B75" i="7"/>
  <c r="R72" i="7"/>
  <c r="B72" i="7"/>
  <c r="E29" i="8"/>
  <c r="E16" i="8"/>
  <c r="F16" i="6" l="1"/>
  <c r="G14" i="6" s="1"/>
  <c r="G16" i="6" s="1"/>
  <c r="H14" i="6" s="1"/>
  <c r="H16" i="6" s="1"/>
  <c r="I14" i="6" s="1"/>
  <c r="I23" i="6" s="1"/>
  <c r="AC8" i="6"/>
  <c r="D23" i="6" l="1"/>
  <c r="E23" i="6"/>
  <c r="F23" i="6"/>
  <c r="G23" i="6"/>
  <c r="H23" i="6"/>
  <c r="C23" i="6"/>
  <c r="C24" i="6" s="1"/>
  <c r="I16" i="6"/>
  <c r="D22" i="6" l="1"/>
  <c r="D24" i="6" s="1"/>
  <c r="C26" i="6"/>
  <c r="J14" i="6"/>
  <c r="E22" i="6" l="1"/>
  <c r="E24" i="6" s="1"/>
  <c r="D26" i="6"/>
  <c r="J16" i="6"/>
  <c r="J23" i="6"/>
  <c r="F22" i="6" l="1"/>
  <c r="F24" i="6" s="1"/>
  <c r="E26" i="6"/>
  <c r="K14" i="6"/>
  <c r="G22" i="6" l="1"/>
  <c r="G24" i="6" s="1"/>
  <c r="F26" i="6"/>
  <c r="K16" i="6"/>
  <c r="K23" i="6"/>
  <c r="H22" i="6" l="1"/>
  <c r="H24" i="6" s="1"/>
  <c r="G26" i="6"/>
  <c r="L14" i="6"/>
  <c r="I22" i="6" l="1"/>
  <c r="I24" i="6" s="1"/>
  <c r="H26" i="6"/>
  <c r="L16" i="6"/>
  <c r="L23" i="6"/>
  <c r="J22" i="6" l="1"/>
  <c r="J24" i="6" s="1"/>
  <c r="I26" i="6"/>
  <c r="M14" i="6"/>
  <c r="K22" i="6" l="1"/>
  <c r="K24" i="6" s="1"/>
  <c r="J26" i="6"/>
  <c r="M16" i="6"/>
  <c r="M23" i="6"/>
  <c r="L22" i="6" l="1"/>
  <c r="L24" i="6" s="1"/>
  <c r="K26" i="6"/>
  <c r="N14" i="6"/>
  <c r="M22" i="6" l="1"/>
  <c r="M24" i="6" s="1"/>
  <c r="L26" i="6"/>
  <c r="N16" i="6"/>
  <c r="N23" i="6"/>
  <c r="N22" i="6" l="1"/>
  <c r="N24" i="6" s="1"/>
  <c r="M26" i="6"/>
  <c r="O16" i="6"/>
  <c r="O24" i="6" l="1"/>
  <c r="Q22" i="6" s="1"/>
  <c r="N26" i="6"/>
  <c r="O26" i="6" s="1"/>
  <c r="Q16" i="6"/>
  <c r="Q24" i="6"/>
  <c r="R22" i="6" s="1"/>
  <c r="R14" i="6" l="1"/>
  <c r="Q26" i="6"/>
  <c r="R23" i="6" l="1"/>
  <c r="R24" i="6" s="1"/>
  <c r="S22" i="6" s="1"/>
  <c r="R16" i="6"/>
  <c r="R26" i="6" l="1"/>
  <c r="S14" i="6"/>
  <c r="S16" i="6" l="1"/>
  <c r="S23" i="6"/>
  <c r="S24" i="6" s="1"/>
  <c r="T22" i="6" s="1"/>
  <c r="T14" i="6" l="1"/>
  <c r="S26" i="6"/>
  <c r="T16" i="6" l="1"/>
  <c r="T23" i="6"/>
  <c r="T24" i="6" s="1"/>
  <c r="U22" i="6" s="1"/>
  <c r="U14" i="6" l="1"/>
  <c r="T26" i="6"/>
  <c r="U16" i="6" l="1"/>
  <c r="U23" i="6"/>
  <c r="U24" i="6" s="1"/>
  <c r="V22" i="6" s="1"/>
  <c r="V14" i="6" l="1"/>
  <c r="U26" i="6"/>
  <c r="V16" i="6" l="1"/>
  <c r="V23" i="6"/>
  <c r="V24" i="6" s="1"/>
  <c r="W22" i="6" s="1"/>
  <c r="W14" i="6" l="1"/>
  <c r="V26" i="6"/>
  <c r="W16" i="6" l="1"/>
  <c r="W23" i="6"/>
  <c r="W24" i="6" s="1"/>
  <c r="X22" i="6" s="1"/>
  <c r="X14" i="6" l="1"/>
  <c r="W26" i="6"/>
  <c r="X16" i="6" l="1"/>
  <c r="X23" i="6"/>
  <c r="X24" i="6" s="1"/>
  <c r="Y22" i="6" s="1"/>
  <c r="Y14" i="6" l="1"/>
  <c r="X26" i="6"/>
  <c r="Y16" i="6" l="1"/>
  <c r="Y23" i="6"/>
  <c r="Y24" i="6" s="1"/>
  <c r="Z22" i="6" s="1"/>
  <c r="Z14" i="6" l="1"/>
  <c r="Y26" i="6"/>
  <c r="Z16" i="6" l="1"/>
  <c r="Z23" i="6"/>
  <c r="Z24" i="6" s="1"/>
  <c r="AA22" i="6" s="1"/>
  <c r="AA14" i="6" l="1"/>
  <c r="Z26" i="6"/>
  <c r="AA16" i="6" l="1"/>
  <c r="AA23" i="6"/>
  <c r="AA24" i="6" s="1"/>
  <c r="AB22" i="6" s="1"/>
  <c r="AB14" i="6" l="1"/>
  <c r="AA26" i="6"/>
  <c r="AB23" i="6" l="1"/>
  <c r="AB24" i="6" s="1"/>
  <c r="AC24" i="6" s="1"/>
  <c r="AB16" i="6"/>
  <c r="AB26" i="6" l="1"/>
  <c r="AC26" i="6" s="1"/>
  <c r="AC30" i="6" s="1"/>
  <c r="AC31" i="6" s="1"/>
  <c r="AC16" i="6"/>
</calcChain>
</file>

<file path=xl/sharedStrings.xml><?xml version="1.0" encoding="utf-8"?>
<sst xmlns="http://schemas.openxmlformats.org/spreadsheetml/2006/main" count="1326" uniqueCount="128">
  <si>
    <t>4000</t>
  </si>
  <si>
    <t>Description</t>
  </si>
  <si>
    <t>2019</t>
  </si>
  <si>
    <t>Account Number</t>
  </si>
  <si>
    <t>TRX Date</t>
  </si>
  <si>
    <t>Account Description</t>
  </si>
  <si>
    <t>Reference</t>
  </si>
  <si>
    <t>Debit Amount</t>
  </si>
  <si>
    <t>Credit Amount</t>
  </si>
  <si>
    <t>Originating Master Name</t>
  </si>
  <si>
    <t>Journal Entry</t>
  </si>
  <si>
    <t>Batch Number</t>
  </si>
  <si>
    <t>Main Account Segment</t>
  </si>
  <si>
    <t>Originating Document Number</t>
  </si>
  <si>
    <t>Originating Source</t>
  </si>
  <si>
    <t>Originating Control Number</t>
  </si>
  <si>
    <t>Originating Posted Date</t>
  </si>
  <si>
    <t>Account Category Number</t>
  </si>
  <si>
    <t>Originating Master ID</t>
  </si>
  <si>
    <t>User Defined 1</t>
  </si>
  <si>
    <t>User Defined 2</t>
  </si>
  <si>
    <t>User Who Posted</t>
  </si>
  <si>
    <t/>
  </si>
  <si>
    <t>GL IMPORT</t>
  </si>
  <si>
    <t>4235 Miscellaneous Service (Other Op. Revenues)</t>
  </si>
  <si>
    <t>Reg. Service Revenue</t>
  </si>
  <si>
    <t>dross</t>
  </si>
  <si>
    <t>Net</t>
  </si>
  <si>
    <t>Month</t>
  </si>
  <si>
    <t>Grand Total</t>
  </si>
  <si>
    <t>Sum of Net</t>
  </si>
  <si>
    <t>1508 - Other Regulatory Assets</t>
  </si>
  <si>
    <t>Opening</t>
  </si>
  <si>
    <t>Closing</t>
  </si>
  <si>
    <t>Interest</t>
  </si>
  <si>
    <t>Jan 19</t>
  </si>
  <si>
    <t>Feb 19</t>
  </si>
  <si>
    <t>Mar 19</t>
  </si>
  <si>
    <t>Apr 19</t>
  </si>
  <si>
    <t>May 19</t>
  </si>
  <si>
    <t>Jun 19</t>
  </si>
  <si>
    <t>Jul 19</t>
  </si>
  <si>
    <t>Aug 19</t>
  </si>
  <si>
    <t>Sep 19</t>
  </si>
  <si>
    <t>Oct 19</t>
  </si>
  <si>
    <t>Nov 19</t>
  </si>
  <si>
    <t>Dec 19</t>
  </si>
  <si>
    <t xml:space="preserve">Total </t>
  </si>
  <si>
    <t>Q1</t>
  </si>
  <si>
    <t>Q2</t>
  </si>
  <si>
    <t>Q3</t>
  </si>
  <si>
    <t>Q4</t>
  </si>
  <si>
    <t>Annual</t>
  </si>
  <si>
    <t>Monthly</t>
  </si>
  <si>
    <t>Principle</t>
  </si>
  <si>
    <t>Transactions</t>
  </si>
  <si>
    <t>2020</t>
  </si>
  <si>
    <t>Jan 20</t>
  </si>
  <si>
    <t>Feb 20</t>
  </si>
  <si>
    <t>Mar 20</t>
  </si>
  <si>
    <t>Apr 20</t>
  </si>
  <si>
    <t>May 20</t>
  </si>
  <si>
    <t>Jun 20</t>
  </si>
  <si>
    <t>Jul 20</t>
  </si>
  <si>
    <t>Aug 20</t>
  </si>
  <si>
    <t>Sep 20</t>
  </si>
  <si>
    <t>Oct 20</t>
  </si>
  <si>
    <t>Nov 20</t>
  </si>
  <si>
    <t>Dec 20</t>
  </si>
  <si>
    <t>Open Carrying Chgs</t>
  </si>
  <si>
    <t>Closing Carrying Chgs</t>
  </si>
  <si>
    <t>Rate rider - per customer - per year</t>
  </si>
  <si>
    <t>Rate rider - per customer - per month</t>
  </si>
  <si>
    <t>2020 forecasted customer count - residential</t>
  </si>
  <si>
    <t>https://www.oeb.ca/sites/default/files/Dec-Order-ERSC-20190214.pdf</t>
  </si>
  <si>
    <t>287-4000-10</t>
  </si>
  <si>
    <t>4235 Ret F/C Monthly Resident</t>
  </si>
  <si>
    <t>288-4000-10</t>
  </si>
  <si>
    <t>4235 Ret Var Charge Residential</t>
  </si>
  <si>
    <t>Sub-Account  RETAIL SERVICE CHARGES INCREMENTAL REVENUE</t>
  </si>
  <si>
    <t>MP0000301</t>
  </si>
  <si>
    <t>MP0000302</t>
  </si>
  <si>
    <t>MP0000303</t>
  </si>
  <si>
    <t>MP0000304</t>
  </si>
  <si>
    <t>MP0000280</t>
  </si>
  <si>
    <t>MP0000279</t>
  </si>
  <si>
    <t>MP0000278</t>
  </si>
  <si>
    <t>MP0000277</t>
  </si>
  <si>
    <t>MP0000276</t>
  </si>
  <si>
    <t>JordanL</t>
  </si>
  <si>
    <t>MP0000275</t>
  </si>
  <si>
    <t>MP0000274</t>
  </si>
  <si>
    <t>MP0000273</t>
  </si>
  <si>
    <t>MP0000272</t>
  </si>
  <si>
    <t>MP0000300</t>
  </si>
  <si>
    <t>MP0000299</t>
  </si>
  <si>
    <t>MP0000298</t>
  </si>
  <si>
    <t>MP0000297</t>
  </si>
  <si>
    <t>MP0000296</t>
  </si>
  <si>
    <t>MP0000282</t>
  </si>
  <si>
    <t>MP0000281</t>
  </si>
  <si>
    <t>MP0000283</t>
  </si>
  <si>
    <t>MP0000284</t>
  </si>
  <si>
    <t>MP0000285</t>
  </si>
  <si>
    <t>MP0000286</t>
  </si>
  <si>
    <t>MP0000287</t>
  </si>
  <si>
    <t>BJ0021575</t>
  </si>
  <si>
    <t>MP0000288</t>
  </si>
  <si>
    <t>MP0000289</t>
  </si>
  <si>
    <t>MP0000290</t>
  </si>
  <si>
    <t>MP0000291</t>
  </si>
  <si>
    <t>MP0000292</t>
  </si>
  <si>
    <t>MP0000295</t>
  </si>
  <si>
    <t>MP0000293</t>
  </si>
  <si>
    <t>MP0000294</t>
  </si>
  <si>
    <t>Year</t>
  </si>
  <si>
    <t>(All)</t>
  </si>
  <si>
    <t>2018 Total</t>
  </si>
  <si>
    <t>2019 Total</t>
  </si>
  <si>
    <t>2020 Total</t>
  </si>
  <si>
    <t>AVG</t>
  </si>
  <si>
    <t>RSC revceived</t>
  </si>
  <si>
    <t>Incremental rev</t>
  </si>
  <si>
    <t>RSC est at old rate (avg per month of $2125 starting Jun 2019)</t>
  </si>
  <si>
    <t>OEB Approved 2019</t>
  </si>
  <si>
    <t>2019 actual</t>
  </si>
  <si>
    <t>Underearning</t>
  </si>
  <si>
    <t>Ending balance - RETAIL SERVICE CHARGES INCREMENTAL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</si>
</sst>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d/mmm/yy;@"/>
    <numFmt numFmtId="165" formatCode="#,##0\ ;[Red]\(#,##0\)"/>
    <numFmt numFmtId="166" formatCode="[$-409]d\-mmm\-yy;@"/>
    <numFmt numFmtId="167" formatCode="_(* #,##0_);_(* \(#,##0\);_(* &quot;-&quot;??_);_(@_)"/>
    <numFmt numFmtId="168" formatCode="_-* #,##0_-;\-* #,##0_-;_-* &quot;-&quot;??_-;_-@_-"/>
    <numFmt numFmtId="177" formatCode="&quot;$&quot;#,##0;[Red]\(&quot;$&quot;#,##0\)"/>
    <numFmt numFmtId="180" formatCode="&quot;$&quot;#,##0;[Red]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sz val="9"/>
      <name val="Segoe UI"/>
      <family val="2"/>
    </font>
    <font>
      <b/>
      <sz val="15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Border="0" applyAlignment="0"/>
    <xf numFmtId="164" fontId="4" fillId="0" borderId="0" applyNumberFormat="0" applyBorder="0" applyAlignment="0"/>
    <xf numFmtId="0" fontId="6" fillId="0" borderId="0">
      <alignment vertical="center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5" fillId="0" borderId="0" xfId="3" quotePrefix="1" applyFont="1" applyFill="1" applyAlignment="1">
      <alignment horizontal="left"/>
    </xf>
    <xf numFmtId="0" fontId="3" fillId="0" borderId="0" xfId="2" quotePrefix="1" applyFill="1" applyAlignment="1">
      <alignment horizontal="left" vertical="top"/>
    </xf>
    <xf numFmtId="165" fontId="3" fillId="0" borderId="0" xfId="2" applyNumberFormat="1" applyFill="1" applyAlignment="1">
      <alignment vertical="top"/>
    </xf>
    <xf numFmtId="0" fontId="3" fillId="0" borderId="0" xfId="2" quotePrefix="1" applyFill="1" applyAlignment="1">
      <alignment horizontal="center" vertical="top"/>
    </xf>
    <xf numFmtId="0" fontId="3" fillId="0" borderId="0" xfId="2" quotePrefix="1" applyFont="1" applyFill="1" applyAlignment="1">
      <alignment horizontal="left" vertical="top"/>
    </xf>
    <xf numFmtId="0" fontId="3" fillId="0" borderId="0" xfId="2" quotePrefix="1" applyAlignment="1">
      <alignment horizontal="left" vertical="top"/>
    </xf>
    <xf numFmtId="165" fontId="3" fillId="0" borderId="0" xfId="2" applyNumberFormat="1" applyAlignment="1">
      <alignment vertical="top"/>
    </xf>
    <xf numFmtId="0" fontId="6" fillId="0" borderId="0" xfId="4">
      <alignment vertical="center"/>
    </xf>
    <xf numFmtId="14" fontId="6" fillId="0" borderId="0" xfId="4" applyNumberFormat="1" applyAlignment="1">
      <alignment vertical="center"/>
    </xf>
    <xf numFmtId="1" fontId="6" fillId="0" borderId="0" xfId="4" applyNumberFormat="1" applyAlignment="1">
      <alignment vertical="center"/>
    </xf>
    <xf numFmtId="43" fontId="6" fillId="0" borderId="0" xfId="1" applyFont="1" applyAlignment="1">
      <alignment vertical="center"/>
    </xf>
    <xf numFmtId="0" fontId="6" fillId="0" borderId="0" xfId="4" applyNumberFormat="1" applyAlignment="1">
      <alignment vertical="center"/>
    </xf>
    <xf numFmtId="0" fontId="0" fillId="0" borderId="0" xfId="0" pivotButton="1"/>
    <xf numFmtId="165" fontId="0" fillId="0" borderId="0" xfId="0" applyNumberFormat="1"/>
    <xf numFmtId="166" fontId="7" fillId="2" borderId="0" xfId="0" applyNumberFormat="1" applyFont="1" applyFill="1" applyAlignment="1"/>
    <xf numFmtId="166" fontId="8" fillId="2" borderId="0" xfId="0" applyNumberFormat="1" applyFont="1" applyFill="1" applyAlignment="1"/>
    <xf numFmtId="166" fontId="9" fillId="0" borderId="0" xfId="0" applyNumberFormat="1" applyFont="1"/>
    <xf numFmtId="165" fontId="8" fillId="0" borderId="0" xfId="0" applyNumberFormat="1" applyFont="1" applyFill="1" applyAlignment="1"/>
    <xf numFmtId="165" fontId="10" fillId="0" borderId="0" xfId="0" quotePrefix="1" applyNumberFormat="1" applyFont="1" applyFill="1" applyAlignment="1">
      <alignment horizontal="right"/>
    </xf>
    <xf numFmtId="165" fontId="10" fillId="0" borderId="0" xfId="0" quotePrefix="1" applyNumberFormat="1" applyFont="1" applyFill="1" applyAlignment="1">
      <alignment horizontal="right" vertical="center"/>
    </xf>
    <xf numFmtId="165" fontId="10" fillId="0" borderId="0" xfId="0" quotePrefix="1" applyNumberFormat="1" applyFont="1" applyFill="1" applyAlignment="1">
      <alignment horizontal="right" vertical="center" wrapText="1"/>
    </xf>
    <xf numFmtId="165" fontId="11" fillId="0" borderId="2" xfId="1" applyNumberFormat="1" applyFont="1" applyFill="1" applyBorder="1"/>
    <xf numFmtId="166" fontId="3" fillId="0" borderId="2" xfId="0" applyNumberFormat="1" applyFont="1" applyFill="1" applyBorder="1" applyAlignment="1">
      <alignment horizontal="right" indent="1"/>
    </xf>
    <xf numFmtId="166" fontId="3" fillId="0" borderId="2" xfId="0" applyNumberFormat="1" applyFont="1" applyFill="1" applyBorder="1" applyAlignment="1">
      <alignment horizontal="right" vertical="center" indent="1"/>
    </xf>
    <xf numFmtId="167" fontId="3" fillId="0" borderId="2" xfId="1" applyNumberFormat="1" applyFont="1" applyFill="1" applyBorder="1"/>
    <xf numFmtId="10" fontId="3" fillId="0" borderId="0" xfId="6" applyNumberFormat="1" applyFont="1" applyFill="1" applyBorder="1"/>
    <xf numFmtId="10" fontId="3" fillId="0" borderId="3" xfId="6" applyNumberFormat="1" applyFont="1" applyFill="1" applyBorder="1"/>
    <xf numFmtId="165" fontId="11" fillId="0" borderId="2" xfId="1" applyNumberFormat="1" applyFont="1" applyFill="1" applyBorder="1" applyAlignment="1">
      <alignment horizontal="centerContinuous"/>
    </xf>
    <xf numFmtId="166" fontId="12" fillId="0" borderId="0" xfId="0" applyNumberFormat="1" applyFont="1"/>
    <xf numFmtId="165" fontId="9" fillId="0" borderId="0" xfId="0" applyNumberFormat="1" applyFont="1"/>
    <xf numFmtId="165" fontId="9" fillId="0" borderId="4" xfId="0" applyNumberFormat="1" applyFont="1" applyBorder="1"/>
    <xf numFmtId="0" fontId="2" fillId="0" borderId="0" xfId="0" applyFont="1"/>
    <xf numFmtId="165" fontId="12" fillId="0" borderId="4" xfId="0" applyNumberFormat="1" applyFont="1" applyBorder="1"/>
    <xf numFmtId="165" fontId="12" fillId="0" borderId="0" xfId="0" applyNumberFormat="1" applyFont="1"/>
    <xf numFmtId="0" fontId="2" fillId="0" borderId="1" xfId="0" applyFont="1" applyBorder="1"/>
    <xf numFmtId="165" fontId="12" fillId="0" borderId="1" xfId="0" applyNumberFormat="1" applyFont="1" applyBorder="1"/>
    <xf numFmtId="165" fontId="2" fillId="0" borderId="4" xfId="0" applyNumberFormat="1" applyFont="1" applyBorder="1"/>
    <xf numFmtId="166" fontId="0" fillId="0" borderId="0" xfId="0" applyNumberFormat="1"/>
    <xf numFmtId="167" fontId="0" fillId="0" borderId="0" xfId="0" applyNumberFormat="1"/>
    <xf numFmtId="10" fontId="0" fillId="0" borderId="0" xfId="0" applyNumberFormat="1"/>
    <xf numFmtId="165" fontId="2" fillId="0" borderId="1" xfId="0" applyNumberFormat="1" applyFont="1" applyBorder="1"/>
    <xf numFmtId="165" fontId="0" fillId="0" borderId="4" xfId="0" applyNumberFormat="1" applyBorder="1"/>
    <xf numFmtId="0" fontId="0" fillId="0" borderId="0" xfId="0" applyAlignment="1">
      <alignment horizontal="right"/>
    </xf>
    <xf numFmtId="44" fontId="0" fillId="0" borderId="0" xfId="5" applyFont="1"/>
    <xf numFmtId="168" fontId="0" fillId="0" borderId="0" xfId="1" applyNumberFormat="1" applyFont="1"/>
    <xf numFmtId="165" fontId="9" fillId="0" borderId="0" xfId="0" applyNumberFormat="1" applyFont="1" applyAlignment="1">
      <alignment horizontal="right"/>
    </xf>
    <xf numFmtId="0" fontId="3" fillId="0" borderId="0" xfId="2" quotePrefix="1" applyAlignment="1">
      <alignment horizontal="center" vertical="top"/>
    </xf>
    <xf numFmtId="164" fontId="5" fillId="0" borderId="0" xfId="3" quotePrefix="1" applyFont="1" applyAlignment="1">
      <alignment horizontal="left"/>
    </xf>
    <xf numFmtId="0" fontId="3" fillId="0" borderId="0" xfId="2" quotePrefix="1" applyFont="1" applyAlignment="1">
      <alignment horizontal="left" vertical="top"/>
    </xf>
    <xf numFmtId="165" fontId="12" fillId="0" borderId="0" xfId="0" applyNumberFormat="1" applyFont="1" applyFill="1" applyAlignment="1"/>
    <xf numFmtId="177" fontId="0" fillId="0" borderId="0" xfId="0" applyNumberFormat="1"/>
    <xf numFmtId="180" fontId="0" fillId="0" borderId="0" xfId="0" applyNumberFormat="1"/>
    <xf numFmtId="166" fontId="9" fillId="0" borderId="4" xfId="0" applyNumberFormat="1" applyFont="1" applyBorder="1"/>
  </cellXfs>
  <cellStyles count="7">
    <cellStyle name="Comma" xfId="1" builtinId="3"/>
    <cellStyle name="Currency" xfId="5" builtinId="4"/>
    <cellStyle name="Normal" xfId="0" builtinId="0"/>
    <cellStyle name="Normal 2" xfId="4"/>
    <cellStyle name="Percent" xfId="6" builtinId="5"/>
    <cellStyle name="STYLE1" xfId="2"/>
    <cellStyle name="STYLE1 105" xfId="3"/>
  </cellStyles>
  <dxfs count="2">
    <dxf>
      <numFmt numFmtId="177" formatCode="&quot;$&quot;#,##0;[Red]\(&quot;$&quot;#,##0\)"/>
    </dxf>
    <dxf>
      <numFmt numFmtId="177" formatCode="&quot;$&quot;#,##0;[Red]\(&quot;$&quot;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10</xdr:col>
      <xdr:colOff>77751</xdr:colOff>
      <xdr:row>39</xdr:row>
      <xdr:rowOff>170619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18" y="952500"/>
          <a:ext cx="5523809" cy="664761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</xdr:row>
      <xdr:rowOff>0</xdr:rowOff>
    </xdr:from>
    <xdr:to>
      <xdr:col>18</xdr:col>
      <xdr:colOff>440366</xdr:colOff>
      <xdr:row>38</xdr:row>
      <xdr:rowOff>27786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6294" y="952500"/>
          <a:ext cx="4676190" cy="631428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garet Boland" refreshedDate="44113.575935879628" createdVersion="5" refreshedVersion="5" minRefreshableVersion="3" recordCount="82">
  <cacheSource type="worksheet">
    <worksheetSource ref="A1:W83" sheet="Workings"/>
  </cacheSource>
  <cacheFields count="23">
    <cacheField name="Account Number" numFmtId="0">
      <sharedItems count="2">
        <s v="287-4000-10"/>
        <s v="288-4000-10"/>
      </sharedItems>
    </cacheField>
    <cacheField name="TRX Date" numFmtId="14">
      <sharedItems containsSemiMixedTypes="0" containsNonDate="0" containsDate="1" containsString="0" minDate="2018-01-10T00:00:00" maxDate="2020-09-09T00:00:00"/>
    </cacheField>
    <cacheField name="Year" numFmtId="0">
      <sharedItems containsSemiMixedTypes="0" containsString="0" containsNumber="1" containsInteger="1" minValue="2018" maxValue="2020" count="3">
        <n v="2018"/>
        <n v="2019"/>
        <n v="2020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Account Description" numFmtId="0">
      <sharedItems/>
    </cacheField>
    <cacheField name="Description" numFmtId="0">
      <sharedItems/>
    </cacheField>
    <cacheField name="Reference" numFmtId="0">
      <sharedItems/>
    </cacheField>
    <cacheField name="Debit Amount" numFmtId="43">
      <sharedItems containsSemiMixedTypes="0" containsString="0" containsNumber="1" containsInteger="1" minValue="0" maxValue="0"/>
    </cacheField>
    <cacheField name="Credit Amount" numFmtId="43">
      <sharedItems containsSemiMixedTypes="0" containsString="0" containsNumber="1" minValue="16.95" maxValue="3374.8"/>
    </cacheField>
    <cacheField name="Net" numFmtId="43">
      <sharedItems containsSemiMixedTypes="0" containsString="0" containsNumber="1" minValue="-3374.8" maxValue="-16.95"/>
    </cacheField>
    <cacheField name="Originating Master Name" numFmtId="0">
      <sharedItems/>
    </cacheField>
    <cacheField name="Journal Entry" numFmtId="1">
      <sharedItems containsSemiMixedTypes="0" containsString="0" containsNumber="1" containsInteger="1" minValue="1095" maxValue="1168978"/>
    </cacheField>
    <cacheField name="Batch Number" numFmtId="0">
      <sharedItems/>
    </cacheField>
    <cacheField name="Main Account Segment" numFmtId="0">
      <sharedItems/>
    </cacheField>
    <cacheField name="Originating Document Number" numFmtId="0">
      <sharedItems/>
    </cacheField>
    <cacheField name="Originating Source" numFmtId="0">
      <sharedItems/>
    </cacheField>
    <cacheField name="Originating Control Number" numFmtId="0">
      <sharedItems/>
    </cacheField>
    <cacheField name="Originating Posted Date" numFmtId="14">
      <sharedItems containsSemiMixedTypes="0" containsNonDate="0" containsDate="1" containsString="0" minDate="2018-01-11T00:00:00" maxDate="2020-09-11T00:00:00"/>
    </cacheField>
    <cacheField name="Account Category Number" numFmtId="0">
      <sharedItems/>
    </cacheField>
    <cacheField name="Originating Master ID" numFmtId="0">
      <sharedItems/>
    </cacheField>
    <cacheField name="User Defined 1" numFmtId="0">
      <sharedItems/>
    </cacheField>
    <cacheField name="User Defined 2" numFmtId="0">
      <sharedItems/>
    </cacheField>
    <cacheField name="User Who Poste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">
  <r>
    <x v="0"/>
    <d v="2018-01-10T00:00:00"/>
    <x v="0"/>
    <x v="0"/>
    <s v="4235 Ret F/C Monthly Resident"/>
    <s v=""/>
    <s v="MP0000272"/>
    <n v="0"/>
    <n v="380"/>
    <n v="-380"/>
    <s v=""/>
    <n v="1008558"/>
    <s v=""/>
    <s v="4000"/>
    <s v=""/>
    <s v="GL IMPORT"/>
    <s v=""/>
    <d v="2018-01-11T00:00:00"/>
    <s v="4235 Miscellaneous Service (Other Op. Revenues)"/>
    <s v=""/>
    <s v="Reg. Service Revenue"/>
    <s v="Reg. Service Revenue"/>
    <s v="dross"/>
  </r>
  <r>
    <x v="1"/>
    <d v="2018-01-10T00:00:00"/>
    <x v="0"/>
    <x v="0"/>
    <s v="4235 Ret Var Charge Residential"/>
    <s v=""/>
    <s v="MP0000272"/>
    <n v="0"/>
    <n v="2130.1999999999998"/>
    <n v="-2130.1999999999998"/>
    <s v=""/>
    <n v="1008558"/>
    <s v=""/>
    <s v="4000"/>
    <s v=""/>
    <s v="GL IMPORT"/>
    <s v=""/>
    <d v="2018-01-11T00:00:00"/>
    <s v="4235 Miscellaneous Service (Other Op. Revenues)"/>
    <s v=""/>
    <s v="Reg. Service Revenue"/>
    <s v="Reg. Service Revenue"/>
    <s v="dross"/>
  </r>
  <r>
    <x v="0"/>
    <d v="2018-02-06T00:00:00"/>
    <x v="0"/>
    <x v="1"/>
    <s v="4235 Ret F/C Monthly Resident"/>
    <s v=""/>
    <s v="MP0000273"/>
    <n v="0"/>
    <n v="380"/>
    <n v="-380"/>
    <s v=""/>
    <n v="1012426"/>
    <s v=""/>
    <s v="4000"/>
    <s v=""/>
    <s v="GL IMPORT"/>
    <s v=""/>
    <d v="2018-02-07T00:00:00"/>
    <s v="4235 Miscellaneous Service (Other Op. Revenues)"/>
    <s v=""/>
    <s v="Reg. Service Revenue"/>
    <s v="Reg. Service Revenue"/>
    <s v="dross"/>
  </r>
  <r>
    <x v="1"/>
    <d v="2018-02-06T00:00:00"/>
    <x v="0"/>
    <x v="1"/>
    <s v="4235 Ret Var Charge Residential"/>
    <s v=""/>
    <s v="MP0000273"/>
    <n v="0"/>
    <n v="2097.6999999999998"/>
    <n v="-2097.6999999999998"/>
    <s v=""/>
    <n v="1012426"/>
    <s v=""/>
    <s v="4000"/>
    <s v=""/>
    <s v="GL IMPORT"/>
    <s v=""/>
    <d v="2018-02-07T00:00:00"/>
    <s v="4235 Miscellaneous Service (Other Op. Revenues)"/>
    <s v=""/>
    <s v="Reg. Service Revenue"/>
    <s v="Reg. Service Revenue"/>
    <s v="dross"/>
  </r>
  <r>
    <x v="0"/>
    <d v="2018-03-06T00:00:00"/>
    <x v="0"/>
    <x v="2"/>
    <s v="4235 Ret F/C Monthly Resident"/>
    <s v=""/>
    <s v="MP0000274"/>
    <n v="0"/>
    <n v="380"/>
    <n v="-380"/>
    <s v=""/>
    <n v="1016643"/>
    <s v=""/>
    <s v="4000"/>
    <s v=""/>
    <s v="GL IMPORT"/>
    <s v=""/>
    <d v="2018-03-07T00:00:00"/>
    <s v="4235 Miscellaneous Service (Other Op. Revenues)"/>
    <s v=""/>
    <s v="Reg. Service Revenue"/>
    <s v="Reg. Service Revenue"/>
    <s v="dross"/>
  </r>
  <r>
    <x v="1"/>
    <d v="2018-03-06T00:00:00"/>
    <x v="0"/>
    <x v="2"/>
    <s v="4235 Ret Var Charge Residential"/>
    <s v=""/>
    <s v="MP0000274"/>
    <n v="0"/>
    <n v="2058.8000000000002"/>
    <n v="-2058.8000000000002"/>
    <s v=""/>
    <n v="1016643"/>
    <s v=""/>
    <s v="4000"/>
    <s v=""/>
    <s v="GL IMPORT"/>
    <s v=""/>
    <d v="2018-03-07T00:00:00"/>
    <s v="4235 Miscellaneous Service (Other Op. Revenues)"/>
    <s v=""/>
    <s v="Reg. Service Revenue"/>
    <s v="Reg. Service Revenue"/>
    <s v="dross"/>
  </r>
  <r>
    <x v="0"/>
    <d v="2018-04-04T00:00:00"/>
    <x v="0"/>
    <x v="3"/>
    <s v="4235 Ret F/C Monthly Resident"/>
    <s v=""/>
    <s v="MP0000275"/>
    <n v="0"/>
    <n v="380"/>
    <n v="-380"/>
    <s v=""/>
    <n v="1023900"/>
    <s v=""/>
    <s v="4000"/>
    <s v=""/>
    <s v="GL IMPORT"/>
    <s v=""/>
    <d v="2018-04-05T00:00:00"/>
    <s v="4235 Miscellaneous Service (Other Op. Revenues)"/>
    <s v=""/>
    <s v="Reg. Service Revenue"/>
    <s v="Reg. Service Revenue"/>
    <s v="dross"/>
  </r>
  <r>
    <x v="1"/>
    <d v="2018-04-04T00:00:00"/>
    <x v="0"/>
    <x v="3"/>
    <s v="4235 Ret Var Charge Residential"/>
    <s v=""/>
    <s v="MP0000275"/>
    <n v="0"/>
    <n v="2018.6"/>
    <n v="-2018.6"/>
    <s v=""/>
    <n v="1023900"/>
    <s v=""/>
    <s v="4000"/>
    <s v=""/>
    <s v="GL IMPORT"/>
    <s v=""/>
    <d v="2018-04-05T00:00:00"/>
    <s v="4235 Miscellaneous Service (Other Op. Revenues)"/>
    <s v=""/>
    <s v="Reg. Service Revenue"/>
    <s v="Reg. Service Revenue"/>
    <s v="dross"/>
  </r>
  <r>
    <x v="0"/>
    <d v="2018-05-08T00:00:00"/>
    <x v="0"/>
    <x v="4"/>
    <s v="4235 Ret F/C Monthly Resident"/>
    <s v=""/>
    <s v="MP0000276"/>
    <n v="0"/>
    <n v="380"/>
    <n v="-380"/>
    <s v=""/>
    <n v="1028275"/>
    <s v=""/>
    <s v="4000"/>
    <s v=""/>
    <s v="GL IMPORT"/>
    <s v=""/>
    <d v="2018-05-09T00:00:00"/>
    <s v="4235 Miscellaneous Service (Other Op. Revenues)"/>
    <s v=""/>
    <s v="Reg. Service Revenue"/>
    <s v="Reg. Service Revenue"/>
    <s v="JordanL"/>
  </r>
  <r>
    <x v="1"/>
    <d v="2018-05-08T00:00:00"/>
    <x v="0"/>
    <x v="4"/>
    <s v="4235 Ret Var Charge Residential"/>
    <s v=""/>
    <s v="MP0000276"/>
    <n v="0"/>
    <n v="1999"/>
    <n v="-1999"/>
    <s v=""/>
    <n v="1028275"/>
    <s v=""/>
    <s v="4000"/>
    <s v=""/>
    <s v="GL IMPORT"/>
    <s v=""/>
    <d v="2018-05-09T00:00:00"/>
    <s v="4235 Miscellaneous Service (Other Op. Revenues)"/>
    <s v=""/>
    <s v="Reg. Service Revenue"/>
    <s v="Reg. Service Revenue"/>
    <s v="JordanL"/>
  </r>
  <r>
    <x v="0"/>
    <d v="2018-06-07T00:00:00"/>
    <x v="0"/>
    <x v="5"/>
    <s v="4235 Ret F/C Monthly Resident"/>
    <s v=""/>
    <s v="MP0000277"/>
    <n v="0"/>
    <n v="380"/>
    <n v="-380"/>
    <s v=""/>
    <n v="1033790"/>
    <s v=""/>
    <s v="4000"/>
    <s v=""/>
    <s v="GL IMPORT"/>
    <s v=""/>
    <d v="2018-06-11T00:00:00"/>
    <s v="4235 Miscellaneous Service (Other Op. Revenues)"/>
    <s v=""/>
    <s v="Reg. Service Revenue"/>
    <s v="Reg. Service Revenue"/>
    <s v="dross"/>
  </r>
  <r>
    <x v="1"/>
    <d v="2018-06-07T00:00:00"/>
    <x v="0"/>
    <x v="5"/>
    <s v="4235 Ret Var Charge Residential"/>
    <s v=""/>
    <s v="MP0000277"/>
    <n v="0"/>
    <n v="1974.5"/>
    <n v="-1974.5"/>
    <s v=""/>
    <n v="1033790"/>
    <s v=""/>
    <s v="4000"/>
    <s v=""/>
    <s v="GL IMPORT"/>
    <s v=""/>
    <d v="2018-06-11T00:00:00"/>
    <s v="4235 Miscellaneous Service (Other Op. Revenues)"/>
    <s v=""/>
    <s v="Reg. Service Revenue"/>
    <s v="Reg. Service Revenue"/>
    <s v="dross"/>
  </r>
  <r>
    <x v="0"/>
    <d v="2018-07-06T00:00:00"/>
    <x v="0"/>
    <x v="6"/>
    <s v="4235 Ret F/C Monthly Resident"/>
    <s v=""/>
    <s v="MP0000278"/>
    <n v="0"/>
    <n v="380"/>
    <n v="-380"/>
    <s v=""/>
    <n v="1038486"/>
    <s v=""/>
    <s v="4000"/>
    <s v=""/>
    <s v="GL IMPORT"/>
    <s v=""/>
    <d v="2018-07-09T00:00:00"/>
    <s v="4235 Miscellaneous Service (Other Op. Revenues)"/>
    <s v=""/>
    <s v="Reg. Service Revenue"/>
    <s v="Reg. Service Revenue"/>
    <s v="dross"/>
  </r>
  <r>
    <x v="1"/>
    <d v="2018-07-06T00:00:00"/>
    <x v="0"/>
    <x v="6"/>
    <s v="4235 Ret Var Charge Residential"/>
    <s v=""/>
    <s v="MP0000278"/>
    <n v="0"/>
    <n v="1945.2"/>
    <n v="-1945.2"/>
    <s v=""/>
    <n v="1038486"/>
    <s v=""/>
    <s v="4000"/>
    <s v=""/>
    <s v="GL IMPORT"/>
    <s v=""/>
    <d v="2018-07-09T00:00:00"/>
    <s v="4235 Miscellaneous Service (Other Op. Revenues)"/>
    <s v=""/>
    <s v="Reg. Service Revenue"/>
    <s v="Reg. Service Revenue"/>
    <s v="dross"/>
  </r>
  <r>
    <x v="0"/>
    <d v="2018-08-07T00:00:00"/>
    <x v="0"/>
    <x v="7"/>
    <s v="4235 Ret F/C Monthly Resident"/>
    <s v=""/>
    <s v="MP0000279"/>
    <n v="0"/>
    <n v="380"/>
    <n v="-380"/>
    <s v=""/>
    <n v="1044361"/>
    <s v=""/>
    <s v="4000"/>
    <s v=""/>
    <s v="GL IMPORT"/>
    <s v=""/>
    <d v="2018-08-08T00:00:00"/>
    <s v="4235 Miscellaneous Service (Other Op. Revenues)"/>
    <s v=""/>
    <s v="Reg. Service Revenue"/>
    <s v="Reg. Service Revenue"/>
    <s v="dross"/>
  </r>
  <r>
    <x v="1"/>
    <d v="2018-08-07T00:00:00"/>
    <x v="0"/>
    <x v="7"/>
    <s v="4235 Ret Var Charge Residential"/>
    <s v=""/>
    <s v="MP0000279"/>
    <n v="0"/>
    <n v="1929.4"/>
    <n v="-1929.4"/>
    <s v=""/>
    <n v="1044361"/>
    <s v=""/>
    <s v="4000"/>
    <s v=""/>
    <s v="GL IMPORT"/>
    <s v=""/>
    <d v="2018-08-08T00:00:00"/>
    <s v="4235 Miscellaneous Service (Other Op. Revenues)"/>
    <s v=""/>
    <s v="Reg. Service Revenue"/>
    <s v="Reg. Service Revenue"/>
    <s v="dross"/>
  </r>
  <r>
    <x v="0"/>
    <d v="2018-09-11T00:00:00"/>
    <x v="0"/>
    <x v="8"/>
    <s v="4235 Ret F/C Monthly Resident"/>
    <s v=""/>
    <s v="MP0000280"/>
    <n v="0"/>
    <n v="380"/>
    <n v="-380"/>
    <s v=""/>
    <n v="1050309"/>
    <s v=""/>
    <s v="4000"/>
    <s v=""/>
    <s v="GL IMPORT"/>
    <s v=""/>
    <d v="2018-09-12T00:00:00"/>
    <s v="4235 Miscellaneous Service (Other Op. Revenues)"/>
    <s v=""/>
    <s v="Reg. Service Revenue"/>
    <s v="Reg. Service Revenue"/>
    <s v="dross"/>
  </r>
  <r>
    <x v="1"/>
    <d v="2018-09-11T00:00:00"/>
    <x v="0"/>
    <x v="8"/>
    <s v="4235 Ret Var Charge Residential"/>
    <s v=""/>
    <s v="MP0000280"/>
    <n v="0"/>
    <n v="1906.7"/>
    <n v="-1906.7"/>
    <s v=""/>
    <n v="1050309"/>
    <s v=""/>
    <s v="4000"/>
    <s v=""/>
    <s v="GL IMPORT"/>
    <s v=""/>
    <d v="2018-09-12T00:00:00"/>
    <s v="4235 Miscellaneous Service (Other Op. Revenues)"/>
    <s v=""/>
    <s v="Reg. Service Revenue"/>
    <s v="Reg. Service Revenue"/>
    <s v="dross"/>
  </r>
  <r>
    <x v="0"/>
    <d v="2018-10-02T00:00:00"/>
    <x v="0"/>
    <x v="9"/>
    <s v="4235 Ret F/C Monthly Resident"/>
    <s v=""/>
    <s v="MP0000281"/>
    <n v="0"/>
    <n v="380"/>
    <n v="-380"/>
    <s v=""/>
    <n v="1053712"/>
    <s v=""/>
    <s v="4000"/>
    <s v=""/>
    <s v="GL IMPORT"/>
    <s v=""/>
    <d v="2018-10-03T00:00:00"/>
    <s v="4235 Miscellaneous Service (Other Op. Revenues)"/>
    <s v=""/>
    <s v="Reg. Service Revenue"/>
    <s v="Reg. Service Revenue"/>
    <s v="dross"/>
  </r>
  <r>
    <x v="1"/>
    <d v="2018-10-02T00:00:00"/>
    <x v="0"/>
    <x v="9"/>
    <s v="4235 Ret Var Charge Residential"/>
    <s v=""/>
    <s v="MP0000281"/>
    <n v="0"/>
    <n v="1873.2"/>
    <n v="-1873.2"/>
    <s v=""/>
    <n v="1053712"/>
    <s v=""/>
    <s v="4000"/>
    <s v=""/>
    <s v="GL IMPORT"/>
    <s v=""/>
    <d v="2018-10-03T00:00:00"/>
    <s v="4235 Miscellaneous Service (Other Op. Revenues)"/>
    <s v=""/>
    <s v="Reg. Service Revenue"/>
    <s v="Reg. Service Revenue"/>
    <s v="dross"/>
  </r>
  <r>
    <x v="0"/>
    <d v="2018-11-07T00:00:00"/>
    <x v="0"/>
    <x v="10"/>
    <s v="4235 Ret F/C Monthly Resident"/>
    <s v=""/>
    <s v="MP0000282"/>
    <n v="0"/>
    <n v="380"/>
    <n v="-380"/>
    <s v=""/>
    <n v="1065219"/>
    <s v=""/>
    <s v="4000"/>
    <s v=""/>
    <s v="GL IMPORT"/>
    <s v=""/>
    <d v="2018-11-08T00:00:00"/>
    <s v="4235 Miscellaneous Service (Other Op. Revenues)"/>
    <s v=""/>
    <s v="Reg. Service Revenue"/>
    <s v="Reg. Service Revenue"/>
    <s v="dross"/>
  </r>
  <r>
    <x v="1"/>
    <d v="2018-11-07T00:00:00"/>
    <x v="0"/>
    <x v="10"/>
    <s v="4235 Ret Var Charge Residential"/>
    <s v=""/>
    <s v="MP0000282"/>
    <n v="0"/>
    <n v="1847.4"/>
    <n v="-1847.4"/>
    <s v=""/>
    <n v="1065219"/>
    <s v=""/>
    <s v="4000"/>
    <s v=""/>
    <s v="GL IMPORT"/>
    <s v=""/>
    <d v="2018-11-08T00:00:00"/>
    <s v="4235 Miscellaneous Service (Other Op. Revenues)"/>
    <s v=""/>
    <s v="Reg. Service Revenue"/>
    <s v="Reg. Service Revenue"/>
    <s v="dross"/>
  </r>
  <r>
    <x v="0"/>
    <d v="2018-12-07T00:00:00"/>
    <x v="0"/>
    <x v="11"/>
    <s v="4235 Ret F/C Monthly Resident"/>
    <s v=""/>
    <s v="MP0000283"/>
    <n v="0"/>
    <n v="380"/>
    <n v="-380"/>
    <s v=""/>
    <n v="1071787"/>
    <s v=""/>
    <s v="4000"/>
    <s v=""/>
    <s v="GL IMPORT"/>
    <s v=""/>
    <d v="2018-12-11T00:00:00"/>
    <s v="4235 Miscellaneous Service (Other Op. Revenues)"/>
    <s v=""/>
    <s v="Reg. Service Revenue"/>
    <s v="Reg. Service Revenue"/>
    <s v="dross"/>
  </r>
  <r>
    <x v="1"/>
    <d v="2018-12-07T00:00:00"/>
    <x v="0"/>
    <x v="11"/>
    <s v="4235 Ret Var Charge Residential"/>
    <s v=""/>
    <s v="MP0000283"/>
    <n v="0"/>
    <n v="1824.6"/>
    <n v="-1824.6"/>
    <s v=""/>
    <n v="1071787"/>
    <s v=""/>
    <s v="4000"/>
    <s v=""/>
    <s v="GL IMPORT"/>
    <s v=""/>
    <d v="2018-12-11T00:00:00"/>
    <s v="4235 Miscellaneous Service (Other Op. Revenues)"/>
    <s v=""/>
    <s v="Reg. Service Revenue"/>
    <s v="Reg. Service Revenue"/>
    <s v="dross"/>
  </r>
  <r>
    <x v="0"/>
    <d v="2019-01-09T00:00:00"/>
    <x v="1"/>
    <x v="0"/>
    <s v="4235 Ret F/C Monthly Resident"/>
    <s v=""/>
    <s v="MP0000284"/>
    <n v="0"/>
    <n v="380"/>
    <n v="-380"/>
    <s v=""/>
    <n v="1076734"/>
    <s v=""/>
    <s v="4000"/>
    <s v=""/>
    <s v="GL IMPORT"/>
    <s v=""/>
    <d v="2019-01-10T00:00:00"/>
    <s v="4235 Miscellaneous Service (Other Op. Revenues)"/>
    <s v=""/>
    <s v="Reg. Service Revenue"/>
    <s v="Reg. Service Revenue"/>
    <s v="dross"/>
  </r>
  <r>
    <x v="1"/>
    <d v="2019-01-09T00:00:00"/>
    <x v="1"/>
    <x v="0"/>
    <s v="4235 Ret Var Charge Residential"/>
    <s v=""/>
    <s v="MP0000284"/>
    <n v="0"/>
    <n v="1787.3"/>
    <n v="-1787.3"/>
    <s v=""/>
    <n v="1076734"/>
    <s v=""/>
    <s v="4000"/>
    <s v=""/>
    <s v="GL IMPORT"/>
    <s v=""/>
    <d v="2019-01-10T00:00:00"/>
    <s v="4235 Miscellaneous Service (Other Op. Revenues)"/>
    <s v=""/>
    <s v="Reg. Service Revenue"/>
    <s v="Reg. Service Revenue"/>
    <s v="dross"/>
  </r>
  <r>
    <x v="0"/>
    <d v="2019-02-12T00:00:00"/>
    <x v="1"/>
    <x v="1"/>
    <s v="4235 Ret F/C Monthly Resident"/>
    <s v=""/>
    <s v="MP0000285"/>
    <n v="0"/>
    <n v="380"/>
    <n v="-380"/>
    <s v=""/>
    <n v="1081891"/>
    <s v=""/>
    <s v="4000"/>
    <s v=""/>
    <s v="GL IMPORT"/>
    <s v=""/>
    <d v="2019-02-13T00:00:00"/>
    <s v="4235 Miscellaneous Service (Other Op. Revenues)"/>
    <s v=""/>
    <s v="Reg. Service Revenue"/>
    <s v="Reg. Service Revenue"/>
    <s v="dross"/>
  </r>
  <r>
    <x v="1"/>
    <d v="2019-02-12T00:00:00"/>
    <x v="1"/>
    <x v="1"/>
    <s v="4235 Ret Var Charge Residential"/>
    <s v=""/>
    <s v="MP0000285"/>
    <n v="0"/>
    <n v="1755"/>
    <n v="-1755"/>
    <s v=""/>
    <n v="1081891"/>
    <s v=""/>
    <s v="4000"/>
    <s v=""/>
    <s v="GL IMPORT"/>
    <s v=""/>
    <d v="2019-02-13T00:00:00"/>
    <s v="4235 Miscellaneous Service (Other Op. Revenues)"/>
    <s v=""/>
    <s v="Reg. Service Revenue"/>
    <s v="Reg. Service Revenue"/>
    <s v="dross"/>
  </r>
  <r>
    <x v="0"/>
    <d v="2019-03-12T00:00:00"/>
    <x v="1"/>
    <x v="2"/>
    <s v="4235 Ret F/C Monthly Resident"/>
    <s v=""/>
    <s v="MP0000286"/>
    <n v="0"/>
    <n v="380"/>
    <n v="-380"/>
    <s v=""/>
    <n v="1086375"/>
    <s v=""/>
    <s v="4000"/>
    <s v=""/>
    <s v="GL IMPORT"/>
    <s v=""/>
    <d v="2019-03-13T00:00:00"/>
    <s v="4235 Miscellaneous Service (Other Op. Revenues)"/>
    <s v=""/>
    <s v="Reg. Service Revenue"/>
    <s v="Reg. Service Revenue"/>
    <s v="dross"/>
  </r>
  <r>
    <x v="1"/>
    <d v="2019-03-12T00:00:00"/>
    <x v="1"/>
    <x v="2"/>
    <s v="4235 Ret Var Charge Residential"/>
    <s v=""/>
    <s v="MP0000286"/>
    <n v="0"/>
    <n v="1729.5"/>
    <n v="-1729.5"/>
    <s v=""/>
    <n v="1086375"/>
    <s v=""/>
    <s v="4000"/>
    <s v=""/>
    <s v="GL IMPORT"/>
    <s v=""/>
    <d v="2019-03-13T00:00:00"/>
    <s v="4235 Miscellaneous Service (Other Op. Revenues)"/>
    <s v=""/>
    <s v="Reg. Service Revenue"/>
    <s v="Reg. Service Revenue"/>
    <s v="dross"/>
  </r>
  <r>
    <x v="0"/>
    <d v="2019-04-08T00:00:00"/>
    <x v="1"/>
    <x v="3"/>
    <s v="4235 Ret F/C Monthly Resident"/>
    <s v=""/>
    <s v="MP0000287"/>
    <n v="0"/>
    <n v="380"/>
    <n v="-380"/>
    <s v=""/>
    <n v="1090888"/>
    <s v=""/>
    <s v="4000"/>
    <s v=""/>
    <s v="GL IMPORT"/>
    <s v=""/>
    <d v="2019-04-09T00:00:00"/>
    <s v="4235 Miscellaneous Service (Other Op. Revenues)"/>
    <s v=""/>
    <s v="Reg. Service Revenue"/>
    <s v="Reg. Service Revenue"/>
    <s v="dross"/>
  </r>
  <r>
    <x v="1"/>
    <d v="2019-04-08T00:00:00"/>
    <x v="1"/>
    <x v="3"/>
    <s v="4235 Ret Var Charge Residential"/>
    <s v=""/>
    <s v="MP0000287"/>
    <n v="0"/>
    <n v="1701.5"/>
    <n v="-1701.5"/>
    <s v=""/>
    <n v="1090888"/>
    <s v=""/>
    <s v="4000"/>
    <s v=""/>
    <s v="GL IMPORT"/>
    <s v=""/>
    <d v="2019-04-09T00:00:00"/>
    <s v="4235 Miscellaneous Service (Other Op. Revenues)"/>
    <s v=""/>
    <s v="Reg. Service Revenue"/>
    <s v="Reg. Service Revenue"/>
    <s v="dross"/>
  </r>
  <r>
    <x v="0"/>
    <d v="2019-04-23T00:00:00"/>
    <x v="1"/>
    <x v="3"/>
    <s v="4235 Ret F/C Monthly Resident"/>
    <s v=""/>
    <s v="BJ0021575"/>
    <n v="0"/>
    <n v="16.95"/>
    <n v="-16.95"/>
    <s v=""/>
    <n v="1093404"/>
    <s v=""/>
    <s v="4000"/>
    <s v=""/>
    <s v="GL IMPORT"/>
    <s v=""/>
    <d v="2019-04-24T00:00:00"/>
    <s v="4235 Miscellaneous Service (Other Op. Revenues)"/>
    <s v=""/>
    <s v="Reg. Service Revenue"/>
    <s v="Reg. Service Revenue"/>
    <s v="dross"/>
  </r>
  <r>
    <x v="0"/>
    <d v="2019-05-08T00:00:00"/>
    <x v="1"/>
    <x v="4"/>
    <s v="4235 Ret F/C Monthly Resident"/>
    <s v=""/>
    <s v="MP0000288"/>
    <n v="0"/>
    <n v="380"/>
    <n v="-380"/>
    <s v=""/>
    <n v="1095303"/>
    <s v=""/>
    <s v="4000"/>
    <s v=""/>
    <s v="GL IMPORT"/>
    <s v=""/>
    <d v="2019-05-09T00:00:00"/>
    <s v="4235 Miscellaneous Service (Other Op. Revenues)"/>
    <s v=""/>
    <s v="Reg. Service Revenue"/>
    <s v="Reg. Service Revenue"/>
    <s v="dross"/>
  </r>
  <r>
    <x v="1"/>
    <d v="2019-05-08T00:00:00"/>
    <x v="1"/>
    <x v="4"/>
    <s v="4235 Ret Var Charge Residential"/>
    <s v=""/>
    <s v="MP0000288"/>
    <n v="0"/>
    <n v="1734.8"/>
    <n v="-1734.8"/>
    <s v=""/>
    <n v="1095303"/>
    <s v=""/>
    <s v="4000"/>
    <s v=""/>
    <s v="GL IMPORT"/>
    <s v=""/>
    <d v="2019-05-09T00:00:00"/>
    <s v="4235 Miscellaneous Service (Other Op. Revenues)"/>
    <s v=""/>
    <s v="Reg. Service Revenue"/>
    <s v="Reg. Service Revenue"/>
    <s v="dross"/>
  </r>
  <r>
    <x v="0"/>
    <d v="2019-06-14T00:00:00"/>
    <x v="1"/>
    <x v="5"/>
    <s v="4235 Ret F/C Monthly Resident"/>
    <s v=""/>
    <s v="MP0000289"/>
    <n v="0"/>
    <n v="720"/>
    <n v="-720"/>
    <s v=""/>
    <n v="1101263"/>
    <s v=""/>
    <s v="4000"/>
    <s v=""/>
    <s v="GL IMPORT"/>
    <s v=""/>
    <d v="2019-06-17T00:00:00"/>
    <s v="4235 Miscellaneous Service (Other Op. Revenues)"/>
    <s v=""/>
    <s v="Reg. Service Revenue"/>
    <s v="Reg. Service Revenue"/>
    <s v="dross"/>
  </r>
  <r>
    <x v="1"/>
    <d v="2019-06-14T00:00:00"/>
    <x v="1"/>
    <x v="5"/>
    <s v="4235 Ret Var Charge Residential"/>
    <s v=""/>
    <s v="MP0000289"/>
    <n v="0"/>
    <n v="3374.8"/>
    <n v="-3374.8"/>
    <s v=""/>
    <n v="1101263"/>
    <s v=""/>
    <s v="4000"/>
    <s v=""/>
    <s v="GL IMPORT"/>
    <s v=""/>
    <d v="2019-06-17T00:00:00"/>
    <s v="4235 Miscellaneous Service (Other Op. Revenues)"/>
    <s v=""/>
    <s v="Reg. Service Revenue"/>
    <s v="Reg. Service Revenue"/>
    <s v="dross"/>
  </r>
  <r>
    <x v="0"/>
    <d v="2019-07-09T00:00:00"/>
    <x v="1"/>
    <x v="6"/>
    <s v="4235 Ret F/C Monthly Resident"/>
    <s v=""/>
    <s v="MP0000290"/>
    <n v="0"/>
    <n v="720"/>
    <n v="-720"/>
    <s v=""/>
    <n v="1104692"/>
    <s v=""/>
    <s v="4000"/>
    <s v=""/>
    <s v="GL IMPORT"/>
    <s v=""/>
    <d v="2019-07-10T00:00:00"/>
    <s v="4235 Miscellaneous Service (Other Op. Revenues)"/>
    <s v=""/>
    <s v="Reg. Service Revenue"/>
    <s v="Reg. Service Revenue"/>
    <s v="dross"/>
  </r>
  <r>
    <x v="1"/>
    <d v="2019-07-09T00:00:00"/>
    <x v="1"/>
    <x v="6"/>
    <s v="4235 Ret Var Charge Residential"/>
    <s v=""/>
    <s v="MP0000290"/>
    <n v="0"/>
    <n v="1243.8"/>
    <n v="-1243.8"/>
    <s v=""/>
    <n v="1104692"/>
    <s v=""/>
    <s v="4000"/>
    <s v=""/>
    <s v="GL IMPORT"/>
    <s v=""/>
    <d v="2019-07-10T00:00:00"/>
    <s v="4235 Miscellaneous Service (Other Op. Revenues)"/>
    <s v=""/>
    <s v="Reg. Service Revenue"/>
    <s v="Reg. Service Revenue"/>
    <s v="dross"/>
  </r>
  <r>
    <x v="1"/>
    <d v="2019-07-09T00:00:00"/>
    <x v="1"/>
    <x v="6"/>
    <s v="4235 Ret Var Charge Residential"/>
    <s v=""/>
    <s v="MP0000290"/>
    <n v="0"/>
    <n v="2078"/>
    <n v="-2078"/>
    <s v=""/>
    <n v="1104692"/>
    <s v=""/>
    <s v="4000"/>
    <s v=""/>
    <s v="GL IMPORT"/>
    <s v=""/>
    <d v="2019-07-10T00:00:00"/>
    <s v="4235 Miscellaneous Service (Other Op. Revenues)"/>
    <s v=""/>
    <s v="Reg. Service Revenue"/>
    <s v="Reg. Service Revenue"/>
    <s v="dross"/>
  </r>
  <r>
    <x v="0"/>
    <d v="2019-08-20T00:00:00"/>
    <x v="1"/>
    <x v="7"/>
    <s v="4235 Ret F/C Monthly Resident"/>
    <s v=""/>
    <s v="MP0000291"/>
    <n v="0"/>
    <n v="720"/>
    <n v="-720"/>
    <s v=""/>
    <n v="1111991"/>
    <s v=""/>
    <s v="4000"/>
    <s v=""/>
    <s v="GL IMPORT"/>
    <s v=""/>
    <d v="2019-08-21T00:00:00"/>
    <s v="4235 Miscellaneous Service (Other Op. Revenues)"/>
    <s v=""/>
    <s v="Reg. Service Revenue"/>
    <s v="Reg. Service Revenue"/>
    <s v="dross"/>
  </r>
  <r>
    <x v="1"/>
    <d v="2019-08-20T00:00:00"/>
    <x v="1"/>
    <x v="7"/>
    <s v="4235 Ret Var Charge Residential"/>
    <s v=""/>
    <s v="MP0000291"/>
    <n v="0"/>
    <n v="1227"/>
    <n v="-1227"/>
    <s v=""/>
    <n v="1111991"/>
    <s v=""/>
    <s v="4000"/>
    <s v=""/>
    <s v="GL IMPORT"/>
    <s v=""/>
    <d v="2019-08-21T00:00:00"/>
    <s v="4235 Miscellaneous Service (Other Op. Revenues)"/>
    <s v=""/>
    <s v="Reg. Service Revenue"/>
    <s v="Reg. Service Revenue"/>
    <s v="dross"/>
  </r>
  <r>
    <x v="1"/>
    <d v="2019-08-20T00:00:00"/>
    <x v="1"/>
    <x v="7"/>
    <s v="4235 Ret Var Charge Residential"/>
    <s v=""/>
    <s v="MP0000291"/>
    <n v="0"/>
    <n v="2046"/>
    <n v="-2046"/>
    <s v=""/>
    <n v="1111991"/>
    <s v=""/>
    <s v="4000"/>
    <s v=""/>
    <s v="GL IMPORT"/>
    <s v=""/>
    <d v="2019-08-21T00:00:00"/>
    <s v="4235 Miscellaneous Service (Other Op. Revenues)"/>
    <s v=""/>
    <s v="Reg. Service Revenue"/>
    <s v="Reg. Service Revenue"/>
    <s v="dross"/>
  </r>
  <r>
    <x v="0"/>
    <d v="2019-09-10T00:00:00"/>
    <x v="1"/>
    <x v="8"/>
    <s v="4235 Ret F/C Monthly Resident"/>
    <s v=""/>
    <s v="MP0000292"/>
    <n v="0"/>
    <n v="720"/>
    <n v="-720"/>
    <s v=""/>
    <n v="29690"/>
    <s v=""/>
    <s v="4000"/>
    <s v=""/>
    <s v="GL IMPORT"/>
    <s v=""/>
    <d v="2019-09-11T00:00:00"/>
    <s v="4235 Miscellaneous Service (Other Op. Revenues)"/>
    <s v=""/>
    <s v="Reg. Service Revenue"/>
    <s v="Reg. Service Revenue"/>
    <s v="dross"/>
  </r>
  <r>
    <x v="1"/>
    <d v="2019-09-10T00:00:00"/>
    <x v="1"/>
    <x v="8"/>
    <s v="4235 Ret Var Charge Residential"/>
    <s v=""/>
    <s v="MP0000292"/>
    <n v="0"/>
    <n v="1207.2"/>
    <n v="-1207.2"/>
    <s v=""/>
    <n v="29690"/>
    <s v=""/>
    <s v="4000"/>
    <s v=""/>
    <s v="GL IMPORT"/>
    <s v=""/>
    <d v="2019-09-11T00:00:00"/>
    <s v="4235 Miscellaneous Service (Other Op. Revenues)"/>
    <s v=""/>
    <s v="Reg. Service Revenue"/>
    <s v="Reg. Service Revenue"/>
    <s v="dross"/>
  </r>
  <r>
    <x v="1"/>
    <d v="2019-09-10T00:00:00"/>
    <x v="1"/>
    <x v="8"/>
    <s v="4235 Ret Var Charge Residential"/>
    <s v=""/>
    <s v="MP0000292"/>
    <n v="0"/>
    <n v="2019"/>
    <n v="-2019"/>
    <s v=""/>
    <n v="29690"/>
    <s v=""/>
    <s v="4000"/>
    <s v=""/>
    <s v="GL IMPORT"/>
    <s v=""/>
    <d v="2019-09-11T00:00:00"/>
    <s v="4235 Miscellaneous Service (Other Op. Revenues)"/>
    <s v=""/>
    <s v="Reg. Service Revenue"/>
    <s v="Reg. Service Revenue"/>
    <s v="dross"/>
  </r>
  <r>
    <x v="0"/>
    <d v="2019-10-07T00:00:00"/>
    <x v="1"/>
    <x v="9"/>
    <s v="4235 Ret F/C Monthly Resident"/>
    <s v=""/>
    <s v="MP0000293"/>
    <n v="0"/>
    <n v="720"/>
    <n v="-720"/>
    <s v=""/>
    <n v="1115640"/>
    <s v=""/>
    <s v="4000"/>
    <s v=""/>
    <s v="GL IMPORT"/>
    <s v=""/>
    <d v="2019-10-08T00:00:00"/>
    <s v="4235 Miscellaneous Service (Other Op. Revenues)"/>
    <s v=""/>
    <s v="Reg. Service Revenue"/>
    <s v="Reg. Service Revenue"/>
    <s v="dross"/>
  </r>
  <r>
    <x v="1"/>
    <d v="2019-10-07T00:00:00"/>
    <x v="1"/>
    <x v="9"/>
    <s v="4235 Ret Var Charge Residential"/>
    <s v=""/>
    <s v="MP0000293"/>
    <n v="0"/>
    <n v="1196.4000000000001"/>
    <n v="-1196.4000000000001"/>
    <s v=""/>
    <n v="1115640"/>
    <s v=""/>
    <s v="4000"/>
    <s v=""/>
    <s v="GL IMPORT"/>
    <s v=""/>
    <d v="2019-10-08T00:00:00"/>
    <s v="4235 Miscellaneous Service (Other Op. Revenues)"/>
    <s v=""/>
    <s v="Reg. Service Revenue"/>
    <s v="Reg. Service Revenue"/>
    <s v="dross"/>
  </r>
  <r>
    <x v="1"/>
    <d v="2019-10-07T00:00:00"/>
    <x v="1"/>
    <x v="9"/>
    <s v="4235 Ret Var Charge Residential"/>
    <s v=""/>
    <s v="MP0000293"/>
    <n v="0"/>
    <n v="1995"/>
    <n v="-1995"/>
    <s v=""/>
    <n v="1115640"/>
    <s v=""/>
    <s v="4000"/>
    <s v=""/>
    <s v="GL IMPORT"/>
    <s v=""/>
    <d v="2019-10-08T00:00:00"/>
    <s v="4235 Miscellaneous Service (Other Op. Revenues)"/>
    <s v=""/>
    <s v="Reg. Service Revenue"/>
    <s v="Reg. Service Revenue"/>
    <s v="dross"/>
  </r>
  <r>
    <x v="0"/>
    <d v="2019-11-12T00:00:00"/>
    <x v="1"/>
    <x v="10"/>
    <s v="4235 Ret F/C Monthly Resident"/>
    <s v=""/>
    <s v="MP0000294"/>
    <n v="0"/>
    <n v="680"/>
    <n v="-680"/>
    <s v=""/>
    <n v="1120817"/>
    <s v=""/>
    <s v="4000"/>
    <s v=""/>
    <s v="GL IMPORT"/>
    <s v=""/>
    <d v="2019-11-13T00:00:00"/>
    <s v="4235 Miscellaneous Service (Other Op. Revenues)"/>
    <s v=""/>
    <s v="Reg. Service Revenue"/>
    <s v="Reg. Service Revenue"/>
    <s v="dross"/>
  </r>
  <r>
    <x v="1"/>
    <d v="2019-11-12T00:00:00"/>
    <x v="1"/>
    <x v="10"/>
    <s v="4235 Ret Var Charge Residential"/>
    <s v=""/>
    <s v="MP0000294"/>
    <n v="0"/>
    <n v="1185"/>
    <n v="-1185"/>
    <s v=""/>
    <n v="1120817"/>
    <s v=""/>
    <s v="4000"/>
    <s v=""/>
    <s v="GL IMPORT"/>
    <s v=""/>
    <d v="2019-11-13T00:00:00"/>
    <s v="4235 Miscellaneous Service (Other Op. Revenues)"/>
    <s v=""/>
    <s v="Reg. Service Revenue"/>
    <s v="Reg. Service Revenue"/>
    <s v="dross"/>
  </r>
  <r>
    <x v="1"/>
    <d v="2019-11-12T00:00:00"/>
    <x v="1"/>
    <x v="10"/>
    <s v="4235 Ret Var Charge Residential"/>
    <s v=""/>
    <s v="MP0000294"/>
    <n v="0"/>
    <n v="1984"/>
    <n v="-1984"/>
    <s v=""/>
    <n v="1120817"/>
    <s v=""/>
    <s v="4000"/>
    <s v=""/>
    <s v="GL IMPORT"/>
    <s v=""/>
    <d v="2019-11-13T00:00:00"/>
    <s v="4235 Miscellaneous Service (Other Op. Revenues)"/>
    <s v=""/>
    <s v="Reg. Service Revenue"/>
    <s v="Reg. Service Revenue"/>
    <s v="dross"/>
  </r>
  <r>
    <x v="0"/>
    <d v="2019-12-05T00:00:00"/>
    <x v="1"/>
    <x v="11"/>
    <s v="4235 Ret F/C Monthly Resident"/>
    <s v=""/>
    <s v="MP0000295"/>
    <n v="0"/>
    <n v="680"/>
    <n v="-680"/>
    <s v=""/>
    <n v="1125342"/>
    <s v=""/>
    <s v="4000"/>
    <s v=""/>
    <s v="GL IMPORT"/>
    <s v=""/>
    <d v="2019-12-09T00:00:00"/>
    <s v="4235 Miscellaneous Service (Other Op. Revenues)"/>
    <s v=""/>
    <s v="Reg. Service Revenue"/>
    <s v="Reg. Service Revenue"/>
    <s v="dross"/>
  </r>
  <r>
    <x v="1"/>
    <d v="2019-12-05T00:00:00"/>
    <x v="1"/>
    <x v="11"/>
    <s v="4235 Ret Var Charge Residential"/>
    <s v=""/>
    <s v="MP0000295"/>
    <n v="0"/>
    <n v="1176"/>
    <n v="-1176"/>
    <s v=""/>
    <n v="1125342"/>
    <s v=""/>
    <s v="4000"/>
    <s v=""/>
    <s v="GL IMPORT"/>
    <s v=""/>
    <d v="2019-12-09T00:00:00"/>
    <s v="4235 Miscellaneous Service (Other Op. Revenues)"/>
    <s v=""/>
    <s v="Reg. Service Revenue"/>
    <s v="Reg. Service Revenue"/>
    <s v="dross"/>
  </r>
  <r>
    <x v="1"/>
    <d v="2019-12-05T00:00:00"/>
    <x v="1"/>
    <x v="11"/>
    <s v="4235 Ret Var Charge Residential"/>
    <s v=""/>
    <s v="MP0000295"/>
    <n v="0"/>
    <n v="1961"/>
    <n v="-1961"/>
    <s v=""/>
    <n v="1125342"/>
    <s v=""/>
    <s v="4000"/>
    <s v=""/>
    <s v="GL IMPORT"/>
    <s v=""/>
    <d v="2019-12-09T00:00:00"/>
    <s v="4235 Miscellaneous Service (Other Op. Revenues)"/>
    <s v=""/>
    <s v="Reg. Service Revenue"/>
    <s v="Reg. Service Revenue"/>
    <s v="dross"/>
  </r>
  <r>
    <x v="0"/>
    <d v="2020-01-09T00:00:00"/>
    <x v="2"/>
    <x v="0"/>
    <s v="4235 Ret F/C Monthly Resident"/>
    <s v=""/>
    <s v="MP0000296"/>
    <n v="0"/>
    <n v="640"/>
    <n v="-640"/>
    <s v=""/>
    <n v="1095"/>
    <s v=""/>
    <s v="4000"/>
    <s v=""/>
    <s v="GL IMPORT"/>
    <s v=""/>
    <d v="2020-01-10T00:00:00"/>
    <s v="4235 Miscellaneous Service (Other Op. Revenues)"/>
    <s v=""/>
    <s v="Reg. Service Revenue"/>
    <s v="Reg. Service Revenue"/>
    <s v="dross"/>
  </r>
  <r>
    <x v="1"/>
    <d v="2020-01-09T00:00:00"/>
    <x v="2"/>
    <x v="0"/>
    <s v="4235 Ret Var Charge Residential"/>
    <s v=""/>
    <s v="MP0000296"/>
    <n v="0"/>
    <n v="1156.2"/>
    <n v="-1156.2"/>
    <s v=""/>
    <n v="1095"/>
    <s v=""/>
    <s v="4000"/>
    <s v=""/>
    <s v="GL IMPORT"/>
    <s v=""/>
    <d v="2020-01-10T00:00:00"/>
    <s v="4235 Miscellaneous Service (Other Op. Revenues)"/>
    <s v=""/>
    <s v="Reg. Service Revenue"/>
    <s v="Reg. Service Revenue"/>
    <s v="dross"/>
  </r>
  <r>
    <x v="1"/>
    <d v="2020-01-09T00:00:00"/>
    <x v="2"/>
    <x v="0"/>
    <s v="4235 Ret Var Charge Residential"/>
    <s v=""/>
    <s v="MP0000296"/>
    <n v="0"/>
    <n v="1931"/>
    <n v="-1931"/>
    <s v=""/>
    <n v="1095"/>
    <s v=""/>
    <s v="4000"/>
    <s v=""/>
    <s v="GL IMPORT"/>
    <s v=""/>
    <d v="2020-01-10T00:00:00"/>
    <s v="4235 Miscellaneous Service (Other Op. Revenues)"/>
    <s v=""/>
    <s v="Reg. Service Revenue"/>
    <s v="Reg. Service Revenue"/>
    <s v="dross"/>
  </r>
  <r>
    <x v="0"/>
    <d v="2020-02-10T00:00:00"/>
    <x v="2"/>
    <x v="1"/>
    <s v="4235 Ret F/C Monthly Resident"/>
    <s v=""/>
    <s v="MP0000297"/>
    <n v="0"/>
    <n v="652.79999999999995"/>
    <n v="-652.79999999999995"/>
    <s v=""/>
    <n v="1134466"/>
    <s v=""/>
    <s v="4000"/>
    <s v=""/>
    <s v="GL IMPORT"/>
    <s v=""/>
    <d v="2020-02-11T00:00:00"/>
    <s v="4235 Miscellaneous Service (Other Op. Revenues)"/>
    <s v=""/>
    <s v="Reg. Service Revenue"/>
    <s v="Reg. Service Revenue"/>
    <s v="dross"/>
  </r>
  <r>
    <x v="1"/>
    <d v="2020-02-10T00:00:00"/>
    <x v="2"/>
    <x v="1"/>
    <s v="4235 Ret Var Charge Residential"/>
    <s v=""/>
    <s v="MP0000297"/>
    <n v="0"/>
    <n v="1157.17"/>
    <n v="-1157.17"/>
    <s v=""/>
    <n v="1134466"/>
    <s v=""/>
    <s v="4000"/>
    <s v=""/>
    <s v="GL IMPORT"/>
    <s v=""/>
    <d v="2020-02-11T00:00:00"/>
    <s v="4235 Miscellaneous Service (Other Op. Revenues)"/>
    <s v=""/>
    <s v="Reg. Service Revenue"/>
    <s v="Reg. Service Revenue"/>
    <s v="dross"/>
  </r>
  <r>
    <x v="1"/>
    <d v="2020-02-10T00:00:00"/>
    <x v="2"/>
    <x v="1"/>
    <s v="4235 Ret Var Charge Residential"/>
    <s v=""/>
    <s v="MP0000297"/>
    <n v="0"/>
    <n v="1945.14"/>
    <n v="-1945.14"/>
    <s v=""/>
    <n v="1134466"/>
    <s v=""/>
    <s v="4000"/>
    <s v=""/>
    <s v="GL IMPORT"/>
    <s v=""/>
    <d v="2020-02-11T00:00:00"/>
    <s v="4235 Miscellaneous Service (Other Op. Revenues)"/>
    <s v=""/>
    <s v="Reg. Service Revenue"/>
    <s v="Reg. Service Revenue"/>
    <s v="dross"/>
  </r>
  <r>
    <x v="0"/>
    <d v="2020-03-09T00:00:00"/>
    <x v="2"/>
    <x v="2"/>
    <s v="4235 Ret F/C Monthly Resident"/>
    <s v=""/>
    <s v="MP0000298"/>
    <n v="0"/>
    <n v="734.4"/>
    <n v="-734.4"/>
    <s v=""/>
    <n v="1140323"/>
    <s v=""/>
    <s v="4000"/>
    <s v=""/>
    <s v="GL IMPORT"/>
    <s v=""/>
    <d v="2020-03-11T00:00:00"/>
    <s v="4235 Miscellaneous Service (Other Op. Revenues)"/>
    <s v=""/>
    <s v="Reg. Service Revenue"/>
    <s v="Reg. Service Revenue"/>
    <s v="dross"/>
  </r>
  <r>
    <x v="1"/>
    <d v="2020-03-09T00:00:00"/>
    <x v="2"/>
    <x v="2"/>
    <s v="4235 Ret Var Charge Residential"/>
    <s v=""/>
    <s v="MP0000298"/>
    <n v="0"/>
    <n v="1142.53"/>
    <n v="-1142.53"/>
    <s v=""/>
    <n v="1140323"/>
    <s v=""/>
    <s v="4000"/>
    <s v=""/>
    <s v="GL IMPORT"/>
    <s v=""/>
    <d v="2020-03-11T00:00:00"/>
    <s v="4235 Miscellaneous Service (Other Op. Revenues)"/>
    <s v=""/>
    <s v="Reg. Service Revenue"/>
    <s v="Reg. Service Revenue"/>
    <s v="dross"/>
  </r>
  <r>
    <x v="1"/>
    <d v="2020-03-09T00:00:00"/>
    <x v="2"/>
    <x v="2"/>
    <s v="4235 Ret Var Charge Residential"/>
    <s v=""/>
    <s v="MP0000298"/>
    <n v="0"/>
    <n v="1913.52"/>
    <n v="-1913.52"/>
    <s v=""/>
    <n v="1140323"/>
    <s v=""/>
    <s v="4000"/>
    <s v=""/>
    <s v="GL IMPORT"/>
    <s v=""/>
    <d v="2020-03-11T00:00:00"/>
    <s v="4235 Miscellaneous Service (Other Op. Revenues)"/>
    <s v=""/>
    <s v="Reg. Service Revenue"/>
    <s v="Reg. Service Revenue"/>
    <s v="dross"/>
  </r>
  <r>
    <x v="0"/>
    <d v="2020-04-14T00:00:00"/>
    <x v="2"/>
    <x v="3"/>
    <s v="4235 Ret F/C Monthly Resident"/>
    <s v=""/>
    <s v="MP0000299"/>
    <n v="0"/>
    <n v="734.4"/>
    <n v="-734.4"/>
    <s v=""/>
    <n v="1145673"/>
    <s v=""/>
    <s v="4000"/>
    <s v=""/>
    <s v="GL IMPORT"/>
    <s v=""/>
    <d v="2020-04-15T00:00:00"/>
    <s v="4235 Miscellaneous Service (Other Op. Revenues)"/>
    <s v=""/>
    <s v="Reg. Service Revenue"/>
    <s v="Reg. Service Revenue"/>
    <s v="dross"/>
  </r>
  <r>
    <x v="1"/>
    <d v="2020-04-14T00:00:00"/>
    <x v="2"/>
    <x v="3"/>
    <s v="4235 Ret Var Charge Residential"/>
    <s v=""/>
    <s v="MP0000299"/>
    <n v="0"/>
    <n v="1136.43"/>
    <n v="-1136.43"/>
    <s v=""/>
    <n v="1145673"/>
    <s v=""/>
    <s v="4000"/>
    <s v=""/>
    <s v="GL IMPORT"/>
    <s v=""/>
    <d v="2020-04-15T00:00:00"/>
    <s v="4235 Miscellaneous Service (Other Op. Revenues)"/>
    <s v=""/>
    <s v="Reg. Service Revenue"/>
    <s v="Reg. Service Revenue"/>
    <s v="dross"/>
  </r>
  <r>
    <x v="1"/>
    <d v="2020-04-14T00:00:00"/>
    <x v="2"/>
    <x v="3"/>
    <s v="4235 Ret Var Charge Residential"/>
    <s v=""/>
    <s v="MP0000299"/>
    <n v="0"/>
    <n v="1901.28"/>
    <n v="-1901.28"/>
    <s v=""/>
    <n v="1145673"/>
    <s v=""/>
    <s v="4000"/>
    <s v=""/>
    <s v="GL IMPORT"/>
    <s v=""/>
    <d v="2020-04-15T00:00:00"/>
    <s v="4235 Miscellaneous Service (Other Op. Revenues)"/>
    <s v=""/>
    <s v="Reg. Service Revenue"/>
    <s v="Reg. Service Revenue"/>
    <s v="dross"/>
  </r>
  <r>
    <x v="0"/>
    <d v="2020-05-08T00:00:00"/>
    <x v="2"/>
    <x v="4"/>
    <s v="4235 Ret F/C Monthly Resident"/>
    <s v=""/>
    <s v="MP0000300"/>
    <n v="0"/>
    <n v="734.4"/>
    <n v="-734.4"/>
    <s v=""/>
    <n v="1149950"/>
    <s v=""/>
    <s v="4000"/>
    <s v=""/>
    <s v="GL IMPORT"/>
    <s v=""/>
    <d v="2020-05-11T00:00:00"/>
    <s v="4235 Miscellaneous Service (Other Op. Revenues)"/>
    <s v=""/>
    <s v="Reg. Service Revenue"/>
    <s v="Reg. Service Revenue"/>
    <s v="dross"/>
  </r>
  <r>
    <x v="1"/>
    <d v="2020-05-08T00:00:00"/>
    <x v="2"/>
    <x v="4"/>
    <s v="4235 Ret Var Charge Residential"/>
    <s v=""/>
    <s v="MP0000300"/>
    <n v="0"/>
    <n v="1127.28"/>
    <n v="-1127.28"/>
    <s v=""/>
    <n v="1149950"/>
    <s v=""/>
    <s v="4000"/>
    <s v=""/>
    <s v="GL IMPORT"/>
    <s v=""/>
    <d v="2020-05-11T00:00:00"/>
    <s v="4235 Miscellaneous Service (Other Op. Revenues)"/>
    <s v=""/>
    <s v="Reg. Service Revenue"/>
    <s v="Reg. Service Revenue"/>
    <s v="dross"/>
  </r>
  <r>
    <x v="1"/>
    <d v="2020-05-08T00:00:00"/>
    <x v="2"/>
    <x v="4"/>
    <s v="4235 Ret Var Charge Residential"/>
    <s v=""/>
    <s v="MP0000300"/>
    <n v="0"/>
    <n v="1884.96"/>
    <n v="-1884.96"/>
    <s v=""/>
    <n v="1149950"/>
    <s v=""/>
    <s v="4000"/>
    <s v=""/>
    <s v="GL IMPORT"/>
    <s v=""/>
    <d v="2020-05-11T00:00:00"/>
    <s v="4235 Miscellaneous Service (Other Op. Revenues)"/>
    <s v=""/>
    <s v="Reg. Service Revenue"/>
    <s v="Reg. Service Revenue"/>
    <s v="dross"/>
  </r>
  <r>
    <x v="0"/>
    <d v="2020-06-08T00:00:00"/>
    <x v="2"/>
    <x v="5"/>
    <s v="4235 Ret F/C Monthly Resident"/>
    <s v=""/>
    <s v="MP0000301"/>
    <n v="0"/>
    <n v="734.4"/>
    <n v="-734.4"/>
    <s v=""/>
    <n v="1154864"/>
    <s v=""/>
    <s v="4000"/>
    <s v=""/>
    <s v="GL IMPORT"/>
    <s v=""/>
    <d v="2020-06-09T00:00:00"/>
    <s v="4235 Miscellaneous Service (Other Op. Revenues)"/>
    <s v=""/>
    <s v="Reg. Service Revenue"/>
    <s v="Reg. Service Revenue"/>
    <s v="dross"/>
  </r>
  <r>
    <x v="1"/>
    <d v="2020-06-08T00:00:00"/>
    <x v="2"/>
    <x v="5"/>
    <s v="4235 Ret Var Charge Residential"/>
    <s v=""/>
    <s v="MP0000301"/>
    <n v="0"/>
    <n v="1102.27"/>
    <n v="-1102.27"/>
    <s v=""/>
    <n v="1154864"/>
    <s v=""/>
    <s v="4000"/>
    <s v=""/>
    <s v="GL IMPORT"/>
    <s v=""/>
    <d v="2020-06-09T00:00:00"/>
    <s v="4235 Miscellaneous Service (Other Op. Revenues)"/>
    <s v=""/>
    <s v="Reg. Service Revenue"/>
    <s v="Reg. Service Revenue"/>
    <s v="dross"/>
  </r>
  <r>
    <x v="1"/>
    <d v="2020-06-08T00:00:00"/>
    <x v="2"/>
    <x v="5"/>
    <s v="4235 Ret Var Charge Residential"/>
    <s v=""/>
    <s v="MP0000301"/>
    <n v="0"/>
    <n v="1845.18"/>
    <n v="-1845.18"/>
    <s v=""/>
    <n v="1154864"/>
    <s v=""/>
    <s v="4000"/>
    <s v=""/>
    <s v="GL IMPORT"/>
    <s v=""/>
    <d v="2020-06-09T00:00:00"/>
    <s v="4235 Miscellaneous Service (Other Op. Revenues)"/>
    <s v=""/>
    <s v="Reg. Service Revenue"/>
    <s v="Reg. Service Revenue"/>
    <s v="dross"/>
  </r>
  <r>
    <x v="0"/>
    <d v="2020-07-09T00:00:00"/>
    <x v="2"/>
    <x v="6"/>
    <s v="4235 Ret F/C Monthly Resident"/>
    <s v=""/>
    <s v="MP0000302"/>
    <n v="0"/>
    <n v="734.4"/>
    <n v="-734.4"/>
    <s v=""/>
    <n v="1160543"/>
    <s v=""/>
    <s v="4000"/>
    <s v=""/>
    <s v="GL IMPORT"/>
    <s v=""/>
    <d v="2020-07-10T00:00:00"/>
    <s v="4235 Miscellaneous Service (Other Op. Revenues)"/>
    <s v=""/>
    <s v="Reg. Service Revenue"/>
    <s v="Reg. Service Revenue"/>
    <s v="dross"/>
  </r>
  <r>
    <x v="1"/>
    <d v="2020-07-09T00:00:00"/>
    <x v="2"/>
    <x v="6"/>
    <s v="4235 Ret Var Charge Residential"/>
    <s v=""/>
    <s v="MP0000302"/>
    <n v="0"/>
    <n v="1083.97"/>
    <n v="-1083.97"/>
    <s v=""/>
    <n v="1160543"/>
    <s v=""/>
    <s v="4000"/>
    <s v=""/>
    <s v="GL IMPORT"/>
    <s v=""/>
    <d v="2020-07-10T00:00:00"/>
    <s v="4235 Miscellaneous Service (Other Op. Revenues)"/>
    <s v=""/>
    <s v="Reg. Service Revenue"/>
    <s v="Reg. Service Revenue"/>
    <s v="dross"/>
  </r>
  <r>
    <x v="1"/>
    <d v="2020-07-09T00:00:00"/>
    <x v="2"/>
    <x v="6"/>
    <s v="4235 Ret Var Charge Residential"/>
    <s v=""/>
    <s v="MP0000302"/>
    <n v="0"/>
    <n v="1812.54"/>
    <n v="-1812.54"/>
    <s v=""/>
    <n v="1160543"/>
    <s v=""/>
    <s v="4000"/>
    <s v=""/>
    <s v="GL IMPORT"/>
    <s v=""/>
    <d v="2020-07-10T00:00:00"/>
    <s v="4235 Miscellaneous Service (Other Op. Revenues)"/>
    <s v=""/>
    <s v="Reg. Service Revenue"/>
    <s v="Reg. Service Revenue"/>
    <s v="dross"/>
  </r>
  <r>
    <x v="0"/>
    <d v="2020-08-12T00:00:00"/>
    <x v="2"/>
    <x v="7"/>
    <s v="4235 Ret F/C Monthly Resident"/>
    <s v=""/>
    <s v="MP0000303"/>
    <n v="0"/>
    <n v="734.4"/>
    <n v="-734.4"/>
    <s v=""/>
    <n v="1165153"/>
    <s v=""/>
    <s v="4000"/>
    <s v=""/>
    <s v="GL IMPORT"/>
    <s v=""/>
    <d v="2020-08-13T00:00:00"/>
    <s v="4235 Miscellaneous Service (Other Op. Revenues)"/>
    <s v=""/>
    <s v="Reg. Service Revenue"/>
    <s v="Reg. Service Revenue"/>
    <s v="dross"/>
  </r>
  <r>
    <x v="1"/>
    <d v="2020-08-12T00:00:00"/>
    <x v="2"/>
    <x v="7"/>
    <s v="4235 Ret Var Charge Residential"/>
    <s v=""/>
    <s v="MP0000303"/>
    <n v="0"/>
    <n v="1041.27"/>
    <n v="-1041.27"/>
    <s v=""/>
    <n v="1165153"/>
    <s v=""/>
    <s v="4000"/>
    <s v=""/>
    <s v="GL IMPORT"/>
    <s v=""/>
    <d v="2020-08-13T00:00:00"/>
    <s v="4235 Miscellaneous Service (Other Op. Revenues)"/>
    <s v=""/>
    <s v="Reg. Service Revenue"/>
    <s v="Reg. Service Revenue"/>
    <s v="dross"/>
  </r>
  <r>
    <x v="1"/>
    <d v="2020-08-12T00:00:00"/>
    <x v="2"/>
    <x v="7"/>
    <s v="4235 Ret Var Charge Residential"/>
    <s v=""/>
    <s v="MP0000303"/>
    <n v="0"/>
    <n v="1747.26"/>
    <n v="-1747.26"/>
    <s v=""/>
    <n v="1165153"/>
    <s v=""/>
    <s v="4000"/>
    <s v=""/>
    <s v="GL IMPORT"/>
    <s v=""/>
    <d v="2020-08-13T00:00:00"/>
    <s v="4235 Miscellaneous Service (Other Op. Revenues)"/>
    <s v=""/>
    <s v="Reg. Service Revenue"/>
    <s v="Reg. Service Revenue"/>
    <s v="dross"/>
  </r>
  <r>
    <x v="0"/>
    <d v="2020-09-08T00:00:00"/>
    <x v="2"/>
    <x v="8"/>
    <s v="4235 Ret F/C Monthly Resident"/>
    <s v=""/>
    <s v="MP0000304"/>
    <n v="0"/>
    <n v="734.4"/>
    <n v="-734.4"/>
    <s v=""/>
    <n v="1168978"/>
    <s v=""/>
    <s v="4000"/>
    <s v=""/>
    <s v="GL IMPORT"/>
    <s v=""/>
    <d v="2020-09-10T00:00:00"/>
    <s v="4235 Miscellaneous Service (Other Op. Revenues)"/>
    <s v=""/>
    <s v="Reg. Service Revenue"/>
    <s v="Reg. Service Revenue"/>
    <s v="dross"/>
  </r>
  <r>
    <x v="1"/>
    <d v="2020-09-08T00:00:00"/>
    <x v="2"/>
    <x v="8"/>
    <s v="4235 Ret Var Charge Residential"/>
    <s v=""/>
    <s v="MP0000304"/>
    <n v="0"/>
    <n v="1012.6"/>
    <n v="-1012.6"/>
    <s v=""/>
    <n v="1168978"/>
    <s v=""/>
    <s v="4000"/>
    <s v=""/>
    <s v="GL IMPORT"/>
    <s v=""/>
    <d v="2020-09-10T00:00:00"/>
    <s v="4235 Miscellaneous Service (Other Op. Revenues)"/>
    <s v=""/>
    <s v="Reg. Service Revenue"/>
    <s v="Reg. Service Revenue"/>
    <s v="dross"/>
  </r>
  <r>
    <x v="1"/>
    <d v="2020-09-08T00:00:00"/>
    <x v="2"/>
    <x v="8"/>
    <s v="4235 Ret Var Charge Residential"/>
    <s v=""/>
    <s v="MP0000304"/>
    <n v="0"/>
    <n v="1696.26"/>
    <n v="-1696.26"/>
    <s v=""/>
    <n v="1168978"/>
    <s v=""/>
    <s v="4000"/>
    <s v=""/>
    <s v="GL IMPORT"/>
    <s v=""/>
    <d v="2020-09-10T00:00:00"/>
    <s v="4235 Miscellaneous Service (Other Op. Revenues)"/>
    <s v=""/>
    <s v="Reg. Service Revenue"/>
    <s v="Reg. Service Revenue"/>
    <s v="dros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compact="0" compactData="0" multipleFieldFilters="0">
  <location ref="A3:C40" firstHeaderRow="1" firstDataRow="1" firstDataCol="2" rowPageCount="1" colPageCount="1"/>
  <pivotFields count="23">
    <pivotField axis="axisPage" compact="0" outline="0" showAll="0">
      <items count="3">
        <item x="0"/>
        <item x="1"/>
        <item t="default"/>
      </items>
    </pivotField>
    <pivotField compact="0" numFmtId="14" outline="0" showAll="0"/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dataField="1" compact="0" numFmtId="43" outline="0" showAll="0"/>
    <pivotField compact="0" outline="0" showAll="0"/>
    <pivotField compact="0" numFmtId="1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3"/>
  </rowFields>
  <rowItems count="3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t="default">
      <x v="2"/>
    </i>
    <i t="grand">
      <x/>
    </i>
  </rowItems>
  <colItems count="1">
    <i/>
  </colItems>
  <pageFields count="1">
    <pageField fld="0" hier="-1"/>
  </pageFields>
  <dataFields count="1">
    <dataField name="Sum of Net" fld="9" baseField="0" baseItem="0" numFmtId="177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4"/>
  <sheetViews>
    <sheetView tabSelected="1" zoomScale="85" zoomScaleNormal="85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B29" sqref="B29"/>
    </sheetView>
  </sheetViews>
  <sheetFormatPr defaultRowHeight="15" x14ac:dyDescent="0.25"/>
  <cols>
    <col min="1" max="1" width="16.5703125" customWidth="1"/>
    <col min="2" max="2" width="69" bestFit="1" customWidth="1"/>
    <col min="29" max="29" width="10.5703125" bestFit="1" customWidth="1"/>
  </cols>
  <sheetData>
    <row r="1" spans="1:29" ht="23.25" x14ac:dyDescent="0.35">
      <c r="A1" s="15" t="s">
        <v>31</v>
      </c>
      <c r="B1" s="16"/>
    </row>
    <row r="2" spans="1:29" ht="23.25" x14ac:dyDescent="0.35"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 t="s">
        <v>2</v>
      </c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9" t="s">
        <v>56</v>
      </c>
    </row>
    <row r="3" spans="1:29" x14ac:dyDescent="0.25">
      <c r="C3" s="20" t="s">
        <v>35</v>
      </c>
      <c r="D3" s="20" t="s">
        <v>36</v>
      </c>
      <c r="E3" s="20" t="s">
        <v>37</v>
      </c>
      <c r="F3" s="20" t="s">
        <v>38</v>
      </c>
      <c r="G3" s="20" t="s">
        <v>39</v>
      </c>
      <c r="H3" s="20" t="s">
        <v>40</v>
      </c>
      <c r="I3" s="20" t="s">
        <v>41</v>
      </c>
      <c r="J3" s="20" t="s">
        <v>42</v>
      </c>
      <c r="K3" s="20" t="s">
        <v>43</v>
      </c>
      <c r="L3" s="20" t="s">
        <v>44</v>
      </c>
      <c r="M3" s="20" t="s">
        <v>45</v>
      </c>
      <c r="N3" s="20" t="s">
        <v>46</v>
      </c>
      <c r="O3" s="21" t="s">
        <v>47</v>
      </c>
      <c r="Q3" s="20" t="s">
        <v>57</v>
      </c>
      <c r="R3" s="20" t="s">
        <v>58</v>
      </c>
      <c r="S3" s="20" t="s">
        <v>59</v>
      </c>
      <c r="T3" s="20" t="s">
        <v>60</v>
      </c>
      <c r="U3" s="20" t="s">
        <v>61</v>
      </c>
      <c r="V3" s="20" t="s">
        <v>62</v>
      </c>
      <c r="W3" s="20" t="s">
        <v>63</v>
      </c>
      <c r="X3" s="20" t="s">
        <v>64</v>
      </c>
      <c r="Y3" s="20" t="s">
        <v>65</v>
      </c>
      <c r="Z3" s="20" t="s">
        <v>66</v>
      </c>
      <c r="AA3" s="20" t="s">
        <v>67</v>
      </c>
      <c r="AB3" s="20" t="s">
        <v>68</v>
      </c>
      <c r="AC3" s="21" t="s">
        <v>47</v>
      </c>
    </row>
    <row r="4" spans="1:29" x14ac:dyDescent="0.25">
      <c r="A4" s="50" t="s">
        <v>79</v>
      </c>
    </row>
    <row r="5" spans="1:29" x14ac:dyDescent="0.25">
      <c r="B5" s="29" t="s">
        <v>54</v>
      </c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</row>
    <row r="6" spans="1:29" x14ac:dyDescent="0.25">
      <c r="B6" s="17" t="s">
        <v>121</v>
      </c>
      <c r="C6" s="30">
        <v>-2167.3000000000002</v>
      </c>
      <c r="D6" s="30">
        <v>-2135</v>
      </c>
      <c r="E6" s="30">
        <v>-2109.5</v>
      </c>
      <c r="F6" s="30">
        <v>-2098.4499999999998</v>
      </c>
      <c r="G6" s="30">
        <v>-2114.8000000000002</v>
      </c>
      <c r="H6" s="30">
        <v>-4094.8</v>
      </c>
      <c r="I6" s="30">
        <v>-4041.8</v>
      </c>
      <c r="J6" s="30">
        <v>-3993</v>
      </c>
      <c r="K6" s="30">
        <v>-3946.2</v>
      </c>
      <c r="L6" s="30">
        <v>-3911.4</v>
      </c>
      <c r="M6" s="30">
        <v>-3849</v>
      </c>
      <c r="N6" s="30">
        <v>-3817</v>
      </c>
      <c r="O6" s="30">
        <f>SUM(C6:N6)</f>
        <v>-38278.25</v>
      </c>
      <c r="Q6" s="30">
        <v>-3727.2</v>
      </c>
      <c r="R6" s="30">
        <v>-3755.11</v>
      </c>
      <c r="S6" s="30">
        <v>-3790.45</v>
      </c>
      <c r="T6" s="30">
        <v>-3772.1099999999997</v>
      </c>
      <c r="U6" s="30">
        <v>-3746.64</v>
      </c>
      <c r="V6" s="30">
        <v>-3681.8500000000004</v>
      </c>
      <c r="W6" s="30">
        <v>-3630.91</v>
      </c>
      <c r="X6" s="30">
        <v>-3522.9300000000003</v>
      </c>
      <c r="Y6" s="30">
        <v>-3443.26</v>
      </c>
      <c r="Z6" s="30"/>
      <c r="AA6" s="30"/>
      <c r="AB6" s="30"/>
      <c r="AC6" s="30">
        <f>SUM(Q6:AB6)</f>
        <v>-33070.46</v>
      </c>
    </row>
    <row r="7" spans="1:29" x14ac:dyDescent="0.25">
      <c r="B7" s="17" t="s">
        <v>123</v>
      </c>
      <c r="C7" s="30">
        <f>C6</f>
        <v>-2167.3000000000002</v>
      </c>
      <c r="D7" s="30">
        <f t="shared" ref="D7:G7" si="0">D6</f>
        <v>-2135</v>
      </c>
      <c r="E7" s="30">
        <f t="shared" si="0"/>
        <v>-2109.5</v>
      </c>
      <c r="F7" s="30">
        <f t="shared" si="0"/>
        <v>-2098.4499999999998</v>
      </c>
      <c r="G7" s="30">
        <f t="shared" si="0"/>
        <v>-2114.8000000000002</v>
      </c>
      <c r="H7" s="30">
        <v>-2125</v>
      </c>
      <c r="I7" s="30">
        <v>-2125</v>
      </c>
      <c r="J7" s="30">
        <v>-2125</v>
      </c>
      <c r="K7" s="30">
        <v>-2125</v>
      </c>
      <c r="L7" s="30">
        <v>-2125</v>
      </c>
      <c r="M7" s="30">
        <v>-2125</v>
      </c>
      <c r="N7" s="30">
        <v>-2125</v>
      </c>
      <c r="O7" s="30">
        <f>SUM(C7:N7)</f>
        <v>-25500.05</v>
      </c>
      <c r="Q7" s="30">
        <v>-2125</v>
      </c>
      <c r="R7" s="30">
        <v>-2125</v>
      </c>
      <c r="S7" s="30">
        <v>-2125</v>
      </c>
      <c r="T7" s="30">
        <v>-2125</v>
      </c>
      <c r="U7" s="30">
        <v>-2125</v>
      </c>
      <c r="V7" s="30">
        <v>-2125</v>
      </c>
      <c r="W7" s="30">
        <v>-2125</v>
      </c>
      <c r="X7" s="30">
        <v>-2125</v>
      </c>
      <c r="Y7" s="30">
        <v>-2125</v>
      </c>
      <c r="Z7" s="30"/>
      <c r="AA7" s="30"/>
      <c r="AB7" s="30"/>
      <c r="AC7" s="30">
        <f>SUM(Q7:AB7)</f>
        <v>-19125</v>
      </c>
    </row>
    <row r="8" spans="1:29" x14ac:dyDescent="0.25">
      <c r="B8" s="53" t="s">
        <v>122</v>
      </c>
      <c r="C8" s="42">
        <f>C6-C7</f>
        <v>0</v>
      </c>
      <c r="D8" s="42">
        <f t="shared" ref="D8:N8" si="1">D6-D7</f>
        <v>0</v>
      </c>
      <c r="E8" s="42">
        <f t="shared" si="1"/>
        <v>0</v>
      </c>
      <c r="F8" s="42">
        <f t="shared" si="1"/>
        <v>0</v>
      </c>
      <c r="G8" s="42">
        <f t="shared" si="1"/>
        <v>0</v>
      </c>
      <c r="H8" s="42">
        <f t="shared" si="1"/>
        <v>-1969.8000000000002</v>
      </c>
      <c r="I8" s="42">
        <f t="shared" si="1"/>
        <v>-1916.8000000000002</v>
      </c>
      <c r="J8" s="42">
        <f t="shared" si="1"/>
        <v>-1868</v>
      </c>
      <c r="K8" s="42">
        <f t="shared" si="1"/>
        <v>-1821.1999999999998</v>
      </c>
      <c r="L8" s="42">
        <f t="shared" si="1"/>
        <v>-1786.4</v>
      </c>
      <c r="M8" s="42">
        <f t="shared" si="1"/>
        <v>-1724</v>
      </c>
      <c r="N8" s="42">
        <f t="shared" si="1"/>
        <v>-1692</v>
      </c>
      <c r="O8" s="31">
        <f>SUM(C8:N8)</f>
        <v>-12778.2</v>
      </c>
      <c r="Q8" s="42">
        <f>Q6-Q7</f>
        <v>-1602.1999999999998</v>
      </c>
      <c r="R8" s="42">
        <f t="shared" ref="R8" si="2">R6-R7</f>
        <v>-1630.1100000000001</v>
      </c>
      <c r="S8" s="42">
        <f t="shared" ref="S8" si="3">S6-S7</f>
        <v>-1665.4499999999998</v>
      </c>
      <c r="T8" s="42">
        <f t="shared" ref="T8" si="4">T6-T7</f>
        <v>-1647.1099999999997</v>
      </c>
      <c r="U8" s="42">
        <f t="shared" ref="U8" si="5">U6-U7</f>
        <v>-1621.6399999999999</v>
      </c>
      <c r="V8" s="42">
        <f t="shared" ref="V8" si="6">V6-V7</f>
        <v>-1556.8500000000004</v>
      </c>
      <c r="W8" s="42">
        <f t="shared" ref="W8" si="7">W6-W7</f>
        <v>-1505.9099999999999</v>
      </c>
      <c r="X8" s="42">
        <f t="shared" ref="X8" si="8">X6-X7</f>
        <v>-1397.9300000000003</v>
      </c>
      <c r="Y8" s="42">
        <f t="shared" ref="Y8" si="9">Y6-Y7</f>
        <v>-1318.2600000000002</v>
      </c>
      <c r="Z8" s="42">
        <f t="shared" ref="Z8" si="10">Z6-Z7</f>
        <v>0</v>
      </c>
      <c r="AA8" s="42">
        <f t="shared" ref="AA8" si="11">AA6-AA7</f>
        <v>0</v>
      </c>
      <c r="AB8" s="42">
        <f t="shared" ref="AB8" si="12">AB6-AB7</f>
        <v>0</v>
      </c>
      <c r="AC8" s="31">
        <f>SUM(Q8:AB8)</f>
        <v>-13945.460000000001</v>
      </c>
    </row>
    <row r="9" spans="1:29" x14ac:dyDescent="0.25">
      <c r="B9" s="17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29" x14ac:dyDescent="0.25">
      <c r="B10" s="17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29" x14ac:dyDescent="0.25">
      <c r="B11" s="17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29" x14ac:dyDescent="0.25">
      <c r="B12" s="17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29" x14ac:dyDescent="0.25">
      <c r="B13" s="17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29" x14ac:dyDescent="0.25">
      <c r="B14" s="17" t="s">
        <v>32</v>
      </c>
      <c r="C14" s="30">
        <v>0</v>
      </c>
      <c r="D14" s="14">
        <f t="shared" ref="D14:H14" si="13">C16</f>
        <v>0</v>
      </c>
      <c r="E14" s="14">
        <f t="shared" si="13"/>
        <v>0</v>
      </c>
      <c r="F14" s="14">
        <f t="shared" si="13"/>
        <v>0</v>
      </c>
      <c r="G14" s="14">
        <f t="shared" si="13"/>
        <v>0</v>
      </c>
      <c r="H14" s="14">
        <f t="shared" si="13"/>
        <v>0</v>
      </c>
      <c r="I14" s="14">
        <f>H16</f>
        <v>-1969.8000000000002</v>
      </c>
      <c r="J14" s="14">
        <f>I16</f>
        <v>-3886.6000000000004</v>
      </c>
      <c r="K14" s="14">
        <f t="shared" ref="K14:N14" si="14">J16</f>
        <v>-5754.6</v>
      </c>
      <c r="L14" s="14">
        <f t="shared" si="14"/>
        <v>-7575.8</v>
      </c>
      <c r="M14" s="14">
        <f t="shared" si="14"/>
        <v>-9362.2000000000007</v>
      </c>
      <c r="N14" s="14">
        <f t="shared" si="14"/>
        <v>-11086.2</v>
      </c>
      <c r="O14" s="30"/>
      <c r="Q14" s="14">
        <f>N16</f>
        <v>-12778.2</v>
      </c>
      <c r="R14" s="14">
        <f>Q16</f>
        <v>-14380.400000000001</v>
      </c>
      <c r="S14" s="14">
        <f t="shared" ref="S14:AB14" si="15">R16</f>
        <v>-16010.510000000002</v>
      </c>
      <c r="T14" s="14">
        <f t="shared" si="15"/>
        <v>-17675.960000000003</v>
      </c>
      <c r="U14" s="14">
        <f t="shared" si="15"/>
        <v>-19323.070000000003</v>
      </c>
      <c r="V14" s="14">
        <f t="shared" si="15"/>
        <v>-20944.710000000003</v>
      </c>
      <c r="W14" s="14">
        <f t="shared" si="15"/>
        <v>-22501.560000000005</v>
      </c>
      <c r="X14" s="14">
        <f t="shared" si="15"/>
        <v>-24007.470000000005</v>
      </c>
      <c r="Y14" s="14">
        <f t="shared" si="15"/>
        <v>-25405.400000000005</v>
      </c>
      <c r="Z14" s="14">
        <f t="shared" si="15"/>
        <v>-26723.660000000003</v>
      </c>
      <c r="AA14" s="14">
        <f t="shared" si="15"/>
        <v>-26723.660000000003</v>
      </c>
      <c r="AB14" s="14">
        <f t="shared" si="15"/>
        <v>-26723.660000000003</v>
      </c>
    </row>
    <row r="15" spans="1:29" x14ac:dyDescent="0.25">
      <c r="B15" s="17" t="s">
        <v>55</v>
      </c>
      <c r="C15" s="30">
        <f>C8</f>
        <v>0</v>
      </c>
      <c r="D15" s="30">
        <f t="shared" ref="D15:N15" si="16">D8</f>
        <v>0</v>
      </c>
      <c r="E15" s="30">
        <f t="shared" si="16"/>
        <v>0</v>
      </c>
      <c r="F15" s="30">
        <f t="shared" si="16"/>
        <v>0</v>
      </c>
      <c r="G15" s="30">
        <f t="shared" si="16"/>
        <v>0</v>
      </c>
      <c r="H15" s="30">
        <f t="shared" si="16"/>
        <v>-1969.8000000000002</v>
      </c>
      <c r="I15" s="30">
        <f t="shared" si="16"/>
        <v>-1916.8000000000002</v>
      </c>
      <c r="J15" s="30">
        <f t="shared" si="16"/>
        <v>-1868</v>
      </c>
      <c r="K15" s="30">
        <f t="shared" si="16"/>
        <v>-1821.1999999999998</v>
      </c>
      <c r="L15" s="30">
        <f t="shared" si="16"/>
        <v>-1786.4</v>
      </c>
      <c r="M15" s="30">
        <f t="shared" si="16"/>
        <v>-1724</v>
      </c>
      <c r="N15" s="30">
        <f t="shared" si="16"/>
        <v>-1692</v>
      </c>
      <c r="O15" s="30"/>
      <c r="Q15" s="14">
        <f>Q8</f>
        <v>-1602.1999999999998</v>
      </c>
      <c r="R15" s="14">
        <f t="shared" ref="R15:AB15" si="17">R8</f>
        <v>-1630.1100000000001</v>
      </c>
      <c r="S15" s="14">
        <f t="shared" si="17"/>
        <v>-1665.4499999999998</v>
      </c>
      <c r="T15" s="14">
        <f t="shared" si="17"/>
        <v>-1647.1099999999997</v>
      </c>
      <c r="U15" s="14">
        <f t="shared" si="17"/>
        <v>-1621.6399999999999</v>
      </c>
      <c r="V15" s="14">
        <f t="shared" si="17"/>
        <v>-1556.8500000000004</v>
      </c>
      <c r="W15" s="14">
        <f t="shared" si="17"/>
        <v>-1505.9099999999999</v>
      </c>
      <c r="X15" s="14">
        <f t="shared" si="17"/>
        <v>-1397.9300000000003</v>
      </c>
      <c r="Y15" s="14">
        <f t="shared" si="17"/>
        <v>-1318.2600000000002</v>
      </c>
      <c r="Z15" s="14">
        <f t="shared" si="17"/>
        <v>0</v>
      </c>
      <c r="AA15" s="14">
        <f t="shared" si="17"/>
        <v>0</v>
      </c>
      <c r="AB15" s="14">
        <f t="shared" si="17"/>
        <v>0</v>
      </c>
    </row>
    <row r="16" spans="1:29" s="32" customFormat="1" x14ac:dyDescent="0.25">
      <c r="B16" s="29" t="s">
        <v>33</v>
      </c>
      <c r="C16" s="33">
        <f t="shared" ref="C16:G16" si="18">C14+C15</f>
        <v>0</v>
      </c>
      <c r="D16" s="33">
        <f t="shared" si="18"/>
        <v>0</v>
      </c>
      <c r="E16" s="33">
        <f t="shared" si="18"/>
        <v>0</v>
      </c>
      <c r="F16" s="33">
        <f t="shared" si="18"/>
        <v>0</v>
      </c>
      <c r="G16" s="33">
        <f t="shared" si="18"/>
        <v>0</v>
      </c>
      <c r="H16" s="33">
        <f>H14+H15</f>
        <v>-1969.8000000000002</v>
      </c>
      <c r="I16" s="33">
        <f>I14+I15</f>
        <v>-3886.6000000000004</v>
      </c>
      <c r="J16" s="33">
        <f t="shared" ref="J16:N16" si="19">J14+J15</f>
        <v>-5754.6</v>
      </c>
      <c r="K16" s="33">
        <f t="shared" si="19"/>
        <v>-7575.8</v>
      </c>
      <c r="L16" s="33">
        <f t="shared" si="19"/>
        <v>-9362.2000000000007</v>
      </c>
      <c r="M16" s="33">
        <f t="shared" si="19"/>
        <v>-11086.2</v>
      </c>
      <c r="N16" s="33">
        <f t="shared" si="19"/>
        <v>-12778.2</v>
      </c>
      <c r="O16" s="33">
        <f>N16</f>
        <v>-12778.2</v>
      </c>
      <c r="Q16" s="33">
        <f t="shared" ref="Q16" si="20">Q14+Q15</f>
        <v>-14380.400000000001</v>
      </c>
      <c r="R16" s="33">
        <f>R14+R15</f>
        <v>-16010.510000000002</v>
      </c>
      <c r="S16" s="33">
        <f t="shared" ref="S16" si="21">S14+S15</f>
        <v>-17675.960000000003</v>
      </c>
      <c r="T16" s="33">
        <f t="shared" ref="T16" si="22">T14+T15</f>
        <v>-19323.070000000003</v>
      </c>
      <c r="U16" s="33">
        <f t="shared" ref="U16" si="23">U14+U15</f>
        <v>-20944.710000000003</v>
      </c>
      <c r="V16" s="33">
        <f t="shared" ref="V16" si="24">V14+V15</f>
        <v>-22501.560000000005</v>
      </c>
      <c r="W16" s="33">
        <f t="shared" ref="W16" si="25">W14+W15</f>
        <v>-24007.470000000005</v>
      </c>
      <c r="X16" s="33">
        <f t="shared" ref="X16" si="26">X14+X15</f>
        <v>-25405.400000000005</v>
      </c>
      <c r="Y16" s="33">
        <f t="shared" ref="Y16" si="27">Y14+Y15</f>
        <v>-26723.660000000003</v>
      </c>
      <c r="Z16" s="33">
        <f t="shared" ref="Z16" si="28">Z14+Z15</f>
        <v>-26723.660000000003</v>
      </c>
      <c r="AA16" s="33">
        <f t="shared" ref="AA16" si="29">AA14+AA15</f>
        <v>-26723.660000000003</v>
      </c>
      <c r="AB16" s="33">
        <f>AB14+AB15</f>
        <v>-26723.660000000003</v>
      </c>
      <c r="AC16" s="37">
        <f>AB16</f>
        <v>-26723.660000000003</v>
      </c>
    </row>
    <row r="17" spans="2:29" x14ac:dyDescent="0.25">
      <c r="B17" s="17"/>
    </row>
    <row r="18" spans="2:29" x14ac:dyDescent="0.25">
      <c r="B18" s="29" t="s">
        <v>34</v>
      </c>
      <c r="C18" s="23" t="s">
        <v>48</v>
      </c>
      <c r="D18" s="28"/>
      <c r="E18" s="28"/>
      <c r="F18" s="24" t="s">
        <v>49</v>
      </c>
      <c r="G18" s="25"/>
      <c r="H18" s="25"/>
      <c r="I18" s="24" t="s">
        <v>50</v>
      </c>
      <c r="J18" s="25"/>
      <c r="K18" s="22"/>
      <c r="L18" s="24" t="s">
        <v>51</v>
      </c>
      <c r="M18" s="22"/>
      <c r="N18" s="22"/>
      <c r="Q18" s="38" t="s">
        <v>48</v>
      </c>
      <c r="R18" s="14"/>
      <c r="S18" s="14"/>
      <c r="T18" s="38" t="s">
        <v>49</v>
      </c>
      <c r="U18" s="39"/>
      <c r="V18" s="39"/>
      <c r="W18" s="38" t="s">
        <v>50</v>
      </c>
      <c r="X18" s="39"/>
      <c r="Y18" s="14"/>
      <c r="Z18" s="38" t="s">
        <v>51</v>
      </c>
      <c r="AA18" s="14"/>
      <c r="AB18" s="14"/>
    </row>
    <row r="19" spans="2:29" x14ac:dyDescent="0.25">
      <c r="B19" t="s">
        <v>52</v>
      </c>
      <c r="C19" s="26">
        <v>2.4500000000000001E-2</v>
      </c>
      <c r="D19" s="26">
        <v>2.4500000000000001E-2</v>
      </c>
      <c r="E19" s="26">
        <v>2.4500000000000001E-2</v>
      </c>
      <c r="F19" s="26">
        <v>2.18E-2</v>
      </c>
      <c r="G19" s="26">
        <v>2.18E-2</v>
      </c>
      <c r="H19" s="26">
        <v>2.18E-2</v>
      </c>
      <c r="I19" s="26">
        <v>2.18E-2</v>
      </c>
      <c r="J19" s="26">
        <v>2.18E-2</v>
      </c>
      <c r="K19" s="26">
        <v>2.18E-2</v>
      </c>
      <c r="L19" s="26">
        <v>2.18E-2</v>
      </c>
      <c r="M19" s="26">
        <v>2.18E-2</v>
      </c>
      <c r="N19" s="26">
        <v>2.18E-2</v>
      </c>
      <c r="Q19" s="40">
        <v>2.18E-2</v>
      </c>
      <c r="R19" s="40">
        <v>2.18E-2</v>
      </c>
      <c r="S19" s="40">
        <v>2.18E-2</v>
      </c>
      <c r="T19" s="40">
        <v>2.18E-2</v>
      </c>
      <c r="U19" s="40">
        <v>2.18E-2</v>
      </c>
      <c r="V19" s="40">
        <v>2.18E-2</v>
      </c>
      <c r="W19" s="40">
        <v>5.7000000000000002E-3</v>
      </c>
      <c r="X19" s="40">
        <v>5.7000000000000002E-3</v>
      </c>
      <c r="Y19" s="40">
        <v>5.7000000000000002E-3</v>
      </c>
      <c r="Z19" s="40">
        <v>5.7000000000000002E-3</v>
      </c>
      <c r="AA19" s="40">
        <v>5.7000000000000002E-3</v>
      </c>
      <c r="AB19" s="40">
        <v>5.7000000000000002E-3</v>
      </c>
    </row>
    <row r="20" spans="2:29" x14ac:dyDescent="0.25">
      <c r="B20" t="s">
        <v>53</v>
      </c>
      <c r="C20" s="27">
        <v>2.0416666666666669E-3</v>
      </c>
      <c r="D20" s="27">
        <v>2.0416666666666669E-3</v>
      </c>
      <c r="E20" s="27">
        <v>2.0416666666666669E-3</v>
      </c>
      <c r="F20" s="27">
        <v>1.8166666666666667E-3</v>
      </c>
      <c r="G20" s="27">
        <v>1.8166666666666667E-3</v>
      </c>
      <c r="H20" s="27">
        <v>1.8166666666666667E-3</v>
      </c>
      <c r="I20" s="27">
        <v>1.8166666666666667E-3</v>
      </c>
      <c r="J20" s="27">
        <v>1.8166666666666667E-3</v>
      </c>
      <c r="K20" s="27">
        <v>1.8166666666666667E-3</v>
      </c>
      <c r="L20" s="27">
        <v>1.8166666666666667E-3</v>
      </c>
      <c r="M20" s="27">
        <v>1.8166666666666667E-3</v>
      </c>
      <c r="N20" s="27">
        <v>1.8166666666666667E-3</v>
      </c>
      <c r="Q20" s="40">
        <v>1.8166666666666667E-3</v>
      </c>
      <c r="R20" s="40">
        <v>1.8166666666666667E-3</v>
      </c>
      <c r="S20" s="40">
        <v>1.8166666666666667E-3</v>
      </c>
      <c r="T20" s="40">
        <v>1.8166666666666667E-3</v>
      </c>
      <c r="U20" s="40">
        <v>1.8166666666666667E-3</v>
      </c>
      <c r="V20" s="40">
        <v>1.8166666666666667E-3</v>
      </c>
      <c r="W20" s="40">
        <v>4.75E-4</v>
      </c>
      <c r="X20" s="40">
        <v>4.75E-4</v>
      </c>
      <c r="Y20" s="40">
        <v>4.75E-4</v>
      </c>
      <c r="Z20" s="40">
        <v>4.75E-4</v>
      </c>
      <c r="AA20" s="40">
        <v>4.75E-4</v>
      </c>
      <c r="AB20" s="40">
        <v>4.75E-4</v>
      </c>
    </row>
    <row r="22" spans="2:29" x14ac:dyDescent="0.25">
      <c r="B22" t="s">
        <v>69</v>
      </c>
      <c r="C22" s="30">
        <v>0</v>
      </c>
      <c r="D22" s="30">
        <f>C24</f>
        <v>0</v>
      </c>
      <c r="E22" s="30">
        <f t="shared" ref="E22:N22" si="30">D24</f>
        <v>0</v>
      </c>
      <c r="F22" s="30">
        <f t="shared" si="30"/>
        <v>0</v>
      </c>
      <c r="G22" s="30">
        <f t="shared" si="30"/>
        <v>0</v>
      </c>
      <c r="H22" s="30">
        <f t="shared" si="30"/>
        <v>0</v>
      </c>
      <c r="I22" s="30">
        <f t="shared" si="30"/>
        <v>0</v>
      </c>
      <c r="J22" s="30">
        <f t="shared" si="30"/>
        <v>-3.5784700000000003</v>
      </c>
      <c r="K22" s="30">
        <f t="shared" si="30"/>
        <v>-10.639126666666668</v>
      </c>
      <c r="L22" s="30">
        <f t="shared" si="30"/>
        <v>-21.093316666666666</v>
      </c>
      <c r="M22" s="30">
        <f t="shared" si="30"/>
        <v>-34.856020000000001</v>
      </c>
      <c r="N22" s="30">
        <f t="shared" si="30"/>
        <v>-51.864016666666672</v>
      </c>
      <c r="O22" s="30"/>
      <c r="Q22" s="14">
        <f>O24</f>
        <v>-72.003946666666678</v>
      </c>
      <c r="R22" s="14">
        <f>Q24</f>
        <v>-95.217676666666677</v>
      </c>
      <c r="S22" s="14">
        <f t="shared" ref="S22:AB22" si="31">R24</f>
        <v>-121.34207000000001</v>
      </c>
      <c r="T22" s="14">
        <f t="shared" si="31"/>
        <v>-150.42782983333333</v>
      </c>
      <c r="U22" s="14">
        <f t="shared" si="31"/>
        <v>-182.53915716666668</v>
      </c>
      <c r="V22" s="14">
        <f t="shared" si="31"/>
        <v>-217.64273433333335</v>
      </c>
      <c r="W22" s="14">
        <f t="shared" si="31"/>
        <v>-255.69229083333335</v>
      </c>
      <c r="X22" s="14">
        <f t="shared" si="31"/>
        <v>-266.38053183333335</v>
      </c>
      <c r="Y22" s="14">
        <f t="shared" si="31"/>
        <v>-277.78408008333338</v>
      </c>
      <c r="Z22" s="14">
        <f t="shared" si="31"/>
        <v>-289.85164508333338</v>
      </c>
      <c r="AA22" s="14">
        <f t="shared" si="31"/>
        <v>-302.54538358333338</v>
      </c>
      <c r="AB22" s="14">
        <f t="shared" si="31"/>
        <v>-315.23912208333337</v>
      </c>
    </row>
    <row r="23" spans="2:29" x14ac:dyDescent="0.25">
      <c r="B23" t="s">
        <v>34</v>
      </c>
      <c r="C23" s="30">
        <f>C14*C20</f>
        <v>0</v>
      </c>
      <c r="D23" s="30">
        <f t="shared" ref="D23:N23" si="32">D14*D20</f>
        <v>0</v>
      </c>
      <c r="E23" s="30">
        <f t="shared" si="32"/>
        <v>0</v>
      </c>
      <c r="F23" s="30">
        <f t="shared" si="32"/>
        <v>0</v>
      </c>
      <c r="G23" s="30">
        <f t="shared" si="32"/>
        <v>0</v>
      </c>
      <c r="H23" s="30">
        <f t="shared" si="32"/>
        <v>0</v>
      </c>
      <c r="I23" s="30">
        <f>I14*I20</f>
        <v>-3.5784700000000003</v>
      </c>
      <c r="J23" s="30">
        <f t="shared" si="32"/>
        <v>-7.0606566666666675</v>
      </c>
      <c r="K23" s="30">
        <f t="shared" si="32"/>
        <v>-10.454190000000001</v>
      </c>
      <c r="L23" s="30">
        <f t="shared" si="32"/>
        <v>-13.762703333333334</v>
      </c>
      <c r="M23" s="30">
        <f t="shared" si="32"/>
        <v>-17.007996666666667</v>
      </c>
      <c r="N23" s="30">
        <f t="shared" si="32"/>
        <v>-20.139930000000003</v>
      </c>
      <c r="O23" s="30"/>
      <c r="P23" s="30"/>
      <c r="Q23" s="30">
        <f>Q14*Q20</f>
        <v>-23.213730000000002</v>
      </c>
      <c r="R23" s="30">
        <f t="shared" ref="R23:AB23" si="33">R14*R20</f>
        <v>-26.124393333333337</v>
      </c>
      <c r="S23" s="30">
        <f t="shared" si="33"/>
        <v>-29.085759833333338</v>
      </c>
      <c r="T23" s="30">
        <f t="shared" si="33"/>
        <v>-32.111327333333342</v>
      </c>
      <c r="U23" s="30">
        <f t="shared" si="33"/>
        <v>-35.103577166666675</v>
      </c>
      <c r="V23" s="30">
        <f t="shared" si="33"/>
        <v>-38.049556500000008</v>
      </c>
      <c r="W23" s="30">
        <f t="shared" si="33"/>
        <v>-10.688241000000003</v>
      </c>
      <c r="X23" s="30">
        <f t="shared" si="33"/>
        <v>-11.403548250000002</v>
      </c>
      <c r="Y23" s="30">
        <f t="shared" si="33"/>
        <v>-12.067565000000002</v>
      </c>
      <c r="Z23" s="30">
        <f t="shared" si="33"/>
        <v>-12.693738500000002</v>
      </c>
      <c r="AA23" s="30">
        <f t="shared" si="33"/>
        <v>-12.693738500000002</v>
      </c>
      <c r="AB23" s="30">
        <f t="shared" si="33"/>
        <v>-12.693738500000002</v>
      </c>
      <c r="AC23" s="14"/>
    </row>
    <row r="24" spans="2:29" x14ac:dyDescent="0.25">
      <c r="B24" t="s">
        <v>70</v>
      </c>
      <c r="C24" s="31">
        <f>C22+C23</f>
        <v>0</v>
      </c>
      <c r="D24" s="31">
        <f t="shared" ref="D24:N24" si="34">D22+D23</f>
        <v>0</v>
      </c>
      <c r="E24" s="31">
        <f t="shared" si="34"/>
        <v>0</v>
      </c>
      <c r="F24" s="31">
        <f t="shared" si="34"/>
        <v>0</v>
      </c>
      <c r="G24" s="31">
        <f t="shared" si="34"/>
        <v>0</v>
      </c>
      <c r="H24" s="31">
        <f t="shared" si="34"/>
        <v>0</v>
      </c>
      <c r="I24" s="31">
        <f t="shared" si="34"/>
        <v>-3.5784700000000003</v>
      </c>
      <c r="J24" s="31">
        <f t="shared" si="34"/>
        <v>-10.639126666666668</v>
      </c>
      <c r="K24" s="31">
        <f t="shared" si="34"/>
        <v>-21.093316666666666</v>
      </c>
      <c r="L24" s="31">
        <f t="shared" si="34"/>
        <v>-34.856020000000001</v>
      </c>
      <c r="M24" s="31">
        <f t="shared" si="34"/>
        <v>-51.864016666666672</v>
      </c>
      <c r="N24" s="31">
        <f t="shared" si="34"/>
        <v>-72.003946666666678</v>
      </c>
      <c r="O24" s="31">
        <f>N24</f>
        <v>-72.003946666666678</v>
      </c>
      <c r="P24" s="30"/>
      <c r="Q24" s="31">
        <f t="shared" ref="Q24" si="35">Q22+Q23</f>
        <v>-95.217676666666677</v>
      </c>
      <c r="R24" s="31">
        <f t="shared" ref="R24" si="36">R22+R23</f>
        <v>-121.34207000000001</v>
      </c>
      <c r="S24" s="31">
        <f t="shared" ref="S24" si="37">S22+S23</f>
        <v>-150.42782983333333</v>
      </c>
      <c r="T24" s="31">
        <f t="shared" ref="T24" si="38">T22+T23</f>
        <v>-182.53915716666668</v>
      </c>
      <c r="U24" s="31">
        <f t="shared" ref="U24" si="39">U22+U23</f>
        <v>-217.64273433333335</v>
      </c>
      <c r="V24" s="31">
        <f t="shared" ref="V24" si="40">V22+V23</f>
        <v>-255.69229083333335</v>
      </c>
      <c r="W24" s="31">
        <f t="shared" ref="W24" si="41">W22+W23</f>
        <v>-266.38053183333335</v>
      </c>
      <c r="X24" s="31">
        <f t="shared" ref="X24" si="42">X22+X23</f>
        <v>-277.78408008333338</v>
      </c>
      <c r="Y24" s="31">
        <f t="shared" ref="Y24" si="43">Y22+Y23</f>
        <v>-289.85164508333338</v>
      </c>
      <c r="Z24" s="31">
        <f t="shared" ref="Z24" si="44">Z22+Z23</f>
        <v>-302.54538358333338</v>
      </c>
      <c r="AA24" s="31">
        <f t="shared" ref="AA24" si="45">AA22+AA23</f>
        <v>-315.23912208333337</v>
      </c>
      <c r="AB24" s="31">
        <f t="shared" ref="AB24" si="46">AB22+AB23</f>
        <v>-327.93286058333337</v>
      </c>
      <c r="AC24" s="42">
        <f>AB24</f>
        <v>-327.93286058333337</v>
      </c>
    </row>
    <row r="25" spans="2:29" x14ac:dyDescent="0.25"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2:29" s="32" customFormat="1" ht="15.75" thickBot="1" x14ac:dyDescent="0.3">
      <c r="B26" s="35" t="s">
        <v>127</v>
      </c>
      <c r="C26" s="36">
        <f>C16+C24</f>
        <v>0</v>
      </c>
      <c r="D26" s="36">
        <f t="shared" ref="D26:N26" si="47">D16+D24</f>
        <v>0</v>
      </c>
      <c r="E26" s="36">
        <f t="shared" si="47"/>
        <v>0</v>
      </c>
      <c r="F26" s="36">
        <f t="shared" si="47"/>
        <v>0</v>
      </c>
      <c r="G26" s="36">
        <f t="shared" si="47"/>
        <v>0</v>
      </c>
      <c r="H26" s="36">
        <f t="shared" si="47"/>
        <v>-1969.8000000000002</v>
      </c>
      <c r="I26" s="36">
        <f t="shared" si="47"/>
        <v>-3890.1784700000003</v>
      </c>
      <c r="J26" s="36">
        <f t="shared" si="47"/>
        <v>-5765.2391266666673</v>
      </c>
      <c r="K26" s="36">
        <f t="shared" si="47"/>
        <v>-7596.8933166666666</v>
      </c>
      <c r="L26" s="36">
        <f t="shared" si="47"/>
        <v>-9397.05602</v>
      </c>
      <c r="M26" s="36">
        <f t="shared" si="47"/>
        <v>-11138.064016666667</v>
      </c>
      <c r="N26" s="36">
        <f t="shared" si="47"/>
        <v>-12850.203946666667</v>
      </c>
      <c r="O26" s="36">
        <f>N26</f>
        <v>-12850.203946666667</v>
      </c>
      <c r="P26" s="34"/>
      <c r="Q26" s="41">
        <f>Q16+Q24</f>
        <v>-14475.617676666669</v>
      </c>
      <c r="R26" s="41">
        <f t="shared" ref="R26:AB26" si="48">R16+R24</f>
        <v>-16131.852070000003</v>
      </c>
      <c r="S26" s="41">
        <f t="shared" si="48"/>
        <v>-17826.387829833337</v>
      </c>
      <c r="T26" s="41">
        <f t="shared" si="48"/>
        <v>-19505.609157166669</v>
      </c>
      <c r="U26" s="41">
        <f t="shared" si="48"/>
        <v>-21162.352734333337</v>
      </c>
      <c r="V26" s="41">
        <f t="shared" si="48"/>
        <v>-22757.252290833338</v>
      </c>
      <c r="W26" s="41">
        <f t="shared" si="48"/>
        <v>-24273.850531833337</v>
      </c>
      <c r="X26" s="41">
        <f t="shared" si="48"/>
        <v>-25683.184080083338</v>
      </c>
      <c r="Y26" s="41">
        <f t="shared" si="48"/>
        <v>-27013.511645083337</v>
      </c>
      <c r="Z26" s="41">
        <f t="shared" si="48"/>
        <v>-27026.205383583336</v>
      </c>
      <c r="AA26" s="41">
        <f t="shared" si="48"/>
        <v>-27038.899122083338</v>
      </c>
      <c r="AB26" s="41">
        <f t="shared" si="48"/>
        <v>-27051.592860583336</v>
      </c>
      <c r="AC26" s="41">
        <f>AB26</f>
        <v>-27051.592860583336</v>
      </c>
    </row>
    <row r="27" spans="2:29" ht="15.75" thickTop="1" x14ac:dyDescent="0.25"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</row>
    <row r="28" spans="2:29" x14ac:dyDescent="0.25"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</row>
    <row r="29" spans="2:29" x14ac:dyDescent="0.25"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X29" s="30"/>
      <c r="AA29" s="46" t="s">
        <v>73</v>
      </c>
      <c r="AC29" s="45">
        <v>55416</v>
      </c>
    </row>
    <row r="30" spans="2:29" x14ac:dyDescent="0.25">
      <c r="AA30" s="43" t="s">
        <v>71</v>
      </c>
      <c r="AC30" s="44">
        <f>AC26/AC29</f>
        <v>-0.4881549166411025</v>
      </c>
    </row>
    <row r="31" spans="2:29" x14ac:dyDescent="0.25">
      <c r="AA31" s="43" t="s">
        <v>72</v>
      </c>
      <c r="AC31" s="44">
        <f>AC30/12</f>
        <v>-4.0679576386758544E-2</v>
      </c>
    </row>
    <row r="38" spans="1:8" x14ac:dyDescent="0.25">
      <c r="A38" s="2"/>
      <c r="B38" s="1"/>
      <c r="C38" s="4"/>
      <c r="E38" s="2"/>
      <c r="F38" s="5"/>
    </row>
    <row r="39" spans="1:8" x14ac:dyDescent="0.25">
      <c r="A39" s="6"/>
      <c r="B39" s="48"/>
      <c r="C39" s="47"/>
      <c r="E39" s="6"/>
      <c r="F39" s="49"/>
    </row>
    <row r="41" spans="1:8" x14ac:dyDescent="0.25">
      <c r="C41" t="s">
        <v>124</v>
      </c>
      <c r="F41" t="s">
        <v>125</v>
      </c>
      <c r="H41" t="s">
        <v>126</v>
      </c>
    </row>
    <row r="42" spans="1:8" x14ac:dyDescent="0.25">
      <c r="A42" s="2" t="s">
        <v>75</v>
      </c>
      <c r="B42" s="1" t="s">
        <v>76</v>
      </c>
      <c r="C42" s="3">
        <v>-4320</v>
      </c>
    </row>
    <row r="43" spans="1:8" x14ac:dyDescent="0.25">
      <c r="A43" s="6" t="s">
        <v>77</v>
      </c>
      <c r="B43" s="48" t="s">
        <v>78</v>
      </c>
      <c r="C43" s="7">
        <v>-52234.65</v>
      </c>
    </row>
    <row r="44" spans="1:8" x14ac:dyDescent="0.25">
      <c r="C44" s="42">
        <f>SUM(C42:C43)</f>
        <v>-56554.65</v>
      </c>
      <c r="F44" s="14">
        <f>O6</f>
        <v>-38278.25</v>
      </c>
      <c r="H44" s="14">
        <f>C44-F44</f>
        <v>-18276.400000000001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4" workbookViewId="0">
      <selection activeCell="C30" sqref="C30:C38"/>
    </sheetView>
  </sheetViews>
  <sheetFormatPr defaultRowHeight="15" x14ac:dyDescent="0.25"/>
  <cols>
    <col min="1" max="1" width="16" bestFit="1" customWidth="1"/>
    <col min="2" max="2" width="9.28515625" bestFit="1" customWidth="1"/>
    <col min="3" max="3" width="10.85546875" style="51" bestFit="1" customWidth="1"/>
  </cols>
  <sheetData>
    <row r="1" spans="1:5" x14ac:dyDescent="0.25">
      <c r="A1" s="13" t="s">
        <v>3</v>
      </c>
      <c r="B1" t="s">
        <v>116</v>
      </c>
    </row>
    <row r="3" spans="1:5" x14ac:dyDescent="0.25">
      <c r="A3" s="13" t="s">
        <v>115</v>
      </c>
      <c r="B3" s="13" t="s">
        <v>28</v>
      </c>
      <c r="C3" s="51" t="s">
        <v>30</v>
      </c>
      <c r="E3" t="s">
        <v>120</v>
      </c>
    </row>
    <row r="4" spans="1:5" x14ac:dyDescent="0.25">
      <c r="A4">
        <v>2018</v>
      </c>
      <c r="B4">
        <v>1</v>
      </c>
      <c r="C4" s="51">
        <v>-2510.1999999999998</v>
      </c>
    </row>
    <row r="5" spans="1:5" x14ac:dyDescent="0.25">
      <c r="B5">
        <v>2</v>
      </c>
      <c r="C5" s="51">
        <v>-2477.6999999999998</v>
      </c>
    </row>
    <row r="6" spans="1:5" x14ac:dyDescent="0.25">
      <c r="B6">
        <v>3</v>
      </c>
      <c r="C6" s="51">
        <v>-2438.8000000000002</v>
      </c>
    </row>
    <row r="7" spans="1:5" x14ac:dyDescent="0.25">
      <c r="B7">
        <v>4</v>
      </c>
      <c r="C7" s="51">
        <v>-2398.6</v>
      </c>
    </row>
    <row r="8" spans="1:5" x14ac:dyDescent="0.25">
      <c r="B8">
        <v>5</v>
      </c>
      <c r="C8" s="51">
        <v>-2379</v>
      </c>
    </row>
    <row r="9" spans="1:5" x14ac:dyDescent="0.25">
      <c r="B9">
        <v>6</v>
      </c>
      <c r="C9" s="51">
        <v>-2354.5</v>
      </c>
    </row>
    <row r="10" spans="1:5" x14ac:dyDescent="0.25">
      <c r="B10">
        <v>7</v>
      </c>
      <c r="C10" s="51">
        <v>-2325.1999999999998</v>
      </c>
    </row>
    <row r="11" spans="1:5" x14ac:dyDescent="0.25">
      <c r="B11">
        <v>8</v>
      </c>
      <c r="C11" s="51">
        <v>-2309.4</v>
      </c>
    </row>
    <row r="12" spans="1:5" x14ac:dyDescent="0.25">
      <c r="B12">
        <v>9</v>
      </c>
      <c r="C12" s="51">
        <v>-2286.6999999999998</v>
      </c>
    </row>
    <row r="13" spans="1:5" x14ac:dyDescent="0.25">
      <c r="B13">
        <v>10</v>
      </c>
      <c r="C13" s="51">
        <v>-2253.1999999999998</v>
      </c>
    </row>
    <row r="14" spans="1:5" x14ac:dyDescent="0.25">
      <c r="B14">
        <v>11</v>
      </c>
      <c r="C14" s="51">
        <v>-2227.4</v>
      </c>
    </row>
    <row r="15" spans="1:5" x14ac:dyDescent="0.25">
      <c r="B15">
        <v>12</v>
      </c>
      <c r="C15" s="51">
        <v>-2204.6</v>
      </c>
    </row>
    <row r="16" spans="1:5" x14ac:dyDescent="0.25">
      <c r="A16" t="s">
        <v>117</v>
      </c>
      <c r="C16" s="51">
        <v>-28165.300000000003</v>
      </c>
      <c r="E16" s="51">
        <f>GETPIVOTDATA("Net",$A$3,"Year",2018)/12</f>
        <v>-2347.1083333333336</v>
      </c>
    </row>
    <row r="17" spans="1:5" x14ac:dyDescent="0.25">
      <c r="A17">
        <v>2019</v>
      </c>
      <c r="B17">
        <v>1</v>
      </c>
      <c r="C17" s="51">
        <v>-2167.3000000000002</v>
      </c>
    </row>
    <row r="18" spans="1:5" x14ac:dyDescent="0.25">
      <c r="B18">
        <v>2</v>
      </c>
      <c r="C18" s="51">
        <v>-2135</v>
      </c>
    </row>
    <row r="19" spans="1:5" x14ac:dyDescent="0.25">
      <c r="B19">
        <v>3</v>
      </c>
      <c r="C19" s="51">
        <v>-2109.5</v>
      </c>
    </row>
    <row r="20" spans="1:5" x14ac:dyDescent="0.25">
      <c r="B20">
        <v>4</v>
      </c>
      <c r="C20" s="51">
        <v>-2098.4499999999998</v>
      </c>
    </row>
    <row r="21" spans="1:5" x14ac:dyDescent="0.25">
      <c r="B21">
        <v>5</v>
      </c>
      <c r="C21" s="51">
        <v>-2114.8000000000002</v>
      </c>
      <c r="E21" s="52">
        <f>SUM(C17:C21)/5</f>
        <v>-2125.0099999999998</v>
      </c>
    </row>
    <row r="22" spans="1:5" x14ac:dyDescent="0.25">
      <c r="B22">
        <v>6</v>
      </c>
      <c r="C22" s="51">
        <v>-4094.8</v>
      </c>
    </row>
    <row r="23" spans="1:5" x14ac:dyDescent="0.25">
      <c r="B23">
        <v>7</v>
      </c>
      <c r="C23" s="51">
        <v>-4041.8</v>
      </c>
    </row>
    <row r="24" spans="1:5" x14ac:dyDescent="0.25">
      <c r="B24">
        <v>8</v>
      </c>
      <c r="C24" s="51">
        <v>-3993</v>
      </c>
    </row>
    <row r="25" spans="1:5" x14ac:dyDescent="0.25">
      <c r="B25">
        <v>9</v>
      </c>
      <c r="C25" s="51">
        <v>-3946.2</v>
      </c>
    </row>
    <row r="26" spans="1:5" x14ac:dyDescent="0.25">
      <c r="B26">
        <v>10</v>
      </c>
      <c r="C26" s="51">
        <v>-3911.4</v>
      </c>
    </row>
    <row r="27" spans="1:5" x14ac:dyDescent="0.25">
      <c r="B27">
        <v>11</v>
      </c>
      <c r="C27" s="51">
        <v>-3849</v>
      </c>
    </row>
    <row r="28" spans="1:5" x14ac:dyDescent="0.25">
      <c r="B28">
        <v>12</v>
      </c>
      <c r="C28" s="51">
        <v>-3817</v>
      </c>
    </row>
    <row r="29" spans="1:5" x14ac:dyDescent="0.25">
      <c r="A29" t="s">
        <v>118</v>
      </c>
      <c r="C29" s="51">
        <v>-38278.25</v>
      </c>
      <c r="E29" s="51">
        <f>GETPIVOTDATA("Net",$A$3,"Year",2019)/12</f>
        <v>-3189.8541666666665</v>
      </c>
    </row>
    <row r="30" spans="1:5" x14ac:dyDescent="0.25">
      <c r="A30">
        <v>2020</v>
      </c>
      <c r="B30">
        <v>1</v>
      </c>
      <c r="C30" s="51">
        <v>-3727.2</v>
      </c>
    </row>
    <row r="31" spans="1:5" x14ac:dyDescent="0.25">
      <c r="B31">
        <v>2</v>
      </c>
      <c r="C31" s="51">
        <v>-3755.11</v>
      </c>
    </row>
    <row r="32" spans="1:5" x14ac:dyDescent="0.25">
      <c r="B32">
        <v>3</v>
      </c>
      <c r="C32" s="51">
        <v>-3790.45</v>
      </c>
    </row>
    <row r="33" spans="1:3" x14ac:dyDescent="0.25">
      <c r="B33">
        <v>4</v>
      </c>
      <c r="C33" s="51">
        <v>-3772.1099999999997</v>
      </c>
    </row>
    <row r="34" spans="1:3" x14ac:dyDescent="0.25">
      <c r="B34">
        <v>5</v>
      </c>
      <c r="C34" s="51">
        <v>-3746.64</v>
      </c>
    </row>
    <row r="35" spans="1:3" x14ac:dyDescent="0.25">
      <c r="B35">
        <v>6</v>
      </c>
      <c r="C35" s="51">
        <v>-3681.8500000000004</v>
      </c>
    </row>
    <row r="36" spans="1:3" x14ac:dyDescent="0.25">
      <c r="B36">
        <v>7</v>
      </c>
      <c r="C36" s="51">
        <v>-3630.91</v>
      </c>
    </row>
    <row r="37" spans="1:3" x14ac:dyDescent="0.25">
      <c r="B37">
        <v>8</v>
      </c>
      <c r="C37" s="51">
        <v>-3522.9300000000003</v>
      </c>
    </row>
    <row r="38" spans="1:3" x14ac:dyDescent="0.25">
      <c r="B38">
        <v>9</v>
      </c>
      <c r="C38" s="51">
        <v>-3443.26</v>
      </c>
    </row>
    <row r="39" spans="1:3" x14ac:dyDescent="0.25">
      <c r="A39" t="s">
        <v>119</v>
      </c>
      <c r="C39" s="51">
        <v>-33070.46</v>
      </c>
    </row>
    <row r="40" spans="1:3" x14ac:dyDescent="0.25">
      <c r="A40" t="s">
        <v>29</v>
      </c>
      <c r="C40" s="51">
        <v>-99514.010000000024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workbookViewId="0">
      <selection activeCell="B8" sqref="B8"/>
    </sheetView>
  </sheetViews>
  <sheetFormatPr defaultRowHeight="12" x14ac:dyDescent="0.25"/>
  <cols>
    <col min="1" max="1" width="17.85546875" style="8" customWidth="1"/>
    <col min="2" max="4" width="12.5703125" style="9" customWidth="1"/>
    <col min="5" max="5" width="19.85546875" style="8" customWidth="1"/>
    <col min="6" max="6" width="14" style="8" customWidth="1"/>
    <col min="7" max="7" width="13" style="8" customWidth="1"/>
    <col min="8" max="8" width="19.28515625" style="11" customWidth="1"/>
    <col min="9" max="10" width="19.7109375" style="11" customWidth="1"/>
    <col min="11" max="11" width="23" style="8" customWidth="1"/>
    <col min="12" max="12" width="15" style="10" customWidth="1"/>
    <col min="13" max="13" width="16" style="8" customWidth="1"/>
    <col min="14" max="14" width="22" style="8" customWidth="1"/>
    <col min="15" max="15" width="27" style="8" customWidth="1"/>
    <col min="16" max="16" width="18.7109375" style="8" customWidth="1"/>
    <col min="17" max="17" width="25" style="8" customWidth="1"/>
    <col min="18" max="18" width="22" style="9" customWidth="1"/>
    <col min="19" max="19" width="24.140625" style="8" customWidth="1"/>
    <col min="20" max="20" width="20.42578125" style="8" customWidth="1"/>
    <col min="21" max="23" width="17.7109375" style="8" customWidth="1"/>
    <col min="24" max="16384" width="9.140625" style="8"/>
  </cols>
  <sheetData>
    <row r="1" spans="1:23" ht="17.45" customHeight="1" x14ac:dyDescent="0.25">
      <c r="A1" s="8" t="s">
        <v>3</v>
      </c>
      <c r="B1" s="8" t="s">
        <v>4</v>
      </c>
      <c r="C1" s="8" t="s">
        <v>115</v>
      </c>
      <c r="D1" s="8" t="s">
        <v>28</v>
      </c>
      <c r="E1" s="8" t="s">
        <v>5</v>
      </c>
      <c r="F1" s="8" t="s">
        <v>1</v>
      </c>
      <c r="G1" s="8" t="s">
        <v>6</v>
      </c>
      <c r="H1" s="11" t="s">
        <v>7</v>
      </c>
      <c r="I1" s="11" t="s">
        <v>8</v>
      </c>
      <c r="J1" s="11" t="s">
        <v>27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8" t="s">
        <v>17</v>
      </c>
      <c r="T1" s="8" t="s">
        <v>18</v>
      </c>
      <c r="U1" s="8" t="s">
        <v>19</v>
      </c>
      <c r="V1" s="8" t="s">
        <v>20</v>
      </c>
      <c r="W1" s="8" t="s">
        <v>21</v>
      </c>
    </row>
    <row r="2" spans="1:23" ht="17.45" customHeight="1" x14ac:dyDescent="0.25">
      <c r="A2" s="8" t="s">
        <v>75</v>
      </c>
      <c r="B2" s="9">
        <f>DATE(2018,1,10)</f>
        <v>43110</v>
      </c>
      <c r="C2" s="12">
        <f>YEAR(B2)</f>
        <v>2018</v>
      </c>
      <c r="D2" s="12">
        <f>MONTH(B2)</f>
        <v>1</v>
      </c>
      <c r="E2" s="8" t="s">
        <v>76</v>
      </c>
      <c r="F2" s="8" t="s">
        <v>22</v>
      </c>
      <c r="G2" s="8" t="s">
        <v>93</v>
      </c>
      <c r="H2" s="11">
        <v>0</v>
      </c>
      <c r="I2" s="11">
        <v>380</v>
      </c>
      <c r="J2" s="11">
        <f>H2-I2</f>
        <v>-380</v>
      </c>
      <c r="K2" s="8" t="s">
        <v>22</v>
      </c>
      <c r="L2" s="10">
        <v>1008558</v>
      </c>
      <c r="M2" s="8" t="s">
        <v>22</v>
      </c>
      <c r="N2" s="8" t="s">
        <v>0</v>
      </c>
      <c r="O2" s="8" t="s">
        <v>22</v>
      </c>
      <c r="P2" s="8" t="s">
        <v>23</v>
      </c>
      <c r="Q2" s="8" t="s">
        <v>22</v>
      </c>
      <c r="R2" s="9">
        <f>DATE(2018,1,11)</f>
        <v>43111</v>
      </c>
      <c r="S2" s="8" t="s">
        <v>24</v>
      </c>
      <c r="T2" s="8" t="s">
        <v>22</v>
      </c>
      <c r="U2" s="8" t="s">
        <v>25</v>
      </c>
      <c r="V2" s="8" t="s">
        <v>25</v>
      </c>
      <c r="W2" s="8" t="s">
        <v>26</v>
      </c>
    </row>
    <row r="3" spans="1:23" ht="17.45" customHeight="1" x14ac:dyDescent="0.25">
      <c r="A3" s="8" t="s">
        <v>77</v>
      </c>
      <c r="B3" s="9">
        <f>DATE(2018,1,10)</f>
        <v>43110</v>
      </c>
      <c r="C3" s="12">
        <f t="shared" ref="C3:C66" si="0">YEAR(B3)</f>
        <v>2018</v>
      </c>
      <c r="D3" s="12">
        <f>MONTH(B3)</f>
        <v>1</v>
      </c>
      <c r="E3" s="8" t="s">
        <v>78</v>
      </c>
      <c r="F3" s="8" t="s">
        <v>22</v>
      </c>
      <c r="G3" s="8" t="s">
        <v>93</v>
      </c>
      <c r="H3" s="11">
        <v>0</v>
      </c>
      <c r="I3" s="11">
        <v>2130.1999999999998</v>
      </c>
      <c r="J3" s="11">
        <f>H3-I3</f>
        <v>-2130.1999999999998</v>
      </c>
      <c r="K3" s="8" t="s">
        <v>22</v>
      </c>
      <c r="L3" s="10">
        <v>1008558</v>
      </c>
      <c r="M3" s="8" t="s">
        <v>22</v>
      </c>
      <c r="N3" s="8" t="s">
        <v>0</v>
      </c>
      <c r="O3" s="8" t="s">
        <v>22</v>
      </c>
      <c r="P3" s="8" t="s">
        <v>23</v>
      </c>
      <c r="Q3" s="8" t="s">
        <v>22</v>
      </c>
      <c r="R3" s="9">
        <f>DATE(2018,1,11)</f>
        <v>43111</v>
      </c>
      <c r="S3" s="8" t="s">
        <v>24</v>
      </c>
      <c r="T3" s="8" t="s">
        <v>22</v>
      </c>
      <c r="U3" s="8" t="s">
        <v>25</v>
      </c>
      <c r="V3" s="8" t="s">
        <v>25</v>
      </c>
      <c r="W3" s="8" t="s">
        <v>26</v>
      </c>
    </row>
    <row r="4" spans="1:23" ht="17.45" customHeight="1" x14ac:dyDescent="0.25">
      <c r="A4" s="8" t="s">
        <v>75</v>
      </c>
      <c r="B4" s="9">
        <f>DATE(2018,2,6)</f>
        <v>43137</v>
      </c>
      <c r="C4" s="12">
        <f t="shared" si="0"/>
        <v>2018</v>
      </c>
      <c r="D4" s="12">
        <f>MONTH(B4)</f>
        <v>2</v>
      </c>
      <c r="E4" s="8" t="s">
        <v>76</v>
      </c>
      <c r="F4" s="8" t="s">
        <v>22</v>
      </c>
      <c r="G4" s="8" t="s">
        <v>92</v>
      </c>
      <c r="H4" s="11">
        <v>0</v>
      </c>
      <c r="I4" s="11">
        <v>380</v>
      </c>
      <c r="J4" s="11">
        <f>H4-I4</f>
        <v>-380</v>
      </c>
      <c r="K4" s="8" t="s">
        <v>22</v>
      </c>
      <c r="L4" s="10">
        <v>1012426</v>
      </c>
      <c r="M4" s="8" t="s">
        <v>22</v>
      </c>
      <c r="N4" s="8" t="s">
        <v>0</v>
      </c>
      <c r="O4" s="8" t="s">
        <v>22</v>
      </c>
      <c r="P4" s="8" t="s">
        <v>23</v>
      </c>
      <c r="Q4" s="8" t="s">
        <v>22</v>
      </c>
      <c r="R4" s="9">
        <f>DATE(2018,2,7)</f>
        <v>43138</v>
      </c>
      <c r="S4" s="8" t="s">
        <v>24</v>
      </c>
      <c r="T4" s="8" t="s">
        <v>22</v>
      </c>
      <c r="U4" s="8" t="s">
        <v>25</v>
      </c>
      <c r="V4" s="8" t="s">
        <v>25</v>
      </c>
      <c r="W4" s="8" t="s">
        <v>26</v>
      </c>
    </row>
    <row r="5" spans="1:23" ht="17.45" customHeight="1" x14ac:dyDescent="0.25">
      <c r="A5" s="8" t="s">
        <v>77</v>
      </c>
      <c r="B5" s="9">
        <f>DATE(2018,2,6)</f>
        <v>43137</v>
      </c>
      <c r="C5" s="12">
        <f t="shared" si="0"/>
        <v>2018</v>
      </c>
      <c r="D5" s="12">
        <f>MONTH(B5)</f>
        <v>2</v>
      </c>
      <c r="E5" s="8" t="s">
        <v>78</v>
      </c>
      <c r="F5" s="8" t="s">
        <v>22</v>
      </c>
      <c r="G5" s="8" t="s">
        <v>92</v>
      </c>
      <c r="H5" s="11">
        <v>0</v>
      </c>
      <c r="I5" s="11">
        <v>2097.6999999999998</v>
      </c>
      <c r="J5" s="11">
        <f>H5-I5</f>
        <v>-2097.6999999999998</v>
      </c>
      <c r="K5" s="8" t="s">
        <v>22</v>
      </c>
      <c r="L5" s="10">
        <v>1012426</v>
      </c>
      <c r="M5" s="8" t="s">
        <v>22</v>
      </c>
      <c r="N5" s="8" t="s">
        <v>0</v>
      </c>
      <c r="O5" s="8" t="s">
        <v>22</v>
      </c>
      <c r="P5" s="8" t="s">
        <v>23</v>
      </c>
      <c r="Q5" s="8" t="s">
        <v>22</v>
      </c>
      <c r="R5" s="9">
        <f>DATE(2018,2,7)</f>
        <v>43138</v>
      </c>
      <c r="S5" s="8" t="s">
        <v>24</v>
      </c>
      <c r="T5" s="8" t="s">
        <v>22</v>
      </c>
      <c r="U5" s="8" t="s">
        <v>25</v>
      </c>
      <c r="V5" s="8" t="s">
        <v>25</v>
      </c>
      <c r="W5" s="8" t="s">
        <v>26</v>
      </c>
    </row>
    <row r="6" spans="1:23" ht="17.45" customHeight="1" x14ac:dyDescent="0.25">
      <c r="A6" s="8" t="s">
        <v>75</v>
      </c>
      <c r="B6" s="9">
        <f>DATE(2018,3,6)</f>
        <v>43165</v>
      </c>
      <c r="C6" s="12">
        <f t="shared" si="0"/>
        <v>2018</v>
      </c>
      <c r="D6" s="12">
        <f>MONTH(B6)</f>
        <v>3</v>
      </c>
      <c r="E6" s="8" t="s">
        <v>76</v>
      </c>
      <c r="F6" s="8" t="s">
        <v>22</v>
      </c>
      <c r="G6" s="8" t="s">
        <v>91</v>
      </c>
      <c r="H6" s="11">
        <v>0</v>
      </c>
      <c r="I6" s="11">
        <v>380</v>
      </c>
      <c r="J6" s="11">
        <f>H6-I6</f>
        <v>-380</v>
      </c>
      <c r="K6" s="8" t="s">
        <v>22</v>
      </c>
      <c r="L6" s="10">
        <v>1016643</v>
      </c>
      <c r="M6" s="8" t="s">
        <v>22</v>
      </c>
      <c r="N6" s="8" t="s">
        <v>0</v>
      </c>
      <c r="O6" s="8" t="s">
        <v>22</v>
      </c>
      <c r="P6" s="8" t="s">
        <v>23</v>
      </c>
      <c r="Q6" s="8" t="s">
        <v>22</v>
      </c>
      <c r="R6" s="9">
        <f>DATE(2018,3,7)</f>
        <v>43166</v>
      </c>
      <c r="S6" s="8" t="s">
        <v>24</v>
      </c>
      <c r="T6" s="8" t="s">
        <v>22</v>
      </c>
      <c r="U6" s="8" t="s">
        <v>25</v>
      </c>
      <c r="V6" s="8" t="s">
        <v>25</v>
      </c>
      <c r="W6" s="8" t="s">
        <v>26</v>
      </c>
    </row>
    <row r="7" spans="1:23" ht="17.45" customHeight="1" x14ac:dyDescent="0.25">
      <c r="A7" s="8" t="s">
        <v>77</v>
      </c>
      <c r="B7" s="9">
        <f>DATE(2018,3,6)</f>
        <v>43165</v>
      </c>
      <c r="C7" s="12">
        <f t="shared" si="0"/>
        <v>2018</v>
      </c>
      <c r="D7" s="12">
        <f>MONTH(B7)</f>
        <v>3</v>
      </c>
      <c r="E7" s="8" t="s">
        <v>78</v>
      </c>
      <c r="F7" s="8" t="s">
        <v>22</v>
      </c>
      <c r="G7" s="8" t="s">
        <v>91</v>
      </c>
      <c r="H7" s="11">
        <v>0</v>
      </c>
      <c r="I7" s="11">
        <v>2058.8000000000002</v>
      </c>
      <c r="J7" s="11">
        <f>H7-I7</f>
        <v>-2058.8000000000002</v>
      </c>
      <c r="K7" s="8" t="s">
        <v>22</v>
      </c>
      <c r="L7" s="10">
        <v>1016643</v>
      </c>
      <c r="M7" s="8" t="s">
        <v>22</v>
      </c>
      <c r="N7" s="8" t="s">
        <v>0</v>
      </c>
      <c r="O7" s="8" t="s">
        <v>22</v>
      </c>
      <c r="P7" s="8" t="s">
        <v>23</v>
      </c>
      <c r="Q7" s="8" t="s">
        <v>22</v>
      </c>
      <c r="R7" s="9">
        <f>DATE(2018,3,7)</f>
        <v>43166</v>
      </c>
      <c r="S7" s="8" t="s">
        <v>24</v>
      </c>
      <c r="T7" s="8" t="s">
        <v>22</v>
      </c>
      <c r="U7" s="8" t="s">
        <v>25</v>
      </c>
      <c r="V7" s="8" t="s">
        <v>25</v>
      </c>
      <c r="W7" s="8" t="s">
        <v>26</v>
      </c>
    </row>
    <row r="8" spans="1:23" ht="17.45" customHeight="1" x14ac:dyDescent="0.25">
      <c r="A8" s="8" t="s">
        <v>75</v>
      </c>
      <c r="B8" s="9">
        <f>DATE(2018,4,4)</f>
        <v>43194</v>
      </c>
      <c r="C8" s="12">
        <f t="shared" si="0"/>
        <v>2018</v>
      </c>
      <c r="D8" s="12">
        <f>MONTH(B8)</f>
        <v>4</v>
      </c>
      <c r="E8" s="8" t="s">
        <v>76</v>
      </c>
      <c r="F8" s="8" t="s">
        <v>22</v>
      </c>
      <c r="G8" s="8" t="s">
        <v>90</v>
      </c>
      <c r="H8" s="11">
        <v>0</v>
      </c>
      <c r="I8" s="11">
        <v>380</v>
      </c>
      <c r="J8" s="11">
        <f>H8-I8</f>
        <v>-380</v>
      </c>
      <c r="K8" s="8" t="s">
        <v>22</v>
      </c>
      <c r="L8" s="10">
        <v>1023900</v>
      </c>
      <c r="M8" s="8" t="s">
        <v>22</v>
      </c>
      <c r="N8" s="8" t="s">
        <v>0</v>
      </c>
      <c r="O8" s="8" t="s">
        <v>22</v>
      </c>
      <c r="P8" s="8" t="s">
        <v>23</v>
      </c>
      <c r="Q8" s="8" t="s">
        <v>22</v>
      </c>
      <c r="R8" s="9">
        <f>DATE(2018,4,5)</f>
        <v>43195</v>
      </c>
      <c r="S8" s="8" t="s">
        <v>24</v>
      </c>
      <c r="T8" s="8" t="s">
        <v>22</v>
      </c>
      <c r="U8" s="8" t="s">
        <v>25</v>
      </c>
      <c r="V8" s="8" t="s">
        <v>25</v>
      </c>
      <c r="W8" s="8" t="s">
        <v>26</v>
      </c>
    </row>
    <row r="9" spans="1:23" ht="17.45" customHeight="1" x14ac:dyDescent="0.25">
      <c r="A9" s="8" t="s">
        <v>77</v>
      </c>
      <c r="B9" s="9">
        <f>DATE(2018,4,4)</f>
        <v>43194</v>
      </c>
      <c r="C9" s="12">
        <f t="shared" si="0"/>
        <v>2018</v>
      </c>
      <c r="D9" s="12">
        <f>MONTH(B9)</f>
        <v>4</v>
      </c>
      <c r="E9" s="8" t="s">
        <v>78</v>
      </c>
      <c r="F9" s="8" t="s">
        <v>22</v>
      </c>
      <c r="G9" s="8" t="s">
        <v>90</v>
      </c>
      <c r="H9" s="11">
        <v>0</v>
      </c>
      <c r="I9" s="11">
        <v>2018.6</v>
      </c>
      <c r="J9" s="11">
        <f>H9-I9</f>
        <v>-2018.6</v>
      </c>
      <c r="K9" s="8" t="s">
        <v>22</v>
      </c>
      <c r="L9" s="10">
        <v>1023900</v>
      </c>
      <c r="M9" s="8" t="s">
        <v>22</v>
      </c>
      <c r="N9" s="8" t="s">
        <v>0</v>
      </c>
      <c r="O9" s="8" t="s">
        <v>22</v>
      </c>
      <c r="P9" s="8" t="s">
        <v>23</v>
      </c>
      <c r="Q9" s="8" t="s">
        <v>22</v>
      </c>
      <c r="R9" s="9">
        <f>DATE(2018,4,5)</f>
        <v>43195</v>
      </c>
      <c r="S9" s="8" t="s">
        <v>24</v>
      </c>
      <c r="T9" s="8" t="s">
        <v>22</v>
      </c>
      <c r="U9" s="8" t="s">
        <v>25</v>
      </c>
      <c r="V9" s="8" t="s">
        <v>25</v>
      </c>
      <c r="W9" s="8" t="s">
        <v>26</v>
      </c>
    </row>
    <row r="10" spans="1:23" ht="17.45" customHeight="1" x14ac:dyDescent="0.25">
      <c r="A10" s="8" t="s">
        <v>75</v>
      </c>
      <c r="B10" s="9">
        <f>DATE(2018,5,8)</f>
        <v>43228</v>
      </c>
      <c r="C10" s="12">
        <f t="shared" si="0"/>
        <v>2018</v>
      </c>
      <c r="D10" s="12">
        <f>MONTH(B10)</f>
        <v>5</v>
      </c>
      <c r="E10" s="8" t="s">
        <v>76</v>
      </c>
      <c r="F10" s="8" t="s">
        <v>22</v>
      </c>
      <c r="G10" s="8" t="s">
        <v>88</v>
      </c>
      <c r="H10" s="11">
        <v>0</v>
      </c>
      <c r="I10" s="11">
        <v>380</v>
      </c>
      <c r="J10" s="11">
        <f>H10-I10</f>
        <v>-380</v>
      </c>
      <c r="K10" s="8" t="s">
        <v>22</v>
      </c>
      <c r="L10" s="10">
        <v>1028275</v>
      </c>
      <c r="M10" s="8" t="s">
        <v>22</v>
      </c>
      <c r="N10" s="8" t="s">
        <v>0</v>
      </c>
      <c r="O10" s="8" t="s">
        <v>22</v>
      </c>
      <c r="P10" s="8" t="s">
        <v>23</v>
      </c>
      <c r="Q10" s="8" t="s">
        <v>22</v>
      </c>
      <c r="R10" s="9">
        <f>DATE(2018,5,9)</f>
        <v>43229</v>
      </c>
      <c r="S10" s="8" t="s">
        <v>24</v>
      </c>
      <c r="T10" s="8" t="s">
        <v>22</v>
      </c>
      <c r="U10" s="8" t="s">
        <v>25</v>
      </c>
      <c r="V10" s="8" t="s">
        <v>25</v>
      </c>
      <c r="W10" s="8" t="s">
        <v>89</v>
      </c>
    </row>
    <row r="11" spans="1:23" ht="17.45" customHeight="1" x14ac:dyDescent="0.25">
      <c r="A11" s="8" t="s">
        <v>77</v>
      </c>
      <c r="B11" s="9">
        <f>DATE(2018,5,8)</f>
        <v>43228</v>
      </c>
      <c r="C11" s="12">
        <f t="shared" si="0"/>
        <v>2018</v>
      </c>
      <c r="D11" s="12">
        <f>MONTH(B11)</f>
        <v>5</v>
      </c>
      <c r="E11" s="8" t="s">
        <v>78</v>
      </c>
      <c r="F11" s="8" t="s">
        <v>22</v>
      </c>
      <c r="G11" s="8" t="s">
        <v>88</v>
      </c>
      <c r="H11" s="11">
        <v>0</v>
      </c>
      <c r="I11" s="11">
        <v>1999</v>
      </c>
      <c r="J11" s="11">
        <f>H11-I11</f>
        <v>-1999</v>
      </c>
      <c r="K11" s="8" t="s">
        <v>22</v>
      </c>
      <c r="L11" s="10">
        <v>1028275</v>
      </c>
      <c r="M11" s="8" t="s">
        <v>22</v>
      </c>
      <c r="N11" s="8" t="s">
        <v>0</v>
      </c>
      <c r="O11" s="8" t="s">
        <v>22</v>
      </c>
      <c r="P11" s="8" t="s">
        <v>23</v>
      </c>
      <c r="Q11" s="8" t="s">
        <v>22</v>
      </c>
      <c r="R11" s="9">
        <f>DATE(2018,5,9)</f>
        <v>43229</v>
      </c>
      <c r="S11" s="8" t="s">
        <v>24</v>
      </c>
      <c r="T11" s="8" t="s">
        <v>22</v>
      </c>
      <c r="U11" s="8" t="s">
        <v>25</v>
      </c>
      <c r="V11" s="8" t="s">
        <v>25</v>
      </c>
      <c r="W11" s="8" t="s">
        <v>89</v>
      </c>
    </row>
    <row r="12" spans="1:23" ht="17.45" customHeight="1" x14ac:dyDescent="0.25">
      <c r="A12" s="8" t="s">
        <v>75</v>
      </c>
      <c r="B12" s="9">
        <f>DATE(2018,6,7)</f>
        <v>43258</v>
      </c>
      <c r="C12" s="12">
        <f t="shared" si="0"/>
        <v>2018</v>
      </c>
      <c r="D12" s="12">
        <f>MONTH(B12)</f>
        <v>6</v>
      </c>
      <c r="E12" s="8" t="s">
        <v>76</v>
      </c>
      <c r="F12" s="8" t="s">
        <v>22</v>
      </c>
      <c r="G12" s="8" t="s">
        <v>87</v>
      </c>
      <c r="H12" s="11">
        <v>0</v>
      </c>
      <c r="I12" s="11">
        <v>380</v>
      </c>
      <c r="J12" s="11">
        <f>H12-I12</f>
        <v>-380</v>
      </c>
      <c r="K12" s="8" t="s">
        <v>22</v>
      </c>
      <c r="L12" s="10">
        <v>1033790</v>
      </c>
      <c r="M12" s="8" t="s">
        <v>22</v>
      </c>
      <c r="N12" s="8" t="s">
        <v>0</v>
      </c>
      <c r="O12" s="8" t="s">
        <v>22</v>
      </c>
      <c r="P12" s="8" t="s">
        <v>23</v>
      </c>
      <c r="Q12" s="8" t="s">
        <v>22</v>
      </c>
      <c r="R12" s="9">
        <f>DATE(2018,6,11)</f>
        <v>43262</v>
      </c>
      <c r="S12" s="8" t="s">
        <v>24</v>
      </c>
      <c r="T12" s="8" t="s">
        <v>22</v>
      </c>
      <c r="U12" s="8" t="s">
        <v>25</v>
      </c>
      <c r="V12" s="8" t="s">
        <v>25</v>
      </c>
      <c r="W12" s="8" t="s">
        <v>26</v>
      </c>
    </row>
    <row r="13" spans="1:23" ht="17.45" customHeight="1" x14ac:dyDescent="0.25">
      <c r="A13" s="8" t="s">
        <v>77</v>
      </c>
      <c r="B13" s="9">
        <f>DATE(2018,6,7)</f>
        <v>43258</v>
      </c>
      <c r="C13" s="12">
        <f t="shared" si="0"/>
        <v>2018</v>
      </c>
      <c r="D13" s="12">
        <f>MONTH(B13)</f>
        <v>6</v>
      </c>
      <c r="E13" s="8" t="s">
        <v>78</v>
      </c>
      <c r="F13" s="8" t="s">
        <v>22</v>
      </c>
      <c r="G13" s="8" t="s">
        <v>87</v>
      </c>
      <c r="H13" s="11">
        <v>0</v>
      </c>
      <c r="I13" s="11">
        <v>1974.5</v>
      </c>
      <c r="J13" s="11">
        <f>H13-I13</f>
        <v>-1974.5</v>
      </c>
      <c r="K13" s="8" t="s">
        <v>22</v>
      </c>
      <c r="L13" s="10">
        <v>1033790</v>
      </c>
      <c r="M13" s="8" t="s">
        <v>22</v>
      </c>
      <c r="N13" s="8" t="s">
        <v>0</v>
      </c>
      <c r="O13" s="8" t="s">
        <v>22</v>
      </c>
      <c r="P13" s="8" t="s">
        <v>23</v>
      </c>
      <c r="Q13" s="8" t="s">
        <v>22</v>
      </c>
      <c r="R13" s="9">
        <f>DATE(2018,6,11)</f>
        <v>43262</v>
      </c>
      <c r="S13" s="8" t="s">
        <v>24</v>
      </c>
      <c r="T13" s="8" t="s">
        <v>22</v>
      </c>
      <c r="U13" s="8" t="s">
        <v>25</v>
      </c>
      <c r="V13" s="8" t="s">
        <v>25</v>
      </c>
      <c r="W13" s="8" t="s">
        <v>26</v>
      </c>
    </row>
    <row r="14" spans="1:23" ht="17.45" customHeight="1" x14ac:dyDescent="0.25">
      <c r="A14" s="8" t="s">
        <v>75</v>
      </c>
      <c r="B14" s="9">
        <f>DATE(2018,7,6)</f>
        <v>43287</v>
      </c>
      <c r="C14" s="12">
        <f t="shared" si="0"/>
        <v>2018</v>
      </c>
      <c r="D14" s="12">
        <f>MONTH(B14)</f>
        <v>7</v>
      </c>
      <c r="E14" s="8" t="s">
        <v>76</v>
      </c>
      <c r="F14" s="8" t="s">
        <v>22</v>
      </c>
      <c r="G14" s="8" t="s">
        <v>86</v>
      </c>
      <c r="H14" s="11">
        <v>0</v>
      </c>
      <c r="I14" s="11">
        <v>380</v>
      </c>
      <c r="J14" s="11">
        <f>H14-I14</f>
        <v>-380</v>
      </c>
      <c r="K14" s="8" t="s">
        <v>22</v>
      </c>
      <c r="L14" s="10">
        <v>1038486</v>
      </c>
      <c r="M14" s="8" t="s">
        <v>22</v>
      </c>
      <c r="N14" s="8" t="s">
        <v>0</v>
      </c>
      <c r="O14" s="8" t="s">
        <v>22</v>
      </c>
      <c r="P14" s="8" t="s">
        <v>23</v>
      </c>
      <c r="Q14" s="8" t="s">
        <v>22</v>
      </c>
      <c r="R14" s="9">
        <f>DATE(2018,7,9)</f>
        <v>43290</v>
      </c>
      <c r="S14" s="8" t="s">
        <v>24</v>
      </c>
      <c r="T14" s="8" t="s">
        <v>22</v>
      </c>
      <c r="U14" s="8" t="s">
        <v>25</v>
      </c>
      <c r="V14" s="8" t="s">
        <v>25</v>
      </c>
      <c r="W14" s="8" t="s">
        <v>26</v>
      </c>
    </row>
    <row r="15" spans="1:23" ht="17.45" customHeight="1" x14ac:dyDescent="0.25">
      <c r="A15" s="8" t="s">
        <v>77</v>
      </c>
      <c r="B15" s="9">
        <f>DATE(2018,7,6)</f>
        <v>43287</v>
      </c>
      <c r="C15" s="12">
        <f t="shared" si="0"/>
        <v>2018</v>
      </c>
      <c r="D15" s="12">
        <f>MONTH(B15)</f>
        <v>7</v>
      </c>
      <c r="E15" s="8" t="s">
        <v>78</v>
      </c>
      <c r="F15" s="8" t="s">
        <v>22</v>
      </c>
      <c r="G15" s="8" t="s">
        <v>86</v>
      </c>
      <c r="H15" s="11">
        <v>0</v>
      </c>
      <c r="I15" s="11">
        <v>1945.2</v>
      </c>
      <c r="J15" s="11">
        <f>H15-I15</f>
        <v>-1945.2</v>
      </c>
      <c r="K15" s="8" t="s">
        <v>22</v>
      </c>
      <c r="L15" s="10">
        <v>1038486</v>
      </c>
      <c r="M15" s="8" t="s">
        <v>22</v>
      </c>
      <c r="N15" s="8" t="s">
        <v>0</v>
      </c>
      <c r="O15" s="8" t="s">
        <v>22</v>
      </c>
      <c r="P15" s="8" t="s">
        <v>23</v>
      </c>
      <c r="Q15" s="8" t="s">
        <v>22</v>
      </c>
      <c r="R15" s="9">
        <f>DATE(2018,7,9)</f>
        <v>43290</v>
      </c>
      <c r="S15" s="8" t="s">
        <v>24</v>
      </c>
      <c r="T15" s="8" t="s">
        <v>22</v>
      </c>
      <c r="U15" s="8" t="s">
        <v>25</v>
      </c>
      <c r="V15" s="8" t="s">
        <v>25</v>
      </c>
      <c r="W15" s="8" t="s">
        <v>26</v>
      </c>
    </row>
    <row r="16" spans="1:23" ht="17.45" customHeight="1" x14ac:dyDescent="0.25">
      <c r="A16" s="8" t="s">
        <v>75</v>
      </c>
      <c r="B16" s="9">
        <f>DATE(2018,8,7)</f>
        <v>43319</v>
      </c>
      <c r="C16" s="12">
        <f t="shared" si="0"/>
        <v>2018</v>
      </c>
      <c r="D16" s="12">
        <f>MONTH(B16)</f>
        <v>8</v>
      </c>
      <c r="E16" s="8" t="s">
        <v>76</v>
      </c>
      <c r="F16" s="8" t="s">
        <v>22</v>
      </c>
      <c r="G16" s="8" t="s">
        <v>85</v>
      </c>
      <c r="H16" s="11">
        <v>0</v>
      </c>
      <c r="I16" s="11">
        <v>380</v>
      </c>
      <c r="J16" s="11">
        <f>H16-I16</f>
        <v>-380</v>
      </c>
      <c r="K16" s="8" t="s">
        <v>22</v>
      </c>
      <c r="L16" s="10">
        <v>1044361</v>
      </c>
      <c r="M16" s="8" t="s">
        <v>22</v>
      </c>
      <c r="N16" s="8" t="s">
        <v>0</v>
      </c>
      <c r="O16" s="8" t="s">
        <v>22</v>
      </c>
      <c r="P16" s="8" t="s">
        <v>23</v>
      </c>
      <c r="Q16" s="8" t="s">
        <v>22</v>
      </c>
      <c r="R16" s="9">
        <f>DATE(2018,8,8)</f>
        <v>43320</v>
      </c>
      <c r="S16" s="8" t="s">
        <v>24</v>
      </c>
      <c r="T16" s="8" t="s">
        <v>22</v>
      </c>
      <c r="U16" s="8" t="s">
        <v>25</v>
      </c>
      <c r="V16" s="8" t="s">
        <v>25</v>
      </c>
      <c r="W16" s="8" t="s">
        <v>26</v>
      </c>
    </row>
    <row r="17" spans="1:23" ht="17.45" customHeight="1" x14ac:dyDescent="0.25">
      <c r="A17" s="8" t="s">
        <v>77</v>
      </c>
      <c r="B17" s="9">
        <f>DATE(2018,8,7)</f>
        <v>43319</v>
      </c>
      <c r="C17" s="12">
        <f t="shared" si="0"/>
        <v>2018</v>
      </c>
      <c r="D17" s="12">
        <f>MONTH(B17)</f>
        <v>8</v>
      </c>
      <c r="E17" s="8" t="s">
        <v>78</v>
      </c>
      <c r="F17" s="8" t="s">
        <v>22</v>
      </c>
      <c r="G17" s="8" t="s">
        <v>85</v>
      </c>
      <c r="H17" s="11">
        <v>0</v>
      </c>
      <c r="I17" s="11">
        <v>1929.4</v>
      </c>
      <c r="J17" s="11">
        <f>H17-I17</f>
        <v>-1929.4</v>
      </c>
      <c r="K17" s="8" t="s">
        <v>22</v>
      </c>
      <c r="L17" s="10">
        <v>1044361</v>
      </c>
      <c r="M17" s="8" t="s">
        <v>22</v>
      </c>
      <c r="N17" s="8" t="s">
        <v>0</v>
      </c>
      <c r="O17" s="8" t="s">
        <v>22</v>
      </c>
      <c r="P17" s="8" t="s">
        <v>23</v>
      </c>
      <c r="Q17" s="8" t="s">
        <v>22</v>
      </c>
      <c r="R17" s="9">
        <f>DATE(2018,8,8)</f>
        <v>43320</v>
      </c>
      <c r="S17" s="8" t="s">
        <v>24</v>
      </c>
      <c r="T17" s="8" t="s">
        <v>22</v>
      </c>
      <c r="U17" s="8" t="s">
        <v>25</v>
      </c>
      <c r="V17" s="8" t="s">
        <v>25</v>
      </c>
      <c r="W17" s="8" t="s">
        <v>26</v>
      </c>
    </row>
    <row r="18" spans="1:23" ht="17.45" customHeight="1" x14ac:dyDescent="0.25">
      <c r="A18" s="8" t="s">
        <v>75</v>
      </c>
      <c r="B18" s="9">
        <f>DATE(2018,9,11)</f>
        <v>43354</v>
      </c>
      <c r="C18" s="12">
        <f t="shared" si="0"/>
        <v>2018</v>
      </c>
      <c r="D18" s="12">
        <f>MONTH(B18)</f>
        <v>9</v>
      </c>
      <c r="E18" s="8" t="s">
        <v>76</v>
      </c>
      <c r="F18" s="8" t="s">
        <v>22</v>
      </c>
      <c r="G18" s="8" t="s">
        <v>84</v>
      </c>
      <c r="H18" s="11">
        <v>0</v>
      </c>
      <c r="I18" s="11">
        <v>380</v>
      </c>
      <c r="J18" s="11">
        <f>H18-I18</f>
        <v>-380</v>
      </c>
      <c r="K18" s="8" t="s">
        <v>22</v>
      </c>
      <c r="L18" s="10">
        <v>1050309</v>
      </c>
      <c r="M18" s="8" t="s">
        <v>22</v>
      </c>
      <c r="N18" s="8" t="s">
        <v>0</v>
      </c>
      <c r="O18" s="8" t="s">
        <v>22</v>
      </c>
      <c r="P18" s="8" t="s">
        <v>23</v>
      </c>
      <c r="Q18" s="8" t="s">
        <v>22</v>
      </c>
      <c r="R18" s="9">
        <f>DATE(2018,9,12)</f>
        <v>43355</v>
      </c>
      <c r="S18" s="8" t="s">
        <v>24</v>
      </c>
      <c r="T18" s="8" t="s">
        <v>22</v>
      </c>
      <c r="U18" s="8" t="s">
        <v>25</v>
      </c>
      <c r="V18" s="8" t="s">
        <v>25</v>
      </c>
      <c r="W18" s="8" t="s">
        <v>26</v>
      </c>
    </row>
    <row r="19" spans="1:23" ht="17.45" customHeight="1" x14ac:dyDescent="0.25">
      <c r="A19" s="8" t="s">
        <v>77</v>
      </c>
      <c r="B19" s="9">
        <f>DATE(2018,9,11)</f>
        <v>43354</v>
      </c>
      <c r="C19" s="12">
        <f t="shared" si="0"/>
        <v>2018</v>
      </c>
      <c r="D19" s="12">
        <f>MONTH(B19)</f>
        <v>9</v>
      </c>
      <c r="E19" s="8" t="s">
        <v>78</v>
      </c>
      <c r="F19" s="8" t="s">
        <v>22</v>
      </c>
      <c r="G19" s="8" t="s">
        <v>84</v>
      </c>
      <c r="H19" s="11">
        <v>0</v>
      </c>
      <c r="I19" s="11">
        <v>1906.7</v>
      </c>
      <c r="J19" s="11">
        <f>H19-I19</f>
        <v>-1906.7</v>
      </c>
      <c r="K19" s="8" t="s">
        <v>22</v>
      </c>
      <c r="L19" s="10">
        <v>1050309</v>
      </c>
      <c r="M19" s="8" t="s">
        <v>22</v>
      </c>
      <c r="N19" s="8" t="s">
        <v>0</v>
      </c>
      <c r="O19" s="8" t="s">
        <v>22</v>
      </c>
      <c r="P19" s="8" t="s">
        <v>23</v>
      </c>
      <c r="Q19" s="8" t="s">
        <v>22</v>
      </c>
      <c r="R19" s="9">
        <f>DATE(2018,9,12)</f>
        <v>43355</v>
      </c>
      <c r="S19" s="8" t="s">
        <v>24</v>
      </c>
      <c r="T19" s="8" t="s">
        <v>22</v>
      </c>
      <c r="U19" s="8" t="s">
        <v>25</v>
      </c>
      <c r="V19" s="8" t="s">
        <v>25</v>
      </c>
      <c r="W19" s="8" t="s">
        <v>26</v>
      </c>
    </row>
    <row r="20" spans="1:23" ht="17.45" customHeight="1" x14ac:dyDescent="0.25">
      <c r="A20" s="8" t="s">
        <v>75</v>
      </c>
      <c r="B20" s="9">
        <f>DATE(2018,10,2)</f>
        <v>43375</v>
      </c>
      <c r="C20" s="12">
        <f t="shared" si="0"/>
        <v>2018</v>
      </c>
      <c r="D20" s="12">
        <f>MONTH(B20)</f>
        <v>10</v>
      </c>
      <c r="E20" s="8" t="s">
        <v>76</v>
      </c>
      <c r="F20" s="8" t="s">
        <v>22</v>
      </c>
      <c r="G20" s="8" t="s">
        <v>100</v>
      </c>
      <c r="H20" s="11">
        <v>0</v>
      </c>
      <c r="I20" s="11">
        <v>380</v>
      </c>
      <c r="J20" s="11">
        <f>H20-I20</f>
        <v>-380</v>
      </c>
      <c r="K20" s="8" t="s">
        <v>22</v>
      </c>
      <c r="L20" s="10">
        <v>1053712</v>
      </c>
      <c r="M20" s="8" t="s">
        <v>22</v>
      </c>
      <c r="N20" s="8" t="s">
        <v>0</v>
      </c>
      <c r="O20" s="8" t="s">
        <v>22</v>
      </c>
      <c r="P20" s="8" t="s">
        <v>23</v>
      </c>
      <c r="Q20" s="8" t="s">
        <v>22</v>
      </c>
      <c r="R20" s="9">
        <f>DATE(2018,10,3)</f>
        <v>43376</v>
      </c>
      <c r="S20" s="8" t="s">
        <v>24</v>
      </c>
      <c r="T20" s="8" t="s">
        <v>22</v>
      </c>
      <c r="U20" s="8" t="s">
        <v>25</v>
      </c>
      <c r="V20" s="8" t="s">
        <v>25</v>
      </c>
      <c r="W20" s="8" t="s">
        <v>26</v>
      </c>
    </row>
    <row r="21" spans="1:23" ht="17.45" customHeight="1" x14ac:dyDescent="0.25">
      <c r="A21" s="8" t="s">
        <v>77</v>
      </c>
      <c r="B21" s="9">
        <f>DATE(2018,10,2)</f>
        <v>43375</v>
      </c>
      <c r="C21" s="12">
        <f t="shared" si="0"/>
        <v>2018</v>
      </c>
      <c r="D21" s="12">
        <f>MONTH(B21)</f>
        <v>10</v>
      </c>
      <c r="E21" s="8" t="s">
        <v>78</v>
      </c>
      <c r="F21" s="8" t="s">
        <v>22</v>
      </c>
      <c r="G21" s="8" t="s">
        <v>100</v>
      </c>
      <c r="H21" s="11">
        <v>0</v>
      </c>
      <c r="I21" s="11">
        <v>1873.2</v>
      </c>
      <c r="J21" s="11">
        <f>H21-I21</f>
        <v>-1873.2</v>
      </c>
      <c r="K21" s="8" t="s">
        <v>22</v>
      </c>
      <c r="L21" s="10">
        <v>1053712</v>
      </c>
      <c r="M21" s="8" t="s">
        <v>22</v>
      </c>
      <c r="N21" s="8" t="s">
        <v>0</v>
      </c>
      <c r="O21" s="8" t="s">
        <v>22</v>
      </c>
      <c r="P21" s="8" t="s">
        <v>23</v>
      </c>
      <c r="Q21" s="8" t="s">
        <v>22</v>
      </c>
      <c r="R21" s="9">
        <f>DATE(2018,10,3)</f>
        <v>43376</v>
      </c>
      <c r="S21" s="8" t="s">
        <v>24</v>
      </c>
      <c r="T21" s="8" t="s">
        <v>22</v>
      </c>
      <c r="U21" s="8" t="s">
        <v>25</v>
      </c>
      <c r="V21" s="8" t="s">
        <v>25</v>
      </c>
      <c r="W21" s="8" t="s">
        <v>26</v>
      </c>
    </row>
    <row r="22" spans="1:23" ht="17.45" customHeight="1" x14ac:dyDescent="0.25">
      <c r="A22" s="8" t="s">
        <v>75</v>
      </c>
      <c r="B22" s="9">
        <f>DATE(2018,11,7)</f>
        <v>43411</v>
      </c>
      <c r="C22" s="12">
        <f t="shared" si="0"/>
        <v>2018</v>
      </c>
      <c r="D22" s="12">
        <f>MONTH(B22)</f>
        <v>11</v>
      </c>
      <c r="E22" s="8" t="s">
        <v>76</v>
      </c>
      <c r="F22" s="8" t="s">
        <v>22</v>
      </c>
      <c r="G22" s="8" t="s">
        <v>99</v>
      </c>
      <c r="H22" s="11">
        <v>0</v>
      </c>
      <c r="I22" s="11">
        <v>380</v>
      </c>
      <c r="J22" s="11">
        <f>H22-I22</f>
        <v>-380</v>
      </c>
      <c r="K22" s="8" t="s">
        <v>22</v>
      </c>
      <c r="L22" s="10">
        <v>1065219</v>
      </c>
      <c r="M22" s="8" t="s">
        <v>22</v>
      </c>
      <c r="N22" s="8" t="s">
        <v>0</v>
      </c>
      <c r="O22" s="8" t="s">
        <v>22</v>
      </c>
      <c r="P22" s="8" t="s">
        <v>23</v>
      </c>
      <c r="Q22" s="8" t="s">
        <v>22</v>
      </c>
      <c r="R22" s="9">
        <f>DATE(2018,11,8)</f>
        <v>43412</v>
      </c>
      <c r="S22" s="8" t="s">
        <v>24</v>
      </c>
      <c r="T22" s="8" t="s">
        <v>22</v>
      </c>
      <c r="U22" s="8" t="s">
        <v>25</v>
      </c>
      <c r="V22" s="8" t="s">
        <v>25</v>
      </c>
      <c r="W22" s="8" t="s">
        <v>26</v>
      </c>
    </row>
    <row r="23" spans="1:23" ht="17.45" customHeight="1" x14ac:dyDescent="0.25">
      <c r="A23" s="8" t="s">
        <v>77</v>
      </c>
      <c r="B23" s="9">
        <f>DATE(2018,11,7)</f>
        <v>43411</v>
      </c>
      <c r="C23" s="12">
        <f t="shared" si="0"/>
        <v>2018</v>
      </c>
      <c r="D23" s="12">
        <f>MONTH(B23)</f>
        <v>11</v>
      </c>
      <c r="E23" s="8" t="s">
        <v>78</v>
      </c>
      <c r="F23" s="8" t="s">
        <v>22</v>
      </c>
      <c r="G23" s="8" t="s">
        <v>99</v>
      </c>
      <c r="H23" s="11">
        <v>0</v>
      </c>
      <c r="I23" s="11">
        <v>1847.4</v>
      </c>
      <c r="J23" s="11">
        <f>H23-I23</f>
        <v>-1847.4</v>
      </c>
      <c r="K23" s="8" t="s">
        <v>22</v>
      </c>
      <c r="L23" s="10">
        <v>1065219</v>
      </c>
      <c r="M23" s="8" t="s">
        <v>22</v>
      </c>
      <c r="N23" s="8" t="s">
        <v>0</v>
      </c>
      <c r="O23" s="8" t="s">
        <v>22</v>
      </c>
      <c r="P23" s="8" t="s">
        <v>23</v>
      </c>
      <c r="Q23" s="8" t="s">
        <v>22</v>
      </c>
      <c r="R23" s="9">
        <f>DATE(2018,11,8)</f>
        <v>43412</v>
      </c>
      <c r="S23" s="8" t="s">
        <v>24</v>
      </c>
      <c r="T23" s="8" t="s">
        <v>22</v>
      </c>
      <c r="U23" s="8" t="s">
        <v>25</v>
      </c>
      <c r="V23" s="8" t="s">
        <v>25</v>
      </c>
      <c r="W23" s="8" t="s">
        <v>26</v>
      </c>
    </row>
    <row r="24" spans="1:23" ht="17.45" customHeight="1" x14ac:dyDescent="0.25">
      <c r="A24" s="8" t="s">
        <v>75</v>
      </c>
      <c r="B24" s="9">
        <f>DATE(2018,12,7)</f>
        <v>43441</v>
      </c>
      <c r="C24" s="12">
        <f t="shared" si="0"/>
        <v>2018</v>
      </c>
      <c r="D24" s="12">
        <f>MONTH(B24)</f>
        <v>12</v>
      </c>
      <c r="E24" s="8" t="s">
        <v>76</v>
      </c>
      <c r="F24" s="8" t="s">
        <v>22</v>
      </c>
      <c r="G24" s="8" t="s">
        <v>101</v>
      </c>
      <c r="H24" s="11">
        <v>0</v>
      </c>
      <c r="I24" s="11">
        <v>380</v>
      </c>
      <c r="J24" s="11">
        <f>H24-I24</f>
        <v>-380</v>
      </c>
      <c r="K24" s="8" t="s">
        <v>22</v>
      </c>
      <c r="L24" s="10">
        <v>1071787</v>
      </c>
      <c r="M24" s="8" t="s">
        <v>22</v>
      </c>
      <c r="N24" s="8" t="s">
        <v>0</v>
      </c>
      <c r="O24" s="8" t="s">
        <v>22</v>
      </c>
      <c r="P24" s="8" t="s">
        <v>23</v>
      </c>
      <c r="Q24" s="8" t="s">
        <v>22</v>
      </c>
      <c r="R24" s="9">
        <f>DATE(2018,12,11)</f>
        <v>43445</v>
      </c>
      <c r="S24" s="8" t="s">
        <v>24</v>
      </c>
      <c r="T24" s="8" t="s">
        <v>22</v>
      </c>
      <c r="U24" s="8" t="s">
        <v>25</v>
      </c>
      <c r="V24" s="8" t="s">
        <v>25</v>
      </c>
      <c r="W24" s="8" t="s">
        <v>26</v>
      </c>
    </row>
    <row r="25" spans="1:23" ht="17.45" customHeight="1" x14ac:dyDescent="0.25">
      <c r="A25" s="8" t="s">
        <v>77</v>
      </c>
      <c r="B25" s="9">
        <f>DATE(2018,12,7)</f>
        <v>43441</v>
      </c>
      <c r="C25" s="12">
        <f t="shared" si="0"/>
        <v>2018</v>
      </c>
      <c r="D25" s="12">
        <f>MONTH(B25)</f>
        <v>12</v>
      </c>
      <c r="E25" s="8" t="s">
        <v>78</v>
      </c>
      <c r="F25" s="8" t="s">
        <v>22</v>
      </c>
      <c r="G25" s="8" t="s">
        <v>101</v>
      </c>
      <c r="H25" s="11">
        <v>0</v>
      </c>
      <c r="I25" s="11">
        <v>1824.6</v>
      </c>
      <c r="J25" s="11">
        <f>H25-I25</f>
        <v>-1824.6</v>
      </c>
      <c r="K25" s="8" t="s">
        <v>22</v>
      </c>
      <c r="L25" s="10">
        <v>1071787</v>
      </c>
      <c r="M25" s="8" t="s">
        <v>22</v>
      </c>
      <c r="N25" s="8" t="s">
        <v>0</v>
      </c>
      <c r="O25" s="8" t="s">
        <v>22</v>
      </c>
      <c r="P25" s="8" t="s">
        <v>23</v>
      </c>
      <c r="Q25" s="8" t="s">
        <v>22</v>
      </c>
      <c r="R25" s="9">
        <f>DATE(2018,12,11)</f>
        <v>43445</v>
      </c>
      <c r="S25" s="8" t="s">
        <v>24</v>
      </c>
      <c r="T25" s="8" t="s">
        <v>22</v>
      </c>
      <c r="U25" s="8" t="s">
        <v>25</v>
      </c>
      <c r="V25" s="8" t="s">
        <v>25</v>
      </c>
      <c r="W25" s="8" t="s">
        <v>26</v>
      </c>
    </row>
    <row r="26" spans="1:23" ht="17.45" customHeight="1" x14ac:dyDescent="0.25">
      <c r="A26" s="8" t="s">
        <v>75</v>
      </c>
      <c r="B26" s="9">
        <f>DATE(2019,1,9)</f>
        <v>43474</v>
      </c>
      <c r="C26" s="12">
        <f t="shared" si="0"/>
        <v>2019</v>
      </c>
      <c r="D26" s="12">
        <f>MONTH(B26)</f>
        <v>1</v>
      </c>
      <c r="E26" s="8" t="s">
        <v>76</v>
      </c>
      <c r="F26" s="8" t="s">
        <v>22</v>
      </c>
      <c r="G26" s="8" t="s">
        <v>102</v>
      </c>
      <c r="H26" s="11">
        <v>0</v>
      </c>
      <c r="I26" s="11">
        <v>380</v>
      </c>
      <c r="J26" s="11">
        <f>H26-I26</f>
        <v>-380</v>
      </c>
      <c r="K26" s="8" t="s">
        <v>22</v>
      </c>
      <c r="L26" s="10">
        <v>1076734</v>
      </c>
      <c r="M26" s="8" t="s">
        <v>22</v>
      </c>
      <c r="N26" s="8" t="s">
        <v>0</v>
      </c>
      <c r="O26" s="8" t="s">
        <v>22</v>
      </c>
      <c r="P26" s="8" t="s">
        <v>23</v>
      </c>
      <c r="Q26" s="8" t="s">
        <v>22</v>
      </c>
      <c r="R26" s="9">
        <f>DATE(2019,1,10)</f>
        <v>43475</v>
      </c>
      <c r="S26" s="8" t="s">
        <v>24</v>
      </c>
      <c r="T26" s="8" t="s">
        <v>22</v>
      </c>
      <c r="U26" s="8" t="s">
        <v>25</v>
      </c>
      <c r="V26" s="8" t="s">
        <v>25</v>
      </c>
      <c r="W26" s="8" t="s">
        <v>26</v>
      </c>
    </row>
    <row r="27" spans="1:23" ht="17.45" customHeight="1" x14ac:dyDescent="0.25">
      <c r="A27" s="8" t="s">
        <v>77</v>
      </c>
      <c r="B27" s="9">
        <f>DATE(2019,1,9)</f>
        <v>43474</v>
      </c>
      <c r="C27" s="12">
        <f t="shared" si="0"/>
        <v>2019</v>
      </c>
      <c r="D27" s="12">
        <f>MONTH(B27)</f>
        <v>1</v>
      </c>
      <c r="E27" s="8" t="s">
        <v>78</v>
      </c>
      <c r="F27" s="8" t="s">
        <v>22</v>
      </c>
      <c r="G27" s="8" t="s">
        <v>102</v>
      </c>
      <c r="H27" s="11">
        <v>0</v>
      </c>
      <c r="I27" s="11">
        <v>1787.3</v>
      </c>
      <c r="J27" s="11">
        <f>H27-I27</f>
        <v>-1787.3</v>
      </c>
      <c r="K27" s="8" t="s">
        <v>22</v>
      </c>
      <c r="L27" s="10">
        <v>1076734</v>
      </c>
      <c r="M27" s="8" t="s">
        <v>22</v>
      </c>
      <c r="N27" s="8" t="s">
        <v>0</v>
      </c>
      <c r="O27" s="8" t="s">
        <v>22</v>
      </c>
      <c r="P27" s="8" t="s">
        <v>23</v>
      </c>
      <c r="Q27" s="8" t="s">
        <v>22</v>
      </c>
      <c r="R27" s="9">
        <f>DATE(2019,1,10)</f>
        <v>43475</v>
      </c>
      <c r="S27" s="8" t="s">
        <v>24</v>
      </c>
      <c r="T27" s="8" t="s">
        <v>22</v>
      </c>
      <c r="U27" s="8" t="s">
        <v>25</v>
      </c>
      <c r="V27" s="8" t="s">
        <v>25</v>
      </c>
      <c r="W27" s="8" t="s">
        <v>26</v>
      </c>
    </row>
    <row r="28" spans="1:23" ht="17.45" customHeight="1" x14ac:dyDescent="0.25">
      <c r="A28" s="8" t="s">
        <v>75</v>
      </c>
      <c r="B28" s="9">
        <f>DATE(2019,2,12)</f>
        <v>43508</v>
      </c>
      <c r="C28" s="12">
        <f t="shared" si="0"/>
        <v>2019</v>
      </c>
      <c r="D28" s="12">
        <f>MONTH(B28)</f>
        <v>2</v>
      </c>
      <c r="E28" s="8" t="s">
        <v>76</v>
      </c>
      <c r="F28" s="8" t="s">
        <v>22</v>
      </c>
      <c r="G28" s="8" t="s">
        <v>103</v>
      </c>
      <c r="H28" s="11">
        <v>0</v>
      </c>
      <c r="I28" s="11">
        <v>380</v>
      </c>
      <c r="J28" s="11">
        <f>H28-I28</f>
        <v>-380</v>
      </c>
      <c r="K28" s="8" t="s">
        <v>22</v>
      </c>
      <c r="L28" s="10">
        <v>1081891</v>
      </c>
      <c r="M28" s="8" t="s">
        <v>22</v>
      </c>
      <c r="N28" s="8" t="s">
        <v>0</v>
      </c>
      <c r="O28" s="8" t="s">
        <v>22</v>
      </c>
      <c r="P28" s="8" t="s">
        <v>23</v>
      </c>
      <c r="Q28" s="8" t="s">
        <v>22</v>
      </c>
      <c r="R28" s="9">
        <f>DATE(2019,2,13)</f>
        <v>43509</v>
      </c>
      <c r="S28" s="8" t="s">
        <v>24</v>
      </c>
      <c r="T28" s="8" t="s">
        <v>22</v>
      </c>
      <c r="U28" s="8" t="s">
        <v>25</v>
      </c>
      <c r="V28" s="8" t="s">
        <v>25</v>
      </c>
      <c r="W28" s="8" t="s">
        <v>26</v>
      </c>
    </row>
    <row r="29" spans="1:23" ht="17.45" customHeight="1" x14ac:dyDescent="0.25">
      <c r="A29" s="8" t="s">
        <v>77</v>
      </c>
      <c r="B29" s="9">
        <f>DATE(2019,2,12)</f>
        <v>43508</v>
      </c>
      <c r="C29" s="12">
        <f t="shared" si="0"/>
        <v>2019</v>
      </c>
      <c r="D29" s="12">
        <f>MONTH(B29)</f>
        <v>2</v>
      </c>
      <c r="E29" s="8" t="s">
        <v>78</v>
      </c>
      <c r="F29" s="8" t="s">
        <v>22</v>
      </c>
      <c r="G29" s="8" t="s">
        <v>103</v>
      </c>
      <c r="H29" s="11">
        <v>0</v>
      </c>
      <c r="I29" s="11">
        <v>1755</v>
      </c>
      <c r="J29" s="11">
        <f>H29-I29</f>
        <v>-1755</v>
      </c>
      <c r="K29" s="8" t="s">
        <v>22</v>
      </c>
      <c r="L29" s="10">
        <v>1081891</v>
      </c>
      <c r="M29" s="8" t="s">
        <v>22</v>
      </c>
      <c r="N29" s="8" t="s">
        <v>0</v>
      </c>
      <c r="O29" s="8" t="s">
        <v>22</v>
      </c>
      <c r="P29" s="8" t="s">
        <v>23</v>
      </c>
      <c r="Q29" s="8" t="s">
        <v>22</v>
      </c>
      <c r="R29" s="9">
        <f>DATE(2019,2,13)</f>
        <v>43509</v>
      </c>
      <c r="S29" s="8" t="s">
        <v>24</v>
      </c>
      <c r="T29" s="8" t="s">
        <v>22</v>
      </c>
      <c r="U29" s="8" t="s">
        <v>25</v>
      </c>
      <c r="V29" s="8" t="s">
        <v>25</v>
      </c>
      <c r="W29" s="8" t="s">
        <v>26</v>
      </c>
    </row>
    <row r="30" spans="1:23" ht="17.45" customHeight="1" x14ac:dyDescent="0.25">
      <c r="A30" s="8" t="s">
        <v>75</v>
      </c>
      <c r="B30" s="9">
        <f>DATE(2019,3,12)</f>
        <v>43536</v>
      </c>
      <c r="C30" s="12">
        <f t="shared" si="0"/>
        <v>2019</v>
      </c>
      <c r="D30" s="12">
        <f>MONTH(B30)</f>
        <v>3</v>
      </c>
      <c r="E30" s="8" t="s">
        <v>76</v>
      </c>
      <c r="F30" s="8" t="s">
        <v>22</v>
      </c>
      <c r="G30" s="8" t="s">
        <v>104</v>
      </c>
      <c r="H30" s="11">
        <v>0</v>
      </c>
      <c r="I30" s="11">
        <v>380</v>
      </c>
      <c r="J30" s="11">
        <f>H30-I30</f>
        <v>-380</v>
      </c>
      <c r="K30" s="8" t="s">
        <v>22</v>
      </c>
      <c r="L30" s="10">
        <v>1086375</v>
      </c>
      <c r="M30" s="8" t="s">
        <v>22</v>
      </c>
      <c r="N30" s="8" t="s">
        <v>0</v>
      </c>
      <c r="O30" s="8" t="s">
        <v>22</v>
      </c>
      <c r="P30" s="8" t="s">
        <v>23</v>
      </c>
      <c r="Q30" s="8" t="s">
        <v>22</v>
      </c>
      <c r="R30" s="9">
        <f>DATE(2019,3,13)</f>
        <v>43537</v>
      </c>
      <c r="S30" s="8" t="s">
        <v>24</v>
      </c>
      <c r="T30" s="8" t="s">
        <v>22</v>
      </c>
      <c r="U30" s="8" t="s">
        <v>25</v>
      </c>
      <c r="V30" s="8" t="s">
        <v>25</v>
      </c>
      <c r="W30" s="8" t="s">
        <v>26</v>
      </c>
    </row>
    <row r="31" spans="1:23" ht="17.45" customHeight="1" x14ac:dyDescent="0.25">
      <c r="A31" s="8" t="s">
        <v>77</v>
      </c>
      <c r="B31" s="9">
        <f>DATE(2019,3,12)</f>
        <v>43536</v>
      </c>
      <c r="C31" s="12">
        <f t="shared" si="0"/>
        <v>2019</v>
      </c>
      <c r="D31" s="12">
        <f>MONTH(B31)</f>
        <v>3</v>
      </c>
      <c r="E31" s="8" t="s">
        <v>78</v>
      </c>
      <c r="F31" s="8" t="s">
        <v>22</v>
      </c>
      <c r="G31" s="8" t="s">
        <v>104</v>
      </c>
      <c r="H31" s="11">
        <v>0</v>
      </c>
      <c r="I31" s="11">
        <v>1729.5</v>
      </c>
      <c r="J31" s="11">
        <f>H31-I31</f>
        <v>-1729.5</v>
      </c>
      <c r="K31" s="8" t="s">
        <v>22</v>
      </c>
      <c r="L31" s="10">
        <v>1086375</v>
      </c>
      <c r="M31" s="8" t="s">
        <v>22</v>
      </c>
      <c r="N31" s="8" t="s">
        <v>0</v>
      </c>
      <c r="O31" s="8" t="s">
        <v>22</v>
      </c>
      <c r="P31" s="8" t="s">
        <v>23</v>
      </c>
      <c r="Q31" s="8" t="s">
        <v>22</v>
      </c>
      <c r="R31" s="9">
        <f>DATE(2019,3,13)</f>
        <v>43537</v>
      </c>
      <c r="S31" s="8" t="s">
        <v>24</v>
      </c>
      <c r="T31" s="8" t="s">
        <v>22</v>
      </c>
      <c r="U31" s="8" t="s">
        <v>25</v>
      </c>
      <c r="V31" s="8" t="s">
        <v>25</v>
      </c>
      <c r="W31" s="8" t="s">
        <v>26</v>
      </c>
    </row>
    <row r="32" spans="1:23" ht="17.45" customHeight="1" x14ac:dyDescent="0.25">
      <c r="A32" s="8" t="s">
        <v>75</v>
      </c>
      <c r="B32" s="9">
        <f>DATE(2019,4,8)</f>
        <v>43563</v>
      </c>
      <c r="C32" s="12">
        <f t="shared" si="0"/>
        <v>2019</v>
      </c>
      <c r="D32" s="12">
        <f>MONTH(B32)</f>
        <v>4</v>
      </c>
      <c r="E32" s="8" t="s">
        <v>76</v>
      </c>
      <c r="F32" s="8" t="s">
        <v>22</v>
      </c>
      <c r="G32" s="8" t="s">
        <v>105</v>
      </c>
      <c r="H32" s="11">
        <v>0</v>
      </c>
      <c r="I32" s="11">
        <v>380</v>
      </c>
      <c r="J32" s="11">
        <f>H32-I32</f>
        <v>-380</v>
      </c>
      <c r="K32" s="8" t="s">
        <v>22</v>
      </c>
      <c r="L32" s="10">
        <v>1090888</v>
      </c>
      <c r="M32" s="8" t="s">
        <v>22</v>
      </c>
      <c r="N32" s="8" t="s">
        <v>0</v>
      </c>
      <c r="O32" s="8" t="s">
        <v>22</v>
      </c>
      <c r="P32" s="8" t="s">
        <v>23</v>
      </c>
      <c r="Q32" s="8" t="s">
        <v>22</v>
      </c>
      <c r="R32" s="9">
        <f>DATE(2019,4,9)</f>
        <v>43564</v>
      </c>
      <c r="S32" s="8" t="s">
        <v>24</v>
      </c>
      <c r="T32" s="8" t="s">
        <v>22</v>
      </c>
      <c r="U32" s="8" t="s">
        <v>25</v>
      </c>
      <c r="V32" s="8" t="s">
        <v>25</v>
      </c>
      <c r="W32" s="8" t="s">
        <v>26</v>
      </c>
    </row>
    <row r="33" spans="1:23" ht="17.45" customHeight="1" x14ac:dyDescent="0.25">
      <c r="A33" s="8" t="s">
        <v>77</v>
      </c>
      <c r="B33" s="9">
        <f>DATE(2019,4,8)</f>
        <v>43563</v>
      </c>
      <c r="C33" s="12">
        <f t="shared" si="0"/>
        <v>2019</v>
      </c>
      <c r="D33" s="12">
        <f>MONTH(B33)</f>
        <v>4</v>
      </c>
      <c r="E33" s="8" t="s">
        <v>78</v>
      </c>
      <c r="F33" s="8" t="s">
        <v>22</v>
      </c>
      <c r="G33" s="8" t="s">
        <v>105</v>
      </c>
      <c r="H33" s="11">
        <v>0</v>
      </c>
      <c r="I33" s="11">
        <v>1701.5</v>
      </c>
      <c r="J33" s="11">
        <f>H33-I33</f>
        <v>-1701.5</v>
      </c>
      <c r="K33" s="8" t="s">
        <v>22</v>
      </c>
      <c r="L33" s="10">
        <v>1090888</v>
      </c>
      <c r="M33" s="8" t="s">
        <v>22</v>
      </c>
      <c r="N33" s="8" t="s">
        <v>0</v>
      </c>
      <c r="O33" s="8" t="s">
        <v>22</v>
      </c>
      <c r="P33" s="8" t="s">
        <v>23</v>
      </c>
      <c r="Q33" s="8" t="s">
        <v>22</v>
      </c>
      <c r="R33" s="9">
        <f>DATE(2019,4,9)</f>
        <v>43564</v>
      </c>
      <c r="S33" s="8" t="s">
        <v>24</v>
      </c>
      <c r="T33" s="8" t="s">
        <v>22</v>
      </c>
      <c r="U33" s="8" t="s">
        <v>25</v>
      </c>
      <c r="V33" s="8" t="s">
        <v>25</v>
      </c>
      <c r="W33" s="8" t="s">
        <v>26</v>
      </c>
    </row>
    <row r="34" spans="1:23" ht="17.45" customHeight="1" x14ac:dyDescent="0.25">
      <c r="A34" s="8" t="s">
        <v>75</v>
      </c>
      <c r="B34" s="9">
        <f>DATE(2019,4,23)</f>
        <v>43578</v>
      </c>
      <c r="C34" s="12">
        <f t="shared" si="0"/>
        <v>2019</v>
      </c>
      <c r="D34" s="12">
        <f>MONTH(B34)</f>
        <v>4</v>
      </c>
      <c r="E34" s="8" t="s">
        <v>76</v>
      </c>
      <c r="F34" s="8" t="s">
        <v>22</v>
      </c>
      <c r="G34" s="8" t="s">
        <v>106</v>
      </c>
      <c r="H34" s="11">
        <v>0</v>
      </c>
      <c r="I34" s="11">
        <v>16.95</v>
      </c>
      <c r="J34" s="11">
        <f>H34-I34</f>
        <v>-16.95</v>
      </c>
      <c r="K34" s="8" t="s">
        <v>22</v>
      </c>
      <c r="L34" s="10">
        <v>1093404</v>
      </c>
      <c r="M34" s="8" t="s">
        <v>22</v>
      </c>
      <c r="N34" s="8" t="s">
        <v>0</v>
      </c>
      <c r="O34" s="8" t="s">
        <v>22</v>
      </c>
      <c r="P34" s="8" t="s">
        <v>23</v>
      </c>
      <c r="Q34" s="8" t="s">
        <v>22</v>
      </c>
      <c r="R34" s="9">
        <f>DATE(2019,4,24)</f>
        <v>43579</v>
      </c>
      <c r="S34" s="8" t="s">
        <v>24</v>
      </c>
      <c r="T34" s="8" t="s">
        <v>22</v>
      </c>
      <c r="U34" s="8" t="s">
        <v>25</v>
      </c>
      <c r="V34" s="8" t="s">
        <v>25</v>
      </c>
      <c r="W34" s="8" t="s">
        <v>26</v>
      </c>
    </row>
    <row r="35" spans="1:23" ht="17.45" customHeight="1" x14ac:dyDescent="0.25">
      <c r="A35" s="8" t="s">
        <v>75</v>
      </c>
      <c r="B35" s="9">
        <f>DATE(2019,5,8)</f>
        <v>43593</v>
      </c>
      <c r="C35" s="12">
        <f t="shared" si="0"/>
        <v>2019</v>
      </c>
      <c r="D35" s="12">
        <f>MONTH(B35)</f>
        <v>5</v>
      </c>
      <c r="E35" s="8" t="s">
        <v>76</v>
      </c>
      <c r="F35" s="8" t="s">
        <v>22</v>
      </c>
      <c r="G35" s="8" t="s">
        <v>107</v>
      </c>
      <c r="H35" s="11">
        <v>0</v>
      </c>
      <c r="I35" s="11">
        <v>380</v>
      </c>
      <c r="J35" s="11">
        <f>H35-I35</f>
        <v>-380</v>
      </c>
      <c r="K35" s="8" t="s">
        <v>22</v>
      </c>
      <c r="L35" s="10">
        <v>1095303</v>
      </c>
      <c r="M35" s="8" t="s">
        <v>22</v>
      </c>
      <c r="N35" s="8" t="s">
        <v>0</v>
      </c>
      <c r="O35" s="8" t="s">
        <v>22</v>
      </c>
      <c r="P35" s="8" t="s">
        <v>23</v>
      </c>
      <c r="Q35" s="8" t="s">
        <v>22</v>
      </c>
      <c r="R35" s="9">
        <f>DATE(2019,5,9)</f>
        <v>43594</v>
      </c>
      <c r="S35" s="8" t="s">
        <v>24</v>
      </c>
      <c r="T35" s="8" t="s">
        <v>22</v>
      </c>
      <c r="U35" s="8" t="s">
        <v>25</v>
      </c>
      <c r="V35" s="8" t="s">
        <v>25</v>
      </c>
      <c r="W35" s="8" t="s">
        <v>26</v>
      </c>
    </row>
    <row r="36" spans="1:23" ht="17.45" customHeight="1" x14ac:dyDescent="0.25">
      <c r="A36" s="8" t="s">
        <v>77</v>
      </c>
      <c r="B36" s="9">
        <f>DATE(2019,5,8)</f>
        <v>43593</v>
      </c>
      <c r="C36" s="12">
        <f t="shared" si="0"/>
        <v>2019</v>
      </c>
      <c r="D36" s="12">
        <f>MONTH(B36)</f>
        <v>5</v>
      </c>
      <c r="E36" s="8" t="s">
        <v>78</v>
      </c>
      <c r="F36" s="8" t="s">
        <v>22</v>
      </c>
      <c r="G36" s="8" t="s">
        <v>107</v>
      </c>
      <c r="H36" s="11">
        <v>0</v>
      </c>
      <c r="I36" s="11">
        <v>1734.8</v>
      </c>
      <c r="J36" s="11">
        <f>H36-I36</f>
        <v>-1734.8</v>
      </c>
      <c r="K36" s="8" t="s">
        <v>22</v>
      </c>
      <c r="L36" s="10">
        <v>1095303</v>
      </c>
      <c r="M36" s="8" t="s">
        <v>22</v>
      </c>
      <c r="N36" s="8" t="s">
        <v>0</v>
      </c>
      <c r="O36" s="8" t="s">
        <v>22</v>
      </c>
      <c r="P36" s="8" t="s">
        <v>23</v>
      </c>
      <c r="Q36" s="8" t="s">
        <v>22</v>
      </c>
      <c r="R36" s="9">
        <f>DATE(2019,5,9)</f>
        <v>43594</v>
      </c>
      <c r="S36" s="8" t="s">
        <v>24</v>
      </c>
      <c r="T36" s="8" t="s">
        <v>22</v>
      </c>
      <c r="U36" s="8" t="s">
        <v>25</v>
      </c>
      <c r="V36" s="8" t="s">
        <v>25</v>
      </c>
      <c r="W36" s="8" t="s">
        <v>26</v>
      </c>
    </row>
    <row r="37" spans="1:23" ht="17.45" customHeight="1" x14ac:dyDescent="0.25">
      <c r="A37" s="8" t="s">
        <v>75</v>
      </c>
      <c r="B37" s="9">
        <f>DATE(2019,6,14)</f>
        <v>43630</v>
      </c>
      <c r="C37" s="12">
        <f t="shared" si="0"/>
        <v>2019</v>
      </c>
      <c r="D37" s="12">
        <f>MONTH(B37)</f>
        <v>6</v>
      </c>
      <c r="E37" s="8" t="s">
        <v>76</v>
      </c>
      <c r="F37" s="8" t="s">
        <v>22</v>
      </c>
      <c r="G37" s="8" t="s">
        <v>108</v>
      </c>
      <c r="H37" s="11">
        <v>0</v>
      </c>
      <c r="I37" s="11">
        <v>720</v>
      </c>
      <c r="J37" s="11">
        <f>H37-I37</f>
        <v>-720</v>
      </c>
      <c r="K37" s="8" t="s">
        <v>22</v>
      </c>
      <c r="L37" s="10">
        <v>1101263</v>
      </c>
      <c r="M37" s="8" t="s">
        <v>22</v>
      </c>
      <c r="N37" s="8" t="s">
        <v>0</v>
      </c>
      <c r="O37" s="8" t="s">
        <v>22</v>
      </c>
      <c r="P37" s="8" t="s">
        <v>23</v>
      </c>
      <c r="Q37" s="8" t="s">
        <v>22</v>
      </c>
      <c r="R37" s="9">
        <f>DATE(2019,6,17)</f>
        <v>43633</v>
      </c>
      <c r="S37" s="8" t="s">
        <v>24</v>
      </c>
      <c r="T37" s="8" t="s">
        <v>22</v>
      </c>
      <c r="U37" s="8" t="s">
        <v>25</v>
      </c>
      <c r="V37" s="8" t="s">
        <v>25</v>
      </c>
      <c r="W37" s="8" t="s">
        <v>26</v>
      </c>
    </row>
    <row r="38" spans="1:23" ht="17.45" customHeight="1" x14ac:dyDescent="0.25">
      <c r="A38" s="8" t="s">
        <v>77</v>
      </c>
      <c r="B38" s="9">
        <f>DATE(2019,6,14)</f>
        <v>43630</v>
      </c>
      <c r="C38" s="12">
        <f t="shared" si="0"/>
        <v>2019</v>
      </c>
      <c r="D38" s="12">
        <f>MONTH(B38)</f>
        <v>6</v>
      </c>
      <c r="E38" s="8" t="s">
        <v>78</v>
      </c>
      <c r="F38" s="8" t="s">
        <v>22</v>
      </c>
      <c r="G38" s="8" t="s">
        <v>108</v>
      </c>
      <c r="H38" s="11">
        <v>0</v>
      </c>
      <c r="I38" s="11">
        <v>3374.8</v>
      </c>
      <c r="J38" s="11">
        <f>H38-I38</f>
        <v>-3374.8</v>
      </c>
      <c r="K38" s="8" t="s">
        <v>22</v>
      </c>
      <c r="L38" s="10">
        <v>1101263</v>
      </c>
      <c r="M38" s="8" t="s">
        <v>22</v>
      </c>
      <c r="N38" s="8" t="s">
        <v>0</v>
      </c>
      <c r="O38" s="8" t="s">
        <v>22</v>
      </c>
      <c r="P38" s="8" t="s">
        <v>23</v>
      </c>
      <c r="Q38" s="8" t="s">
        <v>22</v>
      </c>
      <c r="R38" s="9">
        <f>DATE(2019,6,17)</f>
        <v>43633</v>
      </c>
      <c r="S38" s="8" t="s">
        <v>24</v>
      </c>
      <c r="T38" s="8" t="s">
        <v>22</v>
      </c>
      <c r="U38" s="8" t="s">
        <v>25</v>
      </c>
      <c r="V38" s="8" t="s">
        <v>25</v>
      </c>
      <c r="W38" s="8" t="s">
        <v>26</v>
      </c>
    </row>
    <row r="39" spans="1:23" ht="17.45" customHeight="1" x14ac:dyDescent="0.25">
      <c r="A39" s="8" t="s">
        <v>75</v>
      </c>
      <c r="B39" s="9">
        <f>DATE(2019,7,9)</f>
        <v>43655</v>
      </c>
      <c r="C39" s="12">
        <f t="shared" si="0"/>
        <v>2019</v>
      </c>
      <c r="D39" s="12">
        <f>MONTH(B39)</f>
        <v>7</v>
      </c>
      <c r="E39" s="8" t="s">
        <v>76</v>
      </c>
      <c r="F39" s="8" t="s">
        <v>22</v>
      </c>
      <c r="G39" s="8" t="s">
        <v>109</v>
      </c>
      <c r="H39" s="11">
        <v>0</v>
      </c>
      <c r="I39" s="11">
        <v>720</v>
      </c>
      <c r="J39" s="11">
        <f>H39-I39</f>
        <v>-720</v>
      </c>
      <c r="K39" s="8" t="s">
        <v>22</v>
      </c>
      <c r="L39" s="10">
        <v>1104692</v>
      </c>
      <c r="M39" s="8" t="s">
        <v>22</v>
      </c>
      <c r="N39" s="8" t="s">
        <v>0</v>
      </c>
      <c r="O39" s="8" t="s">
        <v>22</v>
      </c>
      <c r="P39" s="8" t="s">
        <v>23</v>
      </c>
      <c r="Q39" s="8" t="s">
        <v>22</v>
      </c>
      <c r="R39" s="9">
        <f>DATE(2019,7,10)</f>
        <v>43656</v>
      </c>
      <c r="S39" s="8" t="s">
        <v>24</v>
      </c>
      <c r="T39" s="8" t="s">
        <v>22</v>
      </c>
      <c r="U39" s="8" t="s">
        <v>25</v>
      </c>
      <c r="V39" s="8" t="s">
        <v>25</v>
      </c>
      <c r="W39" s="8" t="s">
        <v>26</v>
      </c>
    </row>
    <row r="40" spans="1:23" ht="17.45" customHeight="1" x14ac:dyDescent="0.25">
      <c r="A40" s="8" t="s">
        <v>77</v>
      </c>
      <c r="B40" s="9">
        <f>DATE(2019,7,9)</f>
        <v>43655</v>
      </c>
      <c r="C40" s="12">
        <f t="shared" si="0"/>
        <v>2019</v>
      </c>
      <c r="D40" s="12">
        <f>MONTH(B40)</f>
        <v>7</v>
      </c>
      <c r="E40" s="8" t="s">
        <v>78</v>
      </c>
      <c r="F40" s="8" t="s">
        <v>22</v>
      </c>
      <c r="G40" s="8" t="s">
        <v>109</v>
      </c>
      <c r="H40" s="11">
        <v>0</v>
      </c>
      <c r="I40" s="11">
        <v>1243.8</v>
      </c>
      <c r="J40" s="11">
        <f>H40-I40</f>
        <v>-1243.8</v>
      </c>
      <c r="K40" s="8" t="s">
        <v>22</v>
      </c>
      <c r="L40" s="10">
        <v>1104692</v>
      </c>
      <c r="M40" s="8" t="s">
        <v>22</v>
      </c>
      <c r="N40" s="8" t="s">
        <v>0</v>
      </c>
      <c r="O40" s="8" t="s">
        <v>22</v>
      </c>
      <c r="P40" s="8" t="s">
        <v>23</v>
      </c>
      <c r="Q40" s="8" t="s">
        <v>22</v>
      </c>
      <c r="R40" s="9">
        <f>DATE(2019,7,10)</f>
        <v>43656</v>
      </c>
      <c r="S40" s="8" t="s">
        <v>24</v>
      </c>
      <c r="T40" s="8" t="s">
        <v>22</v>
      </c>
      <c r="U40" s="8" t="s">
        <v>25</v>
      </c>
      <c r="V40" s="8" t="s">
        <v>25</v>
      </c>
      <c r="W40" s="8" t="s">
        <v>26</v>
      </c>
    </row>
    <row r="41" spans="1:23" ht="17.45" customHeight="1" x14ac:dyDescent="0.25">
      <c r="A41" s="8" t="s">
        <v>77</v>
      </c>
      <c r="B41" s="9">
        <f>DATE(2019,7,9)</f>
        <v>43655</v>
      </c>
      <c r="C41" s="12">
        <f t="shared" si="0"/>
        <v>2019</v>
      </c>
      <c r="D41" s="12">
        <f>MONTH(B41)</f>
        <v>7</v>
      </c>
      <c r="E41" s="8" t="s">
        <v>78</v>
      </c>
      <c r="F41" s="8" t="s">
        <v>22</v>
      </c>
      <c r="G41" s="8" t="s">
        <v>109</v>
      </c>
      <c r="H41" s="11">
        <v>0</v>
      </c>
      <c r="I41" s="11">
        <v>2078</v>
      </c>
      <c r="J41" s="11">
        <f>H41-I41</f>
        <v>-2078</v>
      </c>
      <c r="K41" s="8" t="s">
        <v>22</v>
      </c>
      <c r="L41" s="10">
        <v>1104692</v>
      </c>
      <c r="M41" s="8" t="s">
        <v>22</v>
      </c>
      <c r="N41" s="8" t="s">
        <v>0</v>
      </c>
      <c r="O41" s="8" t="s">
        <v>22</v>
      </c>
      <c r="P41" s="8" t="s">
        <v>23</v>
      </c>
      <c r="Q41" s="8" t="s">
        <v>22</v>
      </c>
      <c r="R41" s="9">
        <f>DATE(2019,7,10)</f>
        <v>43656</v>
      </c>
      <c r="S41" s="8" t="s">
        <v>24</v>
      </c>
      <c r="T41" s="8" t="s">
        <v>22</v>
      </c>
      <c r="U41" s="8" t="s">
        <v>25</v>
      </c>
      <c r="V41" s="8" t="s">
        <v>25</v>
      </c>
      <c r="W41" s="8" t="s">
        <v>26</v>
      </c>
    </row>
    <row r="42" spans="1:23" ht="17.45" customHeight="1" x14ac:dyDescent="0.25">
      <c r="A42" s="8" t="s">
        <v>75</v>
      </c>
      <c r="B42" s="9">
        <f>DATE(2019,8,20)</f>
        <v>43697</v>
      </c>
      <c r="C42" s="12">
        <f t="shared" si="0"/>
        <v>2019</v>
      </c>
      <c r="D42" s="12">
        <f>MONTH(B42)</f>
        <v>8</v>
      </c>
      <c r="E42" s="8" t="s">
        <v>76</v>
      </c>
      <c r="F42" s="8" t="s">
        <v>22</v>
      </c>
      <c r="G42" s="8" t="s">
        <v>110</v>
      </c>
      <c r="H42" s="11">
        <v>0</v>
      </c>
      <c r="I42" s="11">
        <v>720</v>
      </c>
      <c r="J42" s="11">
        <f>H42-I42</f>
        <v>-720</v>
      </c>
      <c r="K42" s="8" t="s">
        <v>22</v>
      </c>
      <c r="L42" s="10">
        <v>1111991</v>
      </c>
      <c r="M42" s="8" t="s">
        <v>22</v>
      </c>
      <c r="N42" s="8" t="s">
        <v>0</v>
      </c>
      <c r="O42" s="8" t="s">
        <v>22</v>
      </c>
      <c r="P42" s="8" t="s">
        <v>23</v>
      </c>
      <c r="Q42" s="8" t="s">
        <v>22</v>
      </c>
      <c r="R42" s="9">
        <f>DATE(2019,8,21)</f>
        <v>43698</v>
      </c>
      <c r="S42" s="8" t="s">
        <v>24</v>
      </c>
      <c r="T42" s="8" t="s">
        <v>22</v>
      </c>
      <c r="U42" s="8" t="s">
        <v>25</v>
      </c>
      <c r="V42" s="8" t="s">
        <v>25</v>
      </c>
      <c r="W42" s="8" t="s">
        <v>26</v>
      </c>
    </row>
    <row r="43" spans="1:23" ht="17.45" customHeight="1" x14ac:dyDescent="0.25">
      <c r="A43" s="8" t="s">
        <v>77</v>
      </c>
      <c r="B43" s="9">
        <f>DATE(2019,8,20)</f>
        <v>43697</v>
      </c>
      <c r="C43" s="12">
        <f t="shared" si="0"/>
        <v>2019</v>
      </c>
      <c r="D43" s="12">
        <f>MONTH(B43)</f>
        <v>8</v>
      </c>
      <c r="E43" s="8" t="s">
        <v>78</v>
      </c>
      <c r="F43" s="8" t="s">
        <v>22</v>
      </c>
      <c r="G43" s="8" t="s">
        <v>110</v>
      </c>
      <c r="H43" s="11">
        <v>0</v>
      </c>
      <c r="I43" s="11">
        <v>1227</v>
      </c>
      <c r="J43" s="11">
        <f>H43-I43</f>
        <v>-1227</v>
      </c>
      <c r="K43" s="8" t="s">
        <v>22</v>
      </c>
      <c r="L43" s="10">
        <v>1111991</v>
      </c>
      <c r="M43" s="8" t="s">
        <v>22</v>
      </c>
      <c r="N43" s="8" t="s">
        <v>0</v>
      </c>
      <c r="O43" s="8" t="s">
        <v>22</v>
      </c>
      <c r="P43" s="8" t="s">
        <v>23</v>
      </c>
      <c r="Q43" s="8" t="s">
        <v>22</v>
      </c>
      <c r="R43" s="9">
        <f>DATE(2019,8,21)</f>
        <v>43698</v>
      </c>
      <c r="S43" s="8" t="s">
        <v>24</v>
      </c>
      <c r="T43" s="8" t="s">
        <v>22</v>
      </c>
      <c r="U43" s="8" t="s">
        <v>25</v>
      </c>
      <c r="V43" s="8" t="s">
        <v>25</v>
      </c>
      <c r="W43" s="8" t="s">
        <v>26</v>
      </c>
    </row>
    <row r="44" spans="1:23" ht="17.45" customHeight="1" x14ac:dyDescent="0.25">
      <c r="A44" s="8" t="s">
        <v>77</v>
      </c>
      <c r="B44" s="9">
        <f>DATE(2019,8,20)</f>
        <v>43697</v>
      </c>
      <c r="C44" s="12">
        <f t="shared" si="0"/>
        <v>2019</v>
      </c>
      <c r="D44" s="12">
        <f>MONTH(B44)</f>
        <v>8</v>
      </c>
      <c r="E44" s="8" t="s">
        <v>78</v>
      </c>
      <c r="F44" s="8" t="s">
        <v>22</v>
      </c>
      <c r="G44" s="8" t="s">
        <v>110</v>
      </c>
      <c r="H44" s="11">
        <v>0</v>
      </c>
      <c r="I44" s="11">
        <v>2046</v>
      </c>
      <c r="J44" s="11">
        <f>H44-I44</f>
        <v>-2046</v>
      </c>
      <c r="K44" s="8" t="s">
        <v>22</v>
      </c>
      <c r="L44" s="10">
        <v>1111991</v>
      </c>
      <c r="M44" s="8" t="s">
        <v>22</v>
      </c>
      <c r="N44" s="8" t="s">
        <v>0</v>
      </c>
      <c r="O44" s="8" t="s">
        <v>22</v>
      </c>
      <c r="P44" s="8" t="s">
        <v>23</v>
      </c>
      <c r="Q44" s="8" t="s">
        <v>22</v>
      </c>
      <c r="R44" s="9">
        <f>DATE(2019,8,21)</f>
        <v>43698</v>
      </c>
      <c r="S44" s="8" t="s">
        <v>24</v>
      </c>
      <c r="T44" s="8" t="s">
        <v>22</v>
      </c>
      <c r="U44" s="8" t="s">
        <v>25</v>
      </c>
      <c r="V44" s="8" t="s">
        <v>25</v>
      </c>
      <c r="W44" s="8" t="s">
        <v>26</v>
      </c>
    </row>
    <row r="45" spans="1:23" ht="17.45" customHeight="1" x14ac:dyDescent="0.25">
      <c r="A45" s="8" t="s">
        <v>75</v>
      </c>
      <c r="B45" s="9">
        <f>DATE(2019,9,10)</f>
        <v>43718</v>
      </c>
      <c r="C45" s="12">
        <f t="shared" si="0"/>
        <v>2019</v>
      </c>
      <c r="D45" s="12">
        <f>MONTH(B45)</f>
        <v>9</v>
      </c>
      <c r="E45" s="8" t="s">
        <v>76</v>
      </c>
      <c r="F45" s="8" t="s">
        <v>22</v>
      </c>
      <c r="G45" s="8" t="s">
        <v>111</v>
      </c>
      <c r="H45" s="11">
        <v>0</v>
      </c>
      <c r="I45" s="11">
        <v>720</v>
      </c>
      <c r="J45" s="11">
        <f>H45-I45</f>
        <v>-720</v>
      </c>
      <c r="K45" s="8" t="s">
        <v>22</v>
      </c>
      <c r="L45" s="10">
        <v>29690</v>
      </c>
      <c r="M45" s="8" t="s">
        <v>22</v>
      </c>
      <c r="N45" s="8" t="s">
        <v>0</v>
      </c>
      <c r="O45" s="8" t="s">
        <v>22</v>
      </c>
      <c r="P45" s="8" t="s">
        <v>23</v>
      </c>
      <c r="Q45" s="8" t="s">
        <v>22</v>
      </c>
      <c r="R45" s="9">
        <f>DATE(2019,9,11)</f>
        <v>43719</v>
      </c>
      <c r="S45" s="8" t="s">
        <v>24</v>
      </c>
      <c r="T45" s="8" t="s">
        <v>22</v>
      </c>
      <c r="U45" s="8" t="s">
        <v>25</v>
      </c>
      <c r="V45" s="8" t="s">
        <v>25</v>
      </c>
      <c r="W45" s="8" t="s">
        <v>26</v>
      </c>
    </row>
    <row r="46" spans="1:23" ht="17.45" customHeight="1" x14ac:dyDescent="0.25">
      <c r="A46" s="8" t="s">
        <v>77</v>
      </c>
      <c r="B46" s="9">
        <f>DATE(2019,9,10)</f>
        <v>43718</v>
      </c>
      <c r="C46" s="12">
        <f t="shared" si="0"/>
        <v>2019</v>
      </c>
      <c r="D46" s="12">
        <f>MONTH(B46)</f>
        <v>9</v>
      </c>
      <c r="E46" s="8" t="s">
        <v>78</v>
      </c>
      <c r="F46" s="8" t="s">
        <v>22</v>
      </c>
      <c r="G46" s="8" t="s">
        <v>111</v>
      </c>
      <c r="H46" s="11">
        <v>0</v>
      </c>
      <c r="I46" s="11">
        <v>1207.2</v>
      </c>
      <c r="J46" s="11">
        <f>H46-I46</f>
        <v>-1207.2</v>
      </c>
      <c r="K46" s="8" t="s">
        <v>22</v>
      </c>
      <c r="L46" s="10">
        <v>29690</v>
      </c>
      <c r="M46" s="8" t="s">
        <v>22</v>
      </c>
      <c r="N46" s="8" t="s">
        <v>0</v>
      </c>
      <c r="O46" s="8" t="s">
        <v>22</v>
      </c>
      <c r="P46" s="8" t="s">
        <v>23</v>
      </c>
      <c r="Q46" s="8" t="s">
        <v>22</v>
      </c>
      <c r="R46" s="9">
        <f>DATE(2019,9,11)</f>
        <v>43719</v>
      </c>
      <c r="S46" s="8" t="s">
        <v>24</v>
      </c>
      <c r="T46" s="8" t="s">
        <v>22</v>
      </c>
      <c r="U46" s="8" t="s">
        <v>25</v>
      </c>
      <c r="V46" s="8" t="s">
        <v>25</v>
      </c>
      <c r="W46" s="8" t="s">
        <v>26</v>
      </c>
    </row>
    <row r="47" spans="1:23" ht="17.45" customHeight="1" x14ac:dyDescent="0.25">
      <c r="A47" s="8" t="s">
        <v>77</v>
      </c>
      <c r="B47" s="9">
        <f>DATE(2019,9,10)</f>
        <v>43718</v>
      </c>
      <c r="C47" s="12">
        <f t="shared" si="0"/>
        <v>2019</v>
      </c>
      <c r="D47" s="12">
        <f>MONTH(B47)</f>
        <v>9</v>
      </c>
      <c r="E47" s="8" t="s">
        <v>78</v>
      </c>
      <c r="F47" s="8" t="s">
        <v>22</v>
      </c>
      <c r="G47" s="8" t="s">
        <v>111</v>
      </c>
      <c r="H47" s="11">
        <v>0</v>
      </c>
      <c r="I47" s="11">
        <v>2019</v>
      </c>
      <c r="J47" s="11">
        <f>H47-I47</f>
        <v>-2019</v>
      </c>
      <c r="K47" s="8" t="s">
        <v>22</v>
      </c>
      <c r="L47" s="10">
        <v>29690</v>
      </c>
      <c r="M47" s="8" t="s">
        <v>22</v>
      </c>
      <c r="N47" s="8" t="s">
        <v>0</v>
      </c>
      <c r="O47" s="8" t="s">
        <v>22</v>
      </c>
      <c r="P47" s="8" t="s">
        <v>23</v>
      </c>
      <c r="Q47" s="8" t="s">
        <v>22</v>
      </c>
      <c r="R47" s="9">
        <f>DATE(2019,9,11)</f>
        <v>43719</v>
      </c>
      <c r="S47" s="8" t="s">
        <v>24</v>
      </c>
      <c r="T47" s="8" t="s">
        <v>22</v>
      </c>
      <c r="U47" s="8" t="s">
        <v>25</v>
      </c>
      <c r="V47" s="8" t="s">
        <v>25</v>
      </c>
      <c r="W47" s="8" t="s">
        <v>26</v>
      </c>
    </row>
    <row r="48" spans="1:23" ht="17.45" customHeight="1" x14ac:dyDescent="0.25">
      <c r="A48" s="8" t="s">
        <v>75</v>
      </c>
      <c r="B48" s="9">
        <f>DATE(2019,10,7)</f>
        <v>43745</v>
      </c>
      <c r="C48" s="12">
        <f t="shared" si="0"/>
        <v>2019</v>
      </c>
      <c r="D48" s="12">
        <f>MONTH(B48)</f>
        <v>10</v>
      </c>
      <c r="E48" s="8" t="s">
        <v>76</v>
      </c>
      <c r="F48" s="8" t="s">
        <v>22</v>
      </c>
      <c r="G48" s="8" t="s">
        <v>113</v>
      </c>
      <c r="H48" s="11">
        <v>0</v>
      </c>
      <c r="I48" s="11">
        <v>720</v>
      </c>
      <c r="J48" s="11">
        <f>H48-I48</f>
        <v>-720</v>
      </c>
      <c r="K48" s="8" t="s">
        <v>22</v>
      </c>
      <c r="L48" s="10">
        <v>1115640</v>
      </c>
      <c r="M48" s="8" t="s">
        <v>22</v>
      </c>
      <c r="N48" s="8" t="s">
        <v>0</v>
      </c>
      <c r="O48" s="8" t="s">
        <v>22</v>
      </c>
      <c r="P48" s="8" t="s">
        <v>23</v>
      </c>
      <c r="Q48" s="8" t="s">
        <v>22</v>
      </c>
      <c r="R48" s="9">
        <f>DATE(2019,10,8)</f>
        <v>43746</v>
      </c>
      <c r="S48" s="8" t="s">
        <v>24</v>
      </c>
      <c r="T48" s="8" t="s">
        <v>22</v>
      </c>
      <c r="U48" s="8" t="s">
        <v>25</v>
      </c>
      <c r="V48" s="8" t="s">
        <v>25</v>
      </c>
      <c r="W48" s="8" t="s">
        <v>26</v>
      </c>
    </row>
    <row r="49" spans="1:23" ht="17.45" customHeight="1" x14ac:dyDescent="0.25">
      <c r="A49" s="8" t="s">
        <v>77</v>
      </c>
      <c r="B49" s="9">
        <f>DATE(2019,10,7)</f>
        <v>43745</v>
      </c>
      <c r="C49" s="12">
        <f t="shared" si="0"/>
        <v>2019</v>
      </c>
      <c r="D49" s="12">
        <f>MONTH(B49)</f>
        <v>10</v>
      </c>
      <c r="E49" s="8" t="s">
        <v>78</v>
      </c>
      <c r="F49" s="8" t="s">
        <v>22</v>
      </c>
      <c r="G49" s="8" t="s">
        <v>113</v>
      </c>
      <c r="H49" s="11">
        <v>0</v>
      </c>
      <c r="I49" s="11">
        <v>1196.4000000000001</v>
      </c>
      <c r="J49" s="11">
        <f>H49-I49</f>
        <v>-1196.4000000000001</v>
      </c>
      <c r="K49" s="8" t="s">
        <v>22</v>
      </c>
      <c r="L49" s="10">
        <v>1115640</v>
      </c>
      <c r="M49" s="8" t="s">
        <v>22</v>
      </c>
      <c r="N49" s="8" t="s">
        <v>0</v>
      </c>
      <c r="O49" s="8" t="s">
        <v>22</v>
      </c>
      <c r="P49" s="8" t="s">
        <v>23</v>
      </c>
      <c r="Q49" s="8" t="s">
        <v>22</v>
      </c>
      <c r="R49" s="9">
        <f>DATE(2019,10,8)</f>
        <v>43746</v>
      </c>
      <c r="S49" s="8" t="s">
        <v>24</v>
      </c>
      <c r="T49" s="8" t="s">
        <v>22</v>
      </c>
      <c r="U49" s="8" t="s">
        <v>25</v>
      </c>
      <c r="V49" s="8" t="s">
        <v>25</v>
      </c>
      <c r="W49" s="8" t="s">
        <v>26</v>
      </c>
    </row>
    <row r="50" spans="1:23" ht="17.45" customHeight="1" x14ac:dyDescent="0.25">
      <c r="A50" s="8" t="s">
        <v>77</v>
      </c>
      <c r="B50" s="9">
        <f>DATE(2019,10,7)</f>
        <v>43745</v>
      </c>
      <c r="C50" s="12">
        <f t="shared" si="0"/>
        <v>2019</v>
      </c>
      <c r="D50" s="12">
        <f>MONTH(B50)</f>
        <v>10</v>
      </c>
      <c r="E50" s="8" t="s">
        <v>78</v>
      </c>
      <c r="F50" s="8" t="s">
        <v>22</v>
      </c>
      <c r="G50" s="8" t="s">
        <v>113</v>
      </c>
      <c r="H50" s="11">
        <v>0</v>
      </c>
      <c r="I50" s="11">
        <v>1995</v>
      </c>
      <c r="J50" s="11">
        <f>H50-I50</f>
        <v>-1995</v>
      </c>
      <c r="K50" s="8" t="s">
        <v>22</v>
      </c>
      <c r="L50" s="10">
        <v>1115640</v>
      </c>
      <c r="M50" s="8" t="s">
        <v>22</v>
      </c>
      <c r="N50" s="8" t="s">
        <v>0</v>
      </c>
      <c r="O50" s="8" t="s">
        <v>22</v>
      </c>
      <c r="P50" s="8" t="s">
        <v>23</v>
      </c>
      <c r="Q50" s="8" t="s">
        <v>22</v>
      </c>
      <c r="R50" s="9">
        <f>DATE(2019,10,8)</f>
        <v>43746</v>
      </c>
      <c r="S50" s="8" t="s">
        <v>24</v>
      </c>
      <c r="T50" s="8" t="s">
        <v>22</v>
      </c>
      <c r="U50" s="8" t="s">
        <v>25</v>
      </c>
      <c r="V50" s="8" t="s">
        <v>25</v>
      </c>
      <c r="W50" s="8" t="s">
        <v>26</v>
      </c>
    </row>
    <row r="51" spans="1:23" ht="17.45" customHeight="1" x14ac:dyDescent="0.25">
      <c r="A51" s="8" t="s">
        <v>75</v>
      </c>
      <c r="B51" s="9">
        <f>DATE(2019,11,12)</f>
        <v>43781</v>
      </c>
      <c r="C51" s="12">
        <f t="shared" si="0"/>
        <v>2019</v>
      </c>
      <c r="D51" s="12">
        <f>MONTH(B51)</f>
        <v>11</v>
      </c>
      <c r="E51" s="8" t="s">
        <v>76</v>
      </c>
      <c r="F51" s="8" t="s">
        <v>22</v>
      </c>
      <c r="G51" s="8" t="s">
        <v>114</v>
      </c>
      <c r="H51" s="11">
        <v>0</v>
      </c>
      <c r="I51" s="11">
        <v>680</v>
      </c>
      <c r="J51" s="11">
        <f>H51-I51</f>
        <v>-680</v>
      </c>
      <c r="K51" s="8" t="s">
        <v>22</v>
      </c>
      <c r="L51" s="10">
        <v>1120817</v>
      </c>
      <c r="M51" s="8" t="s">
        <v>22</v>
      </c>
      <c r="N51" s="8" t="s">
        <v>0</v>
      </c>
      <c r="O51" s="8" t="s">
        <v>22</v>
      </c>
      <c r="P51" s="8" t="s">
        <v>23</v>
      </c>
      <c r="Q51" s="8" t="s">
        <v>22</v>
      </c>
      <c r="R51" s="9">
        <f>DATE(2019,11,13)</f>
        <v>43782</v>
      </c>
      <c r="S51" s="8" t="s">
        <v>24</v>
      </c>
      <c r="T51" s="8" t="s">
        <v>22</v>
      </c>
      <c r="U51" s="8" t="s">
        <v>25</v>
      </c>
      <c r="V51" s="8" t="s">
        <v>25</v>
      </c>
      <c r="W51" s="8" t="s">
        <v>26</v>
      </c>
    </row>
    <row r="52" spans="1:23" ht="17.45" customHeight="1" x14ac:dyDescent="0.25">
      <c r="A52" s="8" t="s">
        <v>77</v>
      </c>
      <c r="B52" s="9">
        <f>DATE(2019,11,12)</f>
        <v>43781</v>
      </c>
      <c r="C52" s="12">
        <f t="shared" si="0"/>
        <v>2019</v>
      </c>
      <c r="D52" s="12">
        <f>MONTH(B52)</f>
        <v>11</v>
      </c>
      <c r="E52" s="8" t="s">
        <v>78</v>
      </c>
      <c r="F52" s="8" t="s">
        <v>22</v>
      </c>
      <c r="G52" s="8" t="s">
        <v>114</v>
      </c>
      <c r="H52" s="11">
        <v>0</v>
      </c>
      <c r="I52" s="11">
        <v>1185</v>
      </c>
      <c r="J52" s="11">
        <f>H52-I52</f>
        <v>-1185</v>
      </c>
      <c r="K52" s="8" t="s">
        <v>22</v>
      </c>
      <c r="L52" s="10">
        <v>1120817</v>
      </c>
      <c r="M52" s="8" t="s">
        <v>22</v>
      </c>
      <c r="N52" s="8" t="s">
        <v>0</v>
      </c>
      <c r="O52" s="8" t="s">
        <v>22</v>
      </c>
      <c r="P52" s="8" t="s">
        <v>23</v>
      </c>
      <c r="Q52" s="8" t="s">
        <v>22</v>
      </c>
      <c r="R52" s="9">
        <f>DATE(2019,11,13)</f>
        <v>43782</v>
      </c>
      <c r="S52" s="8" t="s">
        <v>24</v>
      </c>
      <c r="T52" s="8" t="s">
        <v>22</v>
      </c>
      <c r="U52" s="8" t="s">
        <v>25</v>
      </c>
      <c r="V52" s="8" t="s">
        <v>25</v>
      </c>
      <c r="W52" s="8" t="s">
        <v>26</v>
      </c>
    </row>
    <row r="53" spans="1:23" ht="17.45" customHeight="1" x14ac:dyDescent="0.25">
      <c r="A53" s="8" t="s">
        <v>77</v>
      </c>
      <c r="B53" s="9">
        <f>DATE(2019,11,12)</f>
        <v>43781</v>
      </c>
      <c r="C53" s="12">
        <f t="shared" si="0"/>
        <v>2019</v>
      </c>
      <c r="D53" s="12">
        <f>MONTH(B53)</f>
        <v>11</v>
      </c>
      <c r="E53" s="8" t="s">
        <v>78</v>
      </c>
      <c r="F53" s="8" t="s">
        <v>22</v>
      </c>
      <c r="G53" s="8" t="s">
        <v>114</v>
      </c>
      <c r="H53" s="11">
        <v>0</v>
      </c>
      <c r="I53" s="11">
        <v>1984</v>
      </c>
      <c r="J53" s="11">
        <f>H53-I53</f>
        <v>-1984</v>
      </c>
      <c r="K53" s="8" t="s">
        <v>22</v>
      </c>
      <c r="L53" s="10">
        <v>1120817</v>
      </c>
      <c r="M53" s="8" t="s">
        <v>22</v>
      </c>
      <c r="N53" s="8" t="s">
        <v>0</v>
      </c>
      <c r="O53" s="8" t="s">
        <v>22</v>
      </c>
      <c r="P53" s="8" t="s">
        <v>23</v>
      </c>
      <c r="Q53" s="8" t="s">
        <v>22</v>
      </c>
      <c r="R53" s="9">
        <f>DATE(2019,11,13)</f>
        <v>43782</v>
      </c>
      <c r="S53" s="8" t="s">
        <v>24</v>
      </c>
      <c r="T53" s="8" t="s">
        <v>22</v>
      </c>
      <c r="U53" s="8" t="s">
        <v>25</v>
      </c>
      <c r="V53" s="8" t="s">
        <v>25</v>
      </c>
      <c r="W53" s="8" t="s">
        <v>26</v>
      </c>
    </row>
    <row r="54" spans="1:23" ht="17.45" customHeight="1" x14ac:dyDescent="0.25">
      <c r="A54" s="8" t="s">
        <v>75</v>
      </c>
      <c r="B54" s="9">
        <f>DATE(2019,12,5)</f>
        <v>43804</v>
      </c>
      <c r="C54" s="12">
        <f t="shared" si="0"/>
        <v>2019</v>
      </c>
      <c r="D54" s="12">
        <f>MONTH(B54)</f>
        <v>12</v>
      </c>
      <c r="E54" s="8" t="s">
        <v>76</v>
      </c>
      <c r="F54" s="8" t="s">
        <v>22</v>
      </c>
      <c r="G54" s="8" t="s">
        <v>112</v>
      </c>
      <c r="H54" s="11">
        <v>0</v>
      </c>
      <c r="I54" s="11">
        <v>680</v>
      </c>
      <c r="J54" s="11">
        <f>H54-I54</f>
        <v>-680</v>
      </c>
      <c r="K54" s="8" t="s">
        <v>22</v>
      </c>
      <c r="L54" s="10">
        <v>1125342</v>
      </c>
      <c r="M54" s="8" t="s">
        <v>22</v>
      </c>
      <c r="N54" s="8" t="s">
        <v>0</v>
      </c>
      <c r="O54" s="8" t="s">
        <v>22</v>
      </c>
      <c r="P54" s="8" t="s">
        <v>23</v>
      </c>
      <c r="Q54" s="8" t="s">
        <v>22</v>
      </c>
      <c r="R54" s="9">
        <f>DATE(2019,12,9)</f>
        <v>43808</v>
      </c>
      <c r="S54" s="8" t="s">
        <v>24</v>
      </c>
      <c r="T54" s="8" t="s">
        <v>22</v>
      </c>
      <c r="U54" s="8" t="s">
        <v>25</v>
      </c>
      <c r="V54" s="8" t="s">
        <v>25</v>
      </c>
      <c r="W54" s="8" t="s">
        <v>26</v>
      </c>
    </row>
    <row r="55" spans="1:23" ht="17.45" customHeight="1" x14ac:dyDescent="0.25">
      <c r="A55" s="8" t="s">
        <v>77</v>
      </c>
      <c r="B55" s="9">
        <f>DATE(2019,12,5)</f>
        <v>43804</v>
      </c>
      <c r="C55" s="12">
        <f t="shared" si="0"/>
        <v>2019</v>
      </c>
      <c r="D55" s="12">
        <f>MONTH(B55)</f>
        <v>12</v>
      </c>
      <c r="E55" s="8" t="s">
        <v>78</v>
      </c>
      <c r="F55" s="8" t="s">
        <v>22</v>
      </c>
      <c r="G55" s="8" t="s">
        <v>112</v>
      </c>
      <c r="H55" s="11">
        <v>0</v>
      </c>
      <c r="I55" s="11">
        <v>1176</v>
      </c>
      <c r="J55" s="11">
        <f>H55-I55</f>
        <v>-1176</v>
      </c>
      <c r="K55" s="8" t="s">
        <v>22</v>
      </c>
      <c r="L55" s="10">
        <v>1125342</v>
      </c>
      <c r="M55" s="8" t="s">
        <v>22</v>
      </c>
      <c r="N55" s="8" t="s">
        <v>0</v>
      </c>
      <c r="O55" s="8" t="s">
        <v>22</v>
      </c>
      <c r="P55" s="8" t="s">
        <v>23</v>
      </c>
      <c r="Q55" s="8" t="s">
        <v>22</v>
      </c>
      <c r="R55" s="9">
        <f>DATE(2019,12,9)</f>
        <v>43808</v>
      </c>
      <c r="S55" s="8" t="s">
        <v>24</v>
      </c>
      <c r="T55" s="8" t="s">
        <v>22</v>
      </c>
      <c r="U55" s="8" t="s">
        <v>25</v>
      </c>
      <c r="V55" s="8" t="s">
        <v>25</v>
      </c>
      <c r="W55" s="8" t="s">
        <v>26</v>
      </c>
    </row>
    <row r="56" spans="1:23" ht="17.45" customHeight="1" x14ac:dyDescent="0.25">
      <c r="A56" s="8" t="s">
        <v>77</v>
      </c>
      <c r="B56" s="9">
        <f>DATE(2019,12,5)</f>
        <v>43804</v>
      </c>
      <c r="C56" s="12">
        <f t="shared" si="0"/>
        <v>2019</v>
      </c>
      <c r="D56" s="12">
        <f>MONTH(B56)</f>
        <v>12</v>
      </c>
      <c r="E56" s="8" t="s">
        <v>78</v>
      </c>
      <c r="F56" s="8" t="s">
        <v>22</v>
      </c>
      <c r="G56" s="8" t="s">
        <v>112</v>
      </c>
      <c r="H56" s="11">
        <v>0</v>
      </c>
      <c r="I56" s="11">
        <v>1961</v>
      </c>
      <c r="J56" s="11">
        <f>H56-I56</f>
        <v>-1961</v>
      </c>
      <c r="K56" s="8" t="s">
        <v>22</v>
      </c>
      <c r="L56" s="10">
        <v>1125342</v>
      </c>
      <c r="M56" s="8" t="s">
        <v>22</v>
      </c>
      <c r="N56" s="8" t="s">
        <v>0</v>
      </c>
      <c r="O56" s="8" t="s">
        <v>22</v>
      </c>
      <c r="P56" s="8" t="s">
        <v>23</v>
      </c>
      <c r="Q56" s="8" t="s">
        <v>22</v>
      </c>
      <c r="R56" s="9">
        <f>DATE(2019,12,9)</f>
        <v>43808</v>
      </c>
      <c r="S56" s="8" t="s">
        <v>24</v>
      </c>
      <c r="T56" s="8" t="s">
        <v>22</v>
      </c>
      <c r="U56" s="8" t="s">
        <v>25</v>
      </c>
      <c r="V56" s="8" t="s">
        <v>25</v>
      </c>
      <c r="W56" s="8" t="s">
        <v>26</v>
      </c>
    </row>
    <row r="57" spans="1:23" ht="17.45" customHeight="1" x14ac:dyDescent="0.25">
      <c r="A57" s="8" t="s">
        <v>75</v>
      </c>
      <c r="B57" s="9">
        <f>DATE(2020,1,9)</f>
        <v>43839</v>
      </c>
      <c r="C57" s="12">
        <f t="shared" si="0"/>
        <v>2020</v>
      </c>
      <c r="D57" s="12">
        <f>MONTH(B57)</f>
        <v>1</v>
      </c>
      <c r="E57" s="8" t="s">
        <v>76</v>
      </c>
      <c r="F57" s="8" t="s">
        <v>22</v>
      </c>
      <c r="G57" s="8" t="s">
        <v>98</v>
      </c>
      <c r="H57" s="11">
        <v>0</v>
      </c>
      <c r="I57" s="11">
        <v>640</v>
      </c>
      <c r="J57" s="11">
        <f>H57-I57</f>
        <v>-640</v>
      </c>
      <c r="K57" s="8" t="s">
        <v>22</v>
      </c>
      <c r="L57" s="10">
        <v>1095</v>
      </c>
      <c r="M57" s="8" t="s">
        <v>22</v>
      </c>
      <c r="N57" s="8" t="s">
        <v>0</v>
      </c>
      <c r="O57" s="8" t="s">
        <v>22</v>
      </c>
      <c r="P57" s="8" t="s">
        <v>23</v>
      </c>
      <c r="Q57" s="8" t="s">
        <v>22</v>
      </c>
      <c r="R57" s="9">
        <f>DATE(2020,1,10)</f>
        <v>43840</v>
      </c>
      <c r="S57" s="8" t="s">
        <v>24</v>
      </c>
      <c r="T57" s="8" t="s">
        <v>22</v>
      </c>
      <c r="U57" s="8" t="s">
        <v>25</v>
      </c>
      <c r="V57" s="8" t="s">
        <v>25</v>
      </c>
      <c r="W57" s="8" t="s">
        <v>26</v>
      </c>
    </row>
    <row r="58" spans="1:23" ht="17.45" customHeight="1" x14ac:dyDescent="0.25">
      <c r="A58" s="8" t="s">
        <v>77</v>
      </c>
      <c r="B58" s="9">
        <f>DATE(2020,1,9)</f>
        <v>43839</v>
      </c>
      <c r="C58" s="12">
        <f t="shared" si="0"/>
        <v>2020</v>
      </c>
      <c r="D58" s="12">
        <f>MONTH(B58)</f>
        <v>1</v>
      </c>
      <c r="E58" s="8" t="s">
        <v>78</v>
      </c>
      <c r="F58" s="8" t="s">
        <v>22</v>
      </c>
      <c r="G58" s="8" t="s">
        <v>98</v>
      </c>
      <c r="H58" s="11">
        <v>0</v>
      </c>
      <c r="I58" s="11">
        <v>1156.2</v>
      </c>
      <c r="J58" s="11">
        <f>H58-I58</f>
        <v>-1156.2</v>
      </c>
      <c r="K58" s="8" t="s">
        <v>22</v>
      </c>
      <c r="L58" s="10">
        <v>1095</v>
      </c>
      <c r="M58" s="8" t="s">
        <v>22</v>
      </c>
      <c r="N58" s="8" t="s">
        <v>0</v>
      </c>
      <c r="O58" s="8" t="s">
        <v>22</v>
      </c>
      <c r="P58" s="8" t="s">
        <v>23</v>
      </c>
      <c r="Q58" s="8" t="s">
        <v>22</v>
      </c>
      <c r="R58" s="9">
        <f>DATE(2020,1,10)</f>
        <v>43840</v>
      </c>
      <c r="S58" s="8" t="s">
        <v>24</v>
      </c>
      <c r="T58" s="8" t="s">
        <v>22</v>
      </c>
      <c r="U58" s="8" t="s">
        <v>25</v>
      </c>
      <c r="V58" s="8" t="s">
        <v>25</v>
      </c>
      <c r="W58" s="8" t="s">
        <v>26</v>
      </c>
    </row>
    <row r="59" spans="1:23" ht="17.45" customHeight="1" x14ac:dyDescent="0.25">
      <c r="A59" s="8" t="s">
        <v>77</v>
      </c>
      <c r="B59" s="9">
        <f>DATE(2020,1,9)</f>
        <v>43839</v>
      </c>
      <c r="C59" s="12">
        <f t="shared" si="0"/>
        <v>2020</v>
      </c>
      <c r="D59" s="12">
        <f>MONTH(B59)</f>
        <v>1</v>
      </c>
      <c r="E59" s="8" t="s">
        <v>78</v>
      </c>
      <c r="F59" s="8" t="s">
        <v>22</v>
      </c>
      <c r="G59" s="8" t="s">
        <v>98</v>
      </c>
      <c r="H59" s="11">
        <v>0</v>
      </c>
      <c r="I59" s="11">
        <v>1931</v>
      </c>
      <c r="J59" s="11">
        <f>H59-I59</f>
        <v>-1931</v>
      </c>
      <c r="K59" s="8" t="s">
        <v>22</v>
      </c>
      <c r="L59" s="10">
        <v>1095</v>
      </c>
      <c r="M59" s="8" t="s">
        <v>22</v>
      </c>
      <c r="N59" s="8" t="s">
        <v>0</v>
      </c>
      <c r="O59" s="8" t="s">
        <v>22</v>
      </c>
      <c r="P59" s="8" t="s">
        <v>23</v>
      </c>
      <c r="Q59" s="8" t="s">
        <v>22</v>
      </c>
      <c r="R59" s="9">
        <f>DATE(2020,1,10)</f>
        <v>43840</v>
      </c>
      <c r="S59" s="8" t="s">
        <v>24</v>
      </c>
      <c r="T59" s="8" t="s">
        <v>22</v>
      </c>
      <c r="U59" s="8" t="s">
        <v>25</v>
      </c>
      <c r="V59" s="8" t="s">
        <v>25</v>
      </c>
      <c r="W59" s="8" t="s">
        <v>26</v>
      </c>
    </row>
    <row r="60" spans="1:23" ht="17.45" customHeight="1" x14ac:dyDescent="0.25">
      <c r="A60" s="8" t="s">
        <v>75</v>
      </c>
      <c r="B60" s="9">
        <f>DATE(2020,2,10)</f>
        <v>43871</v>
      </c>
      <c r="C60" s="12">
        <f t="shared" si="0"/>
        <v>2020</v>
      </c>
      <c r="D60" s="12">
        <f>MONTH(B60)</f>
        <v>2</v>
      </c>
      <c r="E60" s="8" t="s">
        <v>76</v>
      </c>
      <c r="F60" s="8" t="s">
        <v>22</v>
      </c>
      <c r="G60" s="8" t="s">
        <v>97</v>
      </c>
      <c r="H60" s="11">
        <v>0</v>
      </c>
      <c r="I60" s="11">
        <v>652.79999999999995</v>
      </c>
      <c r="J60" s="11">
        <f>H60-I60</f>
        <v>-652.79999999999995</v>
      </c>
      <c r="K60" s="8" t="s">
        <v>22</v>
      </c>
      <c r="L60" s="10">
        <v>1134466</v>
      </c>
      <c r="M60" s="8" t="s">
        <v>22</v>
      </c>
      <c r="N60" s="8" t="s">
        <v>0</v>
      </c>
      <c r="O60" s="8" t="s">
        <v>22</v>
      </c>
      <c r="P60" s="8" t="s">
        <v>23</v>
      </c>
      <c r="Q60" s="8" t="s">
        <v>22</v>
      </c>
      <c r="R60" s="9">
        <f>DATE(2020,2,11)</f>
        <v>43872</v>
      </c>
      <c r="S60" s="8" t="s">
        <v>24</v>
      </c>
      <c r="T60" s="8" t="s">
        <v>22</v>
      </c>
      <c r="U60" s="8" t="s">
        <v>25</v>
      </c>
      <c r="V60" s="8" t="s">
        <v>25</v>
      </c>
      <c r="W60" s="8" t="s">
        <v>26</v>
      </c>
    </row>
    <row r="61" spans="1:23" ht="17.45" customHeight="1" x14ac:dyDescent="0.25">
      <c r="A61" s="8" t="s">
        <v>77</v>
      </c>
      <c r="B61" s="9">
        <f>DATE(2020,2,10)</f>
        <v>43871</v>
      </c>
      <c r="C61" s="12">
        <f t="shared" si="0"/>
        <v>2020</v>
      </c>
      <c r="D61" s="12">
        <f>MONTH(B61)</f>
        <v>2</v>
      </c>
      <c r="E61" s="8" t="s">
        <v>78</v>
      </c>
      <c r="F61" s="8" t="s">
        <v>22</v>
      </c>
      <c r="G61" s="8" t="s">
        <v>97</v>
      </c>
      <c r="H61" s="11">
        <v>0</v>
      </c>
      <c r="I61" s="11">
        <v>1157.17</v>
      </c>
      <c r="J61" s="11">
        <f>H61-I61</f>
        <v>-1157.17</v>
      </c>
      <c r="K61" s="8" t="s">
        <v>22</v>
      </c>
      <c r="L61" s="10">
        <v>1134466</v>
      </c>
      <c r="M61" s="8" t="s">
        <v>22</v>
      </c>
      <c r="N61" s="8" t="s">
        <v>0</v>
      </c>
      <c r="O61" s="8" t="s">
        <v>22</v>
      </c>
      <c r="P61" s="8" t="s">
        <v>23</v>
      </c>
      <c r="Q61" s="8" t="s">
        <v>22</v>
      </c>
      <c r="R61" s="9">
        <f>DATE(2020,2,11)</f>
        <v>43872</v>
      </c>
      <c r="S61" s="8" t="s">
        <v>24</v>
      </c>
      <c r="T61" s="8" t="s">
        <v>22</v>
      </c>
      <c r="U61" s="8" t="s">
        <v>25</v>
      </c>
      <c r="V61" s="8" t="s">
        <v>25</v>
      </c>
      <c r="W61" s="8" t="s">
        <v>26</v>
      </c>
    </row>
    <row r="62" spans="1:23" ht="17.45" customHeight="1" x14ac:dyDescent="0.25">
      <c r="A62" s="8" t="s">
        <v>77</v>
      </c>
      <c r="B62" s="9">
        <f>DATE(2020,2,10)</f>
        <v>43871</v>
      </c>
      <c r="C62" s="12">
        <f t="shared" si="0"/>
        <v>2020</v>
      </c>
      <c r="D62" s="12">
        <f>MONTH(B62)</f>
        <v>2</v>
      </c>
      <c r="E62" s="8" t="s">
        <v>78</v>
      </c>
      <c r="F62" s="8" t="s">
        <v>22</v>
      </c>
      <c r="G62" s="8" t="s">
        <v>97</v>
      </c>
      <c r="H62" s="11">
        <v>0</v>
      </c>
      <c r="I62" s="11">
        <v>1945.14</v>
      </c>
      <c r="J62" s="11">
        <f>H62-I62</f>
        <v>-1945.14</v>
      </c>
      <c r="K62" s="8" t="s">
        <v>22</v>
      </c>
      <c r="L62" s="10">
        <v>1134466</v>
      </c>
      <c r="M62" s="8" t="s">
        <v>22</v>
      </c>
      <c r="N62" s="8" t="s">
        <v>0</v>
      </c>
      <c r="O62" s="8" t="s">
        <v>22</v>
      </c>
      <c r="P62" s="8" t="s">
        <v>23</v>
      </c>
      <c r="Q62" s="8" t="s">
        <v>22</v>
      </c>
      <c r="R62" s="9">
        <f>DATE(2020,2,11)</f>
        <v>43872</v>
      </c>
      <c r="S62" s="8" t="s">
        <v>24</v>
      </c>
      <c r="T62" s="8" t="s">
        <v>22</v>
      </c>
      <c r="U62" s="8" t="s">
        <v>25</v>
      </c>
      <c r="V62" s="8" t="s">
        <v>25</v>
      </c>
      <c r="W62" s="8" t="s">
        <v>26</v>
      </c>
    </row>
    <row r="63" spans="1:23" ht="17.45" customHeight="1" x14ac:dyDescent="0.25">
      <c r="A63" s="8" t="s">
        <v>75</v>
      </c>
      <c r="B63" s="9">
        <f>DATE(2020,3,9)</f>
        <v>43899</v>
      </c>
      <c r="C63" s="12">
        <f t="shared" si="0"/>
        <v>2020</v>
      </c>
      <c r="D63" s="12">
        <f>MONTH(B63)</f>
        <v>3</v>
      </c>
      <c r="E63" s="8" t="s">
        <v>76</v>
      </c>
      <c r="F63" s="8" t="s">
        <v>22</v>
      </c>
      <c r="G63" s="8" t="s">
        <v>96</v>
      </c>
      <c r="H63" s="11">
        <v>0</v>
      </c>
      <c r="I63" s="11">
        <v>734.4</v>
      </c>
      <c r="J63" s="11">
        <f>H63-I63</f>
        <v>-734.4</v>
      </c>
      <c r="K63" s="8" t="s">
        <v>22</v>
      </c>
      <c r="L63" s="10">
        <v>1140323</v>
      </c>
      <c r="M63" s="8" t="s">
        <v>22</v>
      </c>
      <c r="N63" s="8" t="s">
        <v>0</v>
      </c>
      <c r="O63" s="8" t="s">
        <v>22</v>
      </c>
      <c r="P63" s="8" t="s">
        <v>23</v>
      </c>
      <c r="Q63" s="8" t="s">
        <v>22</v>
      </c>
      <c r="R63" s="9">
        <f>DATE(2020,3,11)</f>
        <v>43901</v>
      </c>
      <c r="S63" s="8" t="s">
        <v>24</v>
      </c>
      <c r="T63" s="8" t="s">
        <v>22</v>
      </c>
      <c r="U63" s="8" t="s">
        <v>25</v>
      </c>
      <c r="V63" s="8" t="s">
        <v>25</v>
      </c>
      <c r="W63" s="8" t="s">
        <v>26</v>
      </c>
    </row>
    <row r="64" spans="1:23" ht="17.45" customHeight="1" x14ac:dyDescent="0.25">
      <c r="A64" s="8" t="s">
        <v>77</v>
      </c>
      <c r="B64" s="9">
        <f>DATE(2020,3,9)</f>
        <v>43899</v>
      </c>
      <c r="C64" s="12">
        <f t="shared" si="0"/>
        <v>2020</v>
      </c>
      <c r="D64" s="12">
        <f>MONTH(B64)</f>
        <v>3</v>
      </c>
      <c r="E64" s="8" t="s">
        <v>78</v>
      </c>
      <c r="F64" s="8" t="s">
        <v>22</v>
      </c>
      <c r="G64" s="8" t="s">
        <v>96</v>
      </c>
      <c r="H64" s="11">
        <v>0</v>
      </c>
      <c r="I64" s="11">
        <v>1142.53</v>
      </c>
      <c r="J64" s="11">
        <f>H64-I64</f>
        <v>-1142.53</v>
      </c>
      <c r="K64" s="8" t="s">
        <v>22</v>
      </c>
      <c r="L64" s="10">
        <v>1140323</v>
      </c>
      <c r="M64" s="8" t="s">
        <v>22</v>
      </c>
      <c r="N64" s="8" t="s">
        <v>0</v>
      </c>
      <c r="O64" s="8" t="s">
        <v>22</v>
      </c>
      <c r="P64" s="8" t="s">
        <v>23</v>
      </c>
      <c r="Q64" s="8" t="s">
        <v>22</v>
      </c>
      <c r="R64" s="9">
        <f>DATE(2020,3,11)</f>
        <v>43901</v>
      </c>
      <c r="S64" s="8" t="s">
        <v>24</v>
      </c>
      <c r="T64" s="8" t="s">
        <v>22</v>
      </c>
      <c r="U64" s="8" t="s">
        <v>25</v>
      </c>
      <c r="V64" s="8" t="s">
        <v>25</v>
      </c>
      <c r="W64" s="8" t="s">
        <v>26</v>
      </c>
    </row>
    <row r="65" spans="1:23" ht="17.45" customHeight="1" x14ac:dyDescent="0.25">
      <c r="A65" s="8" t="s">
        <v>77</v>
      </c>
      <c r="B65" s="9">
        <f>DATE(2020,3,9)</f>
        <v>43899</v>
      </c>
      <c r="C65" s="12">
        <f t="shared" si="0"/>
        <v>2020</v>
      </c>
      <c r="D65" s="12">
        <f>MONTH(B65)</f>
        <v>3</v>
      </c>
      <c r="E65" s="8" t="s">
        <v>78</v>
      </c>
      <c r="F65" s="8" t="s">
        <v>22</v>
      </c>
      <c r="G65" s="8" t="s">
        <v>96</v>
      </c>
      <c r="H65" s="11">
        <v>0</v>
      </c>
      <c r="I65" s="11">
        <v>1913.52</v>
      </c>
      <c r="J65" s="11">
        <f>H65-I65</f>
        <v>-1913.52</v>
      </c>
      <c r="K65" s="8" t="s">
        <v>22</v>
      </c>
      <c r="L65" s="10">
        <v>1140323</v>
      </c>
      <c r="M65" s="8" t="s">
        <v>22</v>
      </c>
      <c r="N65" s="8" t="s">
        <v>0</v>
      </c>
      <c r="O65" s="8" t="s">
        <v>22</v>
      </c>
      <c r="P65" s="8" t="s">
        <v>23</v>
      </c>
      <c r="Q65" s="8" t="s">
        <v>22</v>
      </c>
      <c r="R65" s="9">
        <f>DATE(2020,3,11)</f>
        <v>43901</v>
      </c>
      <c r="S65" s="8" t="s">
        <v>24</v>
      </c>
      <c r="T65" s="8" t="s">
        <v>22</v>
      </c>
      <c r="U65" s="8" t="s">
        <v>25</v>
      </c>
      <c r="V65" s="8" t="s">
        <v>25</v>
      </c>
      <c r="W65" s="8" t="s">
        <v>26</v>
      </c>
    </row>
    <row r="66" spans="1:23" ht="17.45" customHeight="1" x14ac:dyDescent="0.25">
      <c r="A66" s="8" t="s">
        <v>75</v>
      </c>
      <c r="B66" s="9">
        <f>DATE(2020,4,14)</f>
        <v>43935</v>
      </c>
      <c r="C66" s="12">
        <f t="shared" si="0"/>
        <v>2020</v>
      </c>
      <c r="D66" s="12">
        <f>MONTH(B66)</f>
        <v>4</v>
      </c>
      <c r="E66" s="8" t="s">
        <v>76</v>
      </c>
      <c r="F66" s="8" t="s">
        <v>22</v>
      </c>
      <c r="G66" s="8" t="s">
        <v>95</v>
      </c>
      <c r="H66" s="11">
        <v>0</v>
      </c>
      <c r="I66" s="11">
        <v>734.4</v>
      </c>
      <c r="J66" s="11">
        <f>H66-I66</f>
        <v>-734.4</v>
      </c>
      <c r="K66" s="8" t="s">
        <v>22</v>
      </c>
      <c r="L66" s="10">
        <v>1145673</v>
      </c>
      <c r="M66" s="8" t="s">
        <v>22</v>
      </c>
      <c r="N66" s="8" t="s">
        <v>0</v>
      </c>
      <c r="O66" s="8" t="s">
        <v>22</v>
      </c>
      <c r="P66" s="8" t="s">
        <v>23</v>
      </c>
      <c r="Q66" s="8" t="s">
        <v>22</v>
      </c>
      <c r="R66" s="9">
        <f>DATE(2020,4,15)</f>
        <v>43936</v>
      </c>
      <c r="S66" s="8" t="s">
        <v>24</v>
      </c>
      <c r="T66" s="8" t="s">
        <v>22</v>
      </c>
      <c r="U66" s="8" t="s">
        <v>25</v>
      </c>
      <c r="V66" s="8" t="s">
        <v>25</v>
      </c>
      <c r="W66" s="8" t="s">
        <v>26</v>
      </c>
    </row>
    <row r="67" spans="1:23" ht="17.45" customHeight="1" x14ac:dyDescent="0.25">
      <c r="A67" s="8" t="s">
        <v>77</v>
      </c>
      <c r="B67" s="9">
        <f>DATE(2020,4,14)</f>
        <v>43935</v>
      </c>
      <c r="C67" s="12">
        <f t="shared" ref="C67:C83" si="1">YEAR(B67)</f>
        <v>2020</v>
      </c>
      <c r="D67" s="12">
        <f>MONTH(B67)</f>
        <v>4</v>
      </c>
      <c r="E67" s="8" t="s">
        <v>78</v>
      </c>
      <c r="F67" s="8" t="s">
        <v>22</v>
      </c>
      <c r="G67" s="8" t="s">
        <v>95</v>
      </c>
      <c r="H67" s="11">
        <v>0</v>
      </c>
      <c r="I67" s="11">
        <v>1136.43</v>
      </c>
      <c r="J67" s="11">
        <f>H67-I67</f>
        <v>-1136.43</v>
      </c>
      <c r="K67" s="8" t="s">
        <v>22</v>
      </c>
      <c r="L67" s="10">
        <v>1145673</v>
      </c>
      <c r="M67" s="8" t="s">
        <v>22</v>
      </c>
      <c r="N67" s="8" t="s">
        <v>0</v>
      </c>
      <c r="O67" s="8" t="s">
        <v>22</v>
      </c>
      <c r="P67" s="8" t="s">
        <v>23</v>
      </c>
      <c r="Q67" s="8" t="s">
        <v>22</v>
      </c>
      <c r="R67" s="9">
        <f>DATE(2020,4,15)</f>
        <v>43936</v>
      </c>
      <c r="S67" s="8" t="s">
        <v>24</v>
      </c>
      <c r="T67" s="8" t="s">
        <v>22</v>
      </c>
      <c r="U67" s="8" t="s">
        <v>25</v>
      </c>
      <c r="V67" s="8" t="s">
        <v>25</v>
      </c>
      <c r="W67" s="8" t="s">
        <v>26</v>
      </c>
    </row>
    <row r="68" spans="1:23" ht="17.45" customHeight="1" x14ac:dyDescent="0.25">
      <c r="A68" s="8" t="s">
        <v>77</v>
      </c>
      <c r="B68" s="9">
        <f>DATE(2020,4,14)</f>
        <v>43935</v>
      </c>
      <c r="C68" s="12">
        <f t="shared" si="1"/>
        <v>2020</v>
      </c>
      <c r="D68" s="12">
        <f>MONTH(B68)</f>
        <v>4</v>
      </c>
      <c r="E68" s="8" t="s">
        <v>78</v>
      </c>
      <c r="F68" s="8" t="s">
        <v>22</v>
      </c>
      <c r="G68" s="8" t="s">
        <v>95</v>
      </c>
      <c r="H68" s="11">
        <v>0</v>
      </c>
      <c r="I68" s="11">
        <v>1901.28</v>
      </c>
      <c r="J68" s="11">
        <f>H68-I68</f>
        <v>-1901.28</v>
      </c>
      <c r="K68" s="8" t="s">
        <v>22</v>
      </c>
      <c r="L68" s="10">
        <v>1145673</v>
      </c>
      <c r="M68" s="8" t="s">
        <v>22</v>
      </c>
      <c r="N68" s="8" t="s">
        <v>0</v>
      </c>
      <c r="O68" s="8" t="s">
        <v>22</v>
      </c>
      <c r="P68" s="8" t="s">
        <v>23</v>
      </c>
      <c r="Q68" s="8" t="s">
        <v>22</v>
      </c>
      <c r="R68" s="9">
        <f>DATE(2020,4,15)</f>
        <v>43936</v>
      </c>
      <c r="S68" s="8" t="s">
        <v>24</v>
      </c>
      <c r="T68" s="8" t="s">
        <v>22</v>
      </c>
      <c r="U68" s="8" t="s">
        <v>25</v>
      </c>
      <c r="V68" s="8" t="s">
        <v>25</v>
      </c>
      <c r="W68" s="8" t="s">
        <v>26</v>
      </c>
    </row>
    <row r="69" spans="1:23" ht="17.45" customHeight="1" x14ac:dyDescent="0.25">
      <c r="A69" s="8" t="s">
        <v>75</v>
      </c>
      <c r="B69" s="9">
        <f>DATE(2020,5,8)</f>
        <v>43959</v>
      </c>
      <c r="C69" s="12">
        <f t="shared" si="1"/>
        <v>2020</v>
      </c>
      <c r="D69" s="12">
        <f>MONTH(B69)</f>
        <v>5</v>
      </c>
      <c r="E69" s="8" t="s">
        <v>76</v>
      </c>
      <c r="F69" s="8" t="s">
        <v>22</v>
      </c>
      <c r="G69" s="8" t="s">
        <v>94</v>
      </c>
      <c r="H69" s="11">
        <v>0</v>
      </c>
      <c r="I69" s="11">
        <v>734.4</v>
      </c>
      <c r="J69" s="11">
        <f>H69-I69</f>
        <v>-734.4</v>
      </c>
      <c r="K69" s="8" t="s">
        <v>22</v>
      </c>
      <c r="L69" s="10">
        <v>1149950</v>
      </c>
      <c r="M69" s="8" t="s">
        <v>22</v>
      </c>
      <c r="N69" s="8" t="s">
        <v>0</v>
      </c>
      <c r="O69" s="8" t="s">
        <v>22</v>
      </c>
      <c r="P69" s="8" t="s">
        <v>23</v>
      </c>
      <c r="Q69" s="8" t="s">
        <v>22</v>
      </c>
      <c r="R69" s="9">
        <f>DATE(2020,5,11)</f>
        <v>43962</v>
      </c>
      <c r="S69" s="8" t="s">
        <v>24</v>
      </c>
      <c r="T69" s="8" t="s">
        <v>22</v>
      </c>
      <c r="U69" s="8" t="s">
        <v>25</v>
      </c>
      <c r="V69" s="8" t="s">
        <v>25</v>
      </c>
      <c r="W69" s="8" t="s">
        <v>26</v>
      </c>
    </row>
    <row r="70" spans="1:23" ht="17.45" customHeight="1" x14ac:dyDescent="0.25">
      <c r="A70" s="8" t="s">
        <v>77</v>
      </c>
      <c r="B70" s="9">
        <f>DATE(2020,5,8)</f>
        <v>43959</v>
      </c>
      <c r="C70" s="12">
        <f t="shared" si="1"/>
        <v>2020</v>
      </c>
      <c r="D70" s="12">
        <f>MONTH(B70)</f>
        <v>5</v>
      </c>
      <c r="E70" s="8" t="s">
        <v>78</v>
      </c>
      <c r="F70" s="8" t="s">
        <v>22</v>
      </c>
      <c r="G70" s="8" t="s">
        <v>94</v>
      </c>
      <c r="H70" s="11">
        <v>0</v>
      </c>
      <c r="I70" s="11">
        <v>1127.28</v>
      </c>
      <c r="J70" s="11">
        <f>H70-I70</f>
        <v>-1127.28</v>
      </c>
      <c r="K70" s="8" t="s">
        <v>22</v>
      </c>
      <c r="L70" s="10">
        <v>1149950</v>
      </c>
      <c r="M70" s="8" t="s">
        <v>22</v>
      </c>
      <c r="N70" s="8" t="s">
        <v>0</v>
      </c>
      <c r="O70" s="8" t="s">
        <v>22</v>
      </c>
      <c r="P70" s="8" t="s">
        <v>23</v>
      </c>
      <c r="Q70" s="8" t="s">
        <v>22</v>
      </c>
      <c r="R70" s="9">
        <f>DATE(2020,5,11)</f>
        <v>43962</v>
      </c>
      <c r="S70" s="8" t="s">
        <v>24</v>
      </c>
      <c r="T70" s="8" t="s">
        <v>22</v>
      </c>
      <c r="U70" s="8" t="s">
        <v>25</v>
      </c>
      <c r="V70" s="8" t="s">
        <v>25</v>
      </c>
      <c r="W70" s="8" t="s">
        <v>26</v>
      </c>
    </row>
    <row r="71" spans="1:23" ht="17.45" customHeight="1" x14ac:dyDescent="0.25">
      <c r="A71" s="8" t="s">
        <v>77</v>
      </c>
      <c r="B71" s="9">
        <f>DATE(2020,5,8)</f>
        <v>43959</v>
      </c>
      <c r="C71" s="12">
        <f t="shared" si="1"/>
        <v>2020</v>
      </c>
      <c r="D71" s="12">
        <f>MONTH(B71)</f>
        <v>5</v>
      </c>
      <c r="E71" s="8" t="s">
        <v>78</v>
      </c>
      <c r="F71" s="8" t="s">
        <v>22</v>
      </c>
      <c r="G71" s="8" t="s">
        <v>94</v>
      </c>
      <c r="H71" s="11">
        <v>0</v>
      </c>
      <c r="I71" s="11">
        <v>1884.96</v>
      </c>
      <c r="J71" s="11">
        <f>H71-I71</f>
        <v>-1884.96</v>
      </c>
      <c r="K71" s="8" t="s">
        <v>22</v>
      </c>
      <c r="L71" s="10">
        <v>1149950</v>
      </c>
      <c r="M71" s="8" t="s">
        <v>22</v>
      </c>
      <c r="N71" s="8" t="s">
        <v>0</v>
      </c>
      <c r="O71" s="8" t="s">
        <v>22</v>
      </c>
      <c r="P71" s="8" t="s">
        <v>23</v>
      </c>
      <c r="Q71" s="8" t="s">
        <v>22</v>
      </c>
      <c r="R71" s="9">
        <f>DATE(2020,5,11)</f>
        <v>43962</v>
      </c>
      <c r="S71" s="8" t="s">
        <v>24</v>
      </c>
      <c r="T71" s="8" t="s">
        <v>22</v>
      </c>
      <c r="U71" s="8" t="s">
        <v>25</v>
      </c>
      <c r="V71" s="8" t="s">
        <v>25</v>
      </c>
      <c r="W71" s="8" t="s">
        <v>26</v>
      </c>
    </row>
    <row r="72" spans="1:23" ht="17.45" customHeight="1" x14ac:dyDescent="0.25">
      <c r="A72" s="8" t="s">
        <v>75</v>
      </c>
      <c r="B72" s="9">
        <f>DATE(2020,6,8)</f>
        <v>43990</v>
      </c>
      <c r="C72" s="12">
        <f t="shared" si="1"/>
        <v>2020</v>
      </c>
      <c r="D72" s="12">
        <f>MONTH(B72)</f>
        <v>6</v>
      </c>
      <c r="E72" s="8" t="s">
        <v>76</v>
      </c>
      <c r="F72" s="8" t="s">
        <v>22</v>
      </c>
      <c r="G72" s="8" t="s">
        <v>80</v>
      </c>
      <c r="H72" s="11">
        <v>0</v>
      </c>
      <c r="I72" s="11">
        <v>734.4</v>
      </c>
      <c r="J72" s="11">
        <f>H72-I72</f>
        <v>-734.4</v>
      </c>
      <c r="K72" s="8" t="s">
        <v>22</v>
      </c>
      <c r="L72" s="10">
        <v>1154864</v>
      </c>
      <c r="M72" s="8" t="s">
        <v>22</v>
      </c>
      <c r="N72" s="8" t="s">
        <v>0</v>
      </c>
      <c r="O72" s="8" t="s">
        <v>22</v>
      </c>
      <c r="P72" s="8" t="s">
        <v>23</v>
      </c>
      <c r="Q72" s="8" t="s">
        <v>22</v>
      </c>
      <c r="R72" s="9">
        <f>DATE(2020,6,9)</f>
        <v>43991</v>
      </c>
      <c r="S72" s="8" t="s">
        <v>24</v>
      </c>
      <c r="T72" s="8" t="s">
        <v>22</v>
      </c>
      <c r="U72" s="8" t="s">
        <v>25</v>
      </c>
      <c r="V72" s="8" t="s">
        <v>25</v>
      </c>
      <c r="W72" s="8" t="s">
        <v>26</v>
      </c>
    </row>
    <row r="73" spans="1:23" ht="17.45" customHeight="1" x14ac:dyDescent="0.25">
      <c r="A73" s="8" t="s">
        <v>77</v>
      </c>
      <c r="B73" s="9">
        <f>DATE(2020,6,8)</f>
        <v>43990</v>
      </c>
      <c r="C73" s="12">
        <f t="shared" si="1"/>
        <v>2020</v>
      </c>
      <c r="D73" s="12">
        <f>MONTH(B73)</f>
        <v>6</v>
      </c>
      <c r="E73" s="8" t="s">
        <v>78</v>
      </c>
      <c r="F73" s="8" t="s">
        <v>22</v>
      </c>
      <c r="G73" s="8" t="s">
        <v>80</v>
      </c>
      <c r="H73" s="11">
        <v>0</v>
      </c>
      <c r="I73" s="11">
        <v>1102.27</v>
      </c>
      <c r="J73" s="11">
        <f>H73-I73</f>
        <v>-1102.27</v>
      </c>
      <c r="K73" s="8" t="s">
        <v>22</v>
      </c>
      <c r="L73" s="10">
        <v>1154864</v>
      </c>
      <c r="M73" s="8" t="s">
        <v>22</v>
      </c>
      <c r="N73" s="8" t="s">
        <v>0</v>
      </c>
      <c r="O73" s="8" t="s">
        <v>22</v>
      </c>
      <c r="P73" s="8" t="s">
        <v>23</v>
      </c>
      <c r="Q73" s="8" t="s">
        <v>22</v>
      </c>
      <c r="R73" s="9">
        <f>DATE(2020,6,9)</f>
        <v>43991</v>
      </c>
      <c r="S73" s="8" t="s">
        <v>24</v>
      </c>
      <c r="T73" s="8" t="s">
        <v>22</v>
      </c>
      <c r="U73" s="8" t="s">
        <v>25</v>
      </c>
      <c r="V73" s="8" t="s">
        <v>25</v>
      </c>
      <c r="W73" s="8" t="s">
        <v>26</v>
      </c>
    </row>
    <row r="74" spans="1:23" ht="17.45" customHeight="1" x14ac:dyDescent="0.25">
      <c r="A74" s="8" t="s">
        <v>77</v>
      </c>
      <c r="B74" s="9">
        <f>DATE(2020,6,8)</f>
        <v>43990</v>
      </c>
      <c r="C74" s="12">
        <f t="shared" si="1"/>
        <v>2020</v>
      </c>
      <c r="D74" s="12">
        <f>MONTH(B74)</f>
        <v>6</v>
      </c>
      <c r="E74" s="8" t="s">
        <v>78</v>
      </c>
      <c r="F74" s="8" t="s">
        <v>22</v>
      </c>
      <c r="G74" s="8" t="s">
        <v>80</v>
      </c>
      <c r="H74" s="11">
        <v>0</v>
      </c>
      <c r="I74" s="11">
        <v>1845.18</v>
      </c>
      <c r="J74" s="11">
        <f>H74-I74</f>
        <v>-1845.18</v>
      </c>
      <c r="K74" s="8" t="s">
        <v>22</v>
      </c>
      <c r="L74" s="10">
        <v>1154864</v>
      </c>
      <c r="M74" s="8" t="s">
        <v>22</v>
      </c>
      <c r="N74" s="8" t="s">
        <v>0</v>
      </c>
      <c r="O74" s="8" t="s">
        <v>22</v>
      </c>
      <c r="P74" s="8" t="s">
        <v>23</v>
      </c>
      <c r="Q74" s="8" t="s">
        <v>22</v>
      </c>
      <c r="R74" s="9">
        <f>DATE(2020,6,9)</f>
        <v>43991</v>
      </c>
      <c r="S74" s="8" t="s">
        <v>24</v>
      </c>
      <c r="T74" s="8" t="s">
        <v>22</v>
      </c>
      <c r="U74" s="8" t="s">
        <v>25</v>
      </c>
      <c r="V74" s="8" t="s">
        <v>25</v>
      </c>
      <c r="W74" s="8" t="s">
        <v>26</v>
      </c>
    </row>
    <row r="75" spans="1:23" ht="17.45" customHeight="1" x14ac:dyDescent="0.25">
      <c r="A75" s="8" t="s">
        <v>75</v>
      </c>
      <c r="B75" s="9">
        <f>DATE(2020,7,9)</f>
        <v>44021</v>
      </c>
      <c r="C75" s="12">
        <f t="shared" si="1"/>
        <v>2020</v>
      </c>
      <c r="D75" s="12">
        <f>MONTH(B75)</f>
        <v>7</v>
      </c>
      <c r="E75" s="8" t="s">
        <v>76</v>
      </c>
      <c r="F75" s="8" t="s">
        <v>22</v>
      </c>
      <c r="G75" s="8" t="s">
        <v>81</v>
      </c>
      <c r="H75" s="11">
        <v>0</v>
      </c>
      <c r="I75" s="11">
        <v>734.4</v>
      </c>
      <c r="J75" s="11">
        <f>H75-I75</f>
        <v>-734.4</v>
      </c>
      <c r="K75" s="8" t="s">
        <v>22</v>
      </c>
      <c r="L75" s="10">
        <v>1160543</v>
      </c>
      <c r="M75" s="8" t="s">
        <v>22</v>
      </c>
      <c r="N75" s="8" t="s">
        <v>0</v>
      </c>
      <c r="O75" s="8" t="s">
        <v>22</v>
      </c>
      <c r="P75" s="8" t="s">
        <v>23</v>
      </c>
      <c r="Q75" s="8" t="s">
        <v>22</v>
      </c>
      <c r="R75" s="9">
        <f>DATE(2020,7,10)</f>
        <v>44022</v>
      </c>
      <c r="S75" s="8" t="s">
        <v>24</v>
      </c>
      <c r="T75" s="8" t="s">
        <v>22</v>
      </c>
      <c r="U75" s="8" t="s">
        <v>25</v>
      </c>
      <c r="V75" s="8" t="s">
        <v>25</v>
      </c>
      <c r="W75" s="8" t="s">
        <v>26</v>
      </c>
    </row>
    <row r="76" spans="1:23" ht="17.45" customHeight="1" x14ac:dyDescent="0.25">
      <c r="A76" s="8" t="s">
        <v>77</v>
      </c>
      <c r="B76" s="9">
        <f>DATE(2020,7,9)</f>
        <v>44021</v>
      </c>
      <c r="C76" s="12">
        <f t="shared" si="1"/>
        <v>2020</v>
      </c>
      <c r="D76" s="12">
        <f>MONTH(B76)</f>
        <v>7</v>
      </c>
      <c r="E76" s="8" t="s">
        <v>78</v>
      </c>
      <c r="F76" s="8" t="s">
        <v>22</v>
      </c>
      <c r="G76" s="8" t="s">
        <v>81</v>
      </c>
      <c r="H76" s="11">
        <v>0</v>
      </c>
      <c r="I76" s="11">
        <v>1083.97</v>
      </c>
      <c r="J76" s="11">
        <f>H76-I76</f>
        <v>-1083.97</v>
      </c>
      <c r="K76" s="8" t="s">
        <v>22</v>
      </c>
      <c r="L76" s="10">
        <v>1160543</v>
      </c>
      <c r="M76" s="8" t="s">
        <v>22</v>
      </c>
      <c r="N76" s="8" t="s">
        <v>0</v>
      </c>
      <c r="O76" s="8" t="s">
        <v>22</v>
      </c>
      <c r="P76" s="8" t="s">
        <v>23</v>
      </c>
      <c r="Q76" s="8" t="s">
        <v>22</v>
      </c>
      <c r="R76" s="9">
        <f>DATE(2020,7,10)</f>
        <v>44022</v>
      </c>
      <c r="S76" s="8" t="s">
        <v>24</v>
      </c>
      <c r="T76" s="8" t="s">
        <v>22</v>
      </c>
      <c r="U76" s="8" t="s">
        <v>25</v>
      </c>
      <c r="V76" s="8" t="s">
        <v>25</v>
      </c>
      <c r="W76" s="8" t="s">
        <v>26</v>
      </c>
    </row>
    <row r="77" spans="1:23" ht="17.45" customHeight="1" x14ac:dyDescent="0.25">
      <c r="A77" s="8" t="s">
        <v>77</v>
      </c>
      <c r="B77" s="9">
        <f>DATE(2020,7,9)</f>
        <v>44021</v>
      </c>
      <c r="C77" s="12">
        <f t="shared" si="1"/>
        <v>2020</v>
      </c>
      <c r="D77" s="12">
        <f>MONTH(B77)</f>
        <v>7</v>
      </c>
      <c r="E77" s="8" t="s">
        <v>78</v>
      </c>
      <c r="F77" s="8" t="s">
        <v>22</v>
      </c>
      <c r="G77" s="8" t="s">
        <v>81</v>
      </c>
      <c r="H77" s="11">
        <v>0</v>
      </c>
      <c r="I77" s="11">
        <v>1812.54</v>
      </c>
      <c r="J77" s="11">
        <f>H77-I77</f>
        <v>-1812.54</v>
      </c>
      <c r="K77" s="8" t="s">
        <v>22</v>
      </c>
      <c r="L77" s="10">
        <v>1160543</v>
      </c>
      <c r="M77" s="8" t="s">
        <v>22</v>
      </c>
      <c r="N77" s="8" t="s">
        <v>0</v>
      </c>
      <c r="O77" s="8" t="s">
        <v>22</v>
      </c>
      <c r="P77" s="8" t="s">
        <v>23</v>
      </c>
      <c r="Q77" s="8" t="s">
        <v>22</v>
      </c>
      <c r="R77" s="9">
        <f>DATE(2020,7,10)</f>
        <v>44022</v>
      </c>
      <c r="S77" s="8" t="s">
        <v>24</v>
      </c>
      <c r="T77" s="8" t="s">
        <v>22</v>
      </c>
      <c r="U77" s="8" t="s">
        <v>25</v>
      </c>
      <c r="V77" s="8" t="s">
        <v>25</v>
      </c>
      <c r="W77" s="8" t="s">
        <v>26</v>
      </c>
    </row>
    <row r="78" spans="1:23" ht="17.45" customHeight="1" x14ac:dyDescent="0.25">
      <c r="A78" s="8" t="s">
        <v>75</v>
      </c>
      <c r="B78" s="9">
        <f>DATE(2020,8,12)</f>
        <v>44055</v>
      </c>
      <c r="C78" s="12">
        <f t="shared" si="1"/>
        <v>2020</v>
      </c>
      <c r="D78" s="12">
        <f>MONTH(B78)</f>
        <v>8</v>
      </c>
      <c r="E78" s="8" t="s">
        <v>76</v>
      </c>
      <c r="F78" s="8" t="s">
        <v>22</v>
      </c>
      <c r="G78" s="8" t="s">
        <v>82</v>
      </c>
      <c r="H78" s="11">
        <v>0</v>
      </c>
      <c r="I78" s="11">
        <v>734.4</v>
      </c>
      <c r="J78" s="11">
        <f>H78-I78</f>
        <v>-734.4</v>
      </c>
      <c r="K78" s="8" t="s">
        <v>22</v>
      </c>
      <c r="L78" s="10">
        <v>1165153</v>
      </c>
      <c r="M78" s="8" t="s">
        <v>22</v>
      </c>
      <c r="N78" s="8" t="s">
        <v>0</v>
      </c>
      <c r="O78" s="8" t="s">
        <v>22</v>
      </c>
      <c r="P78" s="8" t="s">
        <v>23</v>
      </c>
      <c r="Q78" s="8" t="s">
        <v>22</v>
      </c>
      <c r="R78" s="9">
        <f>DATE(2020,8,13)</f>
        <v>44056</v>
      </c>
      <c r="S78" s="8" t="s">
        <v>24</v>
      </c>
      <c r="T78" s="8" t="s">
        <v>22</v>
      </c>
      <c r="U78" s="8" t="s">
        <v>25</v>
      </c>
      <c r="V78" s="8" t="s">
        <v>25</v>
      </c>
      <c r="W78" s="8" t="s">
        <v>26</v>
      </c>
    </row>
    <row r="79" spans="1:23" ht="17.45" customHeight="1" x14ac:dyDescent="0.25">
      <c r="A79" s="8" t="s">
        <v>77</v>
      </c>
      <c r="B79" s="9">
        <f>DATE(2020,8,12)</f>
        <v>44055</v>
      </c>
      <c r="C79" s="12">
        <f t="shared" si="1"/>
        <v>2020</v>
      </c>
      <c r="D79" s="12">
        <f>MONTH(B79)</f>
        <v>8</v>
      </c>
      <c r="E79" s="8" t="s">
        <v>78</v>
      </c>
      <c r="F79" s="8" t="s">
        <v>22</v>
      </c>
      <c r="G79" s="8" t="s">
        <v>82</v>
      </c>
      <c r="H79" s="11">
        <v>0</v>
      </c>
      <c r="I79" s="11">
        <v>1041.27</v>
      </c>
      <c r="J79" s="11">
        <f>H79-I79</f>
        <v>-1041.27</v>
      </c>
      <c r="K79" s="8" t="s">
        <v>22</v>
      </c>
      <c r="L79" s="10">
        <v>1165153</v>
      </c>
      <c r="M79" s="8" t="s">
        <v>22</v>
      </c>
      <c r="N79" s="8" t="s">
        <v>0</v>
      </c>
      <c r="O79" s="8" t="s">
        <v>22</v>
      </c>
      <c r="P79" s="8" t="s">
        <v>23</v>
      </c>
      <c r="Q79" s="8" t="s">
        <v>22</v>
      </c>
      <c r="R79" s="9">
        <f>DATE(2020,8,13)</f>
        <v>44056</v>
      </c>
      <c r="S79" s="8" t="s">
        <v>24</v>
      </c>
      <c r="T79" s="8" t="s">
        <v>22</v>
      </c>
      <c r="U79" s="8" t="s">
        <v>25</v>
      </c>
      <c r="V79" s="8" t="s">
        <v>25</v>
      </c>
      <c r="W79" s="8" t="s">
        <v>26</v>
      </c>
    </row>
    <row r="80" spans="1:23" ht="17.45" customHeight="1" x14ac:dyDescent="0.25">
      <c r="A80" s="8" t="s">
        <v>77</v>
      </c>
      <c r="B80" s="9">
        <f>DATE(2020,8,12)</f>
        <v>44055</v>
      </c>
      <c r="C80" s="12">
        <f t="shared" si="1"/>
        <v>2020</v>
      </c>
      <c r="D80" s="12">
        <f>MONTH(B80)</f>
        <v>8</v>
      </c>
      <c r="E80" s="8" t="s">
        <v>78</v>
      </c>
      <c r="F80" s="8" t="s">
        <v>22</v>
      </c>
      <c r="G80" s="8" t="s">
        <v>82</v>
      </c>
      <c r="H80" s="11">
        <v>0</v>
      </c>
      <c r="I80" s="11">
        <v>1747.26</v>
      </c>
      <c r="J80" s="11">
        <f>H80-I80</f>
        <v>-1747.26</v>
      </c>
      <c r="K80" s="8" t="s">
        <v>22</v>
      </c>
      <c r="L80" s="10">
        <v>1165153</v>
      </c>
      <c r="M80" s="8" t="s">
        <v>22</v>
      </c>
      <c r="N80" s="8" t="s">
        <v>0</v>
      </c>
      <c r="O80" s="8" t="s">
        <v>22</v>
      </c>
      <c r="P80" s="8" t="s">
        <v>23</v>
      </c>
      <c r="Q80" s="8" t="s">
        <v>22</v>
      </c>
      <c r="R80" s="9">
        <f>DATE(2020,8,13)</f>
        <v>44056</v>
      </c>
      <c r="S80" s="8" t="s">
        <v>24</v>
      </c>
      <c r="T80" s="8" t="s">
        <v>22</v>
      </c>
      <c r="U80" s="8" t="s">
        <v>25</v>
      </c>
      <c r="V80" s="8" t="s">
        <v>25</v>
      </c>
      <c r="W80" s="8" t="s">
        <v>26</v>
      </c>
    </row>
    <row r="81" spans="1:23" ht="17.45" customHeight="1" x14ac:dyDescent="0.25">
      <c r="A81" s="8" t="s">
        <v>75</v>
      </c>
      <c r="B81" s="9">
        <f>DATE(2020,9,8)</f>
        <v>44082</v>
      </c>
      <c r="C81" s="12">
        <f t="shared" si="1"/>
        <v>2020</v>
      </c>
      <c r="D81" s="12">
        <f>MONTH(B81)</f>
        <v>9</v>
      </c>
      <c r="E81" s="8" t="s">
        <v>76</v>
      </c>
      <c r="F81" s="8" t="s">
        <v>22</v>
      </c>
      <c r="G81" s="8" t="s">
        <v>83</v>
      </c>
      <c r="H81" s="11">
        <v>0</v>
      </c>
      <c r="I81" s="11">
        <v>734.4</v>
      </c>
      <c r="J81" s="11">
        <f>H81-I81</f>
        <v>-734.4</v>
      </c>
      <c r="K81" s="8" t="s">
        <v>22</v>
      </c>
      <c r="L81" s="10">
        <v>1168978</v>
      </c>
      <c r="M81" s="8" t="s">
        <v>22</v>
      </c>
      <c r="N81" s="8" t="s">
        <v>0</v>
      </c>
      <c r="O81" s="8" t="s">
        <v>22</v>
      </c>
      <c r="P81" s="8" t="s">
        <v>23</v>
      </c>
      <c r="Q81" s="8" t="s">
        <v>22</v>
      </c>
      <c r="R81" s="9">
        <f>DATE(2020,9,10)</f>
        <v>44084</v>
      </c>
      <c r="S81" s="8" t="s">
        <v>24</v>
      </c>
      <c r="T81" s="8" t="s">
        <v>22</v>
      </c>
      <c r="U81" s="8" t="s">
        <v>25</v>
      </c>
      <c r="V81" s="8" t="s">
        <v>25</v>
      </c>
      <c r="W81" s="8" t="s">
        <v>26</v>
      </c>
    </row>
    <row r="82" spans="1:23" ht="17.45" customHeight="1" x14ac:dyDescent="0.25">
      <c r="A82" s="8" t="s">
        <v>77</v>
      </c>
      <c r="B82" s="9">
        <f>DATE(2020,9,8)</f>
        <v>44082</v>
      </c>
      <c r="C82" s="12">
        <f t="shared" si="1"/>
        <v>2020</v>
      </c>
      <c r="D82" s="12">
        <f>MONTH(B82)</f>
        <v>9</v>
      </c>
      <c r="E82" s="8" t="s">
        <v>78</v>
      </c>
      <c r="F82" s="8" t="s">
        <v>22</v>
      </c>
      <c r="G82" s="8" t="s">
        <v>83</v>
      </c>
      <c r="H82" s="11">
        <v>0</v>
      </c>
      <c r="I82" s="11">
        <v>1012.6</v>
      </c>
      <c r="J82" s="11">
        <f>H82-I82</f>
        <v>-1012.6</v>
      </c>
      <c r="K82" s="8" t="s">
        <v>22</v>
      </c>
      <c r="L82" s="10">
        <v>1168978</v>
      </c>
      <c r="M82" s="8" t="s">
        <v>22</v>
      </c>
      <c r="N82" s="8" t="s">
        <v>0</v>
      </c>
      <c r="O82" s="8" t="s">
        <v>22</v>
      </c>
      <c r="P82" s="8" t="s">
        <v>23</v>
      </c>
      <c r="Q82" s="8" t="s">
        <v>22</v>
      </c>
      <c r="R82" s="9">
        <f>DATE(2020,9,10)</f>
        <v>44084</v>
      </c>
      <c r="S82" s="8" t="s">
        <v>24</v>
      </c>
      <c r="T82" s="8" t="s">
        <v>22</v>
      </c>
      <c r="U82" s="8" t="s">
        <v>25</v>
      </c>
      <c r="V82" s="8" t="s">
        <v>25</v>
      </c>
      <c r="W82" s="8" t="s">
        <v>26</v>
      </c>
    </row>
    <row r="83" spans="1:23" ht="17.45" customHeight="1" x14ac:dyDescent="0.25">
      <c r="A83" s="8" t="s">
        <v>77</v>
      </c>
      <c r="B83" s="9">
        <f>DATE(2020,9,8)</f>
        <v>44082</v>
      </c>
      <c r="C83" s="12">
        <f t="shared" si="1"/>
        <v>2020</v>
      </c>
      <c r="D83" s="12">
        <f>MONTH(B83)</f>
        <v>9</v>
      </c>
      <c r="E83" s="8" t="s">
        <v>78</v>
      </c>
      <c r="F83" s="8" t="s">
        <v>22</v>
      </c>
      <c r="G83" s="8" t="s">
        <v>83</v>
      </c>
      <c r="H83" s="11">
        <v>0</v>
      </c>
      <c r="I83" s="11">
        <v>1696.26</v>
      </c>
      <c r="J83" s="11">
        <f>H83-I83</f>
        <v>-1696.26</v>
      </c>
      <c r="K83" s="8" t="s">
        <v>22</v>
      </c>
      <c r="L83" s="10">
        <v>1168978</v>
      </c>
      <c r="M83" s="8" t="s">
        <v>22</v>
      </c>
      <c r="N83" s="8" t="s">
        <v>0</v>
      </c>
      <c r="O83" s="8" t="s">
        <v>22</v>
      </c>
      <c r="P83" s="8" t="s">
        <v>23</v>
      </c>
      <c r="Q83" s="8" t="s">
        <v>22</v>
      </c>
      <c r="R83" s="9">
        <f>DATE(2020,9,10)</f>
        <v>44084</v>
      </c>
      <c r="S83" s="8" t="s">
        <v>24</v>
      </c>
      <c r="T83" s="8" t="s">
        <v>22</v>
      </c>
      <c r="U83" s="8" t="s">
        <v>25</v>
      </c>
      <c r="V83" s="8" t="s">
        <v>25</v>
      </c>
      <c r="W83" s="8" t="s">
        <v>26</v>
      </c>
    </row>
  </sheetData>
  <autoFilter ref="A1:W83">
    <sortState ref="A2:V83">
      <sortCondition ref="B1:B8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zoomScale="85" zoomScaleNormal="85" workbookViewId="0">
      <selection activeCell="L6" sqref="L6"/>
    </sheetView>
  </sheetViews>
  <sheetFormatPr defaultRowHeight="15" x14ac:dyDescent="0.25"/>
  <sheetData>
    <row r="3" spans="2:2" x14ac:dyDescent="0.25">
      <c r="B3" t="s">
        <v>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Continuity</vt:lpstr>
      <vt:lpstr>PIVOT</vt:lpstr>
      <vt:lpstr>Workings</vt:lpstr>
      <vt:lpstr>ACTG Order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Boland</dc:creator>
  <cp:lastModifiedBy>Margaret Boland</cp:lastModifiedBy>
  <dcterms:created xsi:type="dcterms:W3CDTF">2020-08-11T19:46:12Z</dcterms:created>
  <dcterms:modified xsi:type="dcterms:W3CDTF">2020-10-09T18:44:37Z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