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15" yWindow="15" windowWidth="15255" windowHeight="8205" tabRatio="783" firstSheet="9" activeTab="13"/>
  </bookViews>
  <sheets>
    <sheet name="Summary" sheetId="1" r:id="rId1"/>
    <sheet name="Details of 2021 2020 Predicted" sheetId="2" r:id="rId2"/>
    <sheet name="Purchased Power Model" sheetId="3" r:id="rId3"/>
    <sheet name="Rate Class Energy Model" sheetId="4" r:id="rId4"/>
    <sheet name="Rate Class Customer Model " sheetId="5" r:id="rId5"/>
    <sheet name="Graph Customer Counts " sheetId="6" r:id="rId6"/>
    <sheet name="Rate Class Load Model" sheetId="7" r:id="rId7"/>
    <sheet name="Load Transfers 2015 COS" sheetId="8" r:id="rId8"/>
    <sheet name="Load Transfers" sheetId="9" r:id="rId9"/>
    <sheet name="2006-2010 Final CDM" sheetId="10" r:id="rId10"/>
    <sheet name="2011-2014 Final CDM" sheetId="11" r:id="rId11"/>
    <sheet name="CDM Activity" sheetId="12" r:id="rId12"/>
    <sheet name="2020 COP Forecast" sheetId="13" r:id="rId13"/>
    <sheet name="2021 COP Forecast" sheetId="14" r:id="rId14"/>
    <sheet name="Calculation of MAPE" sheetId="15" r:id="rId15"/>
    <sheet name="Autocorrelation" sheetId="16" r:id="rId16"/>
    <sheet name="Annual Chart" sheetId="17" r:id="rId17"/>
    <sheet name="Monthly Chart" sheetId="18" r:id="rId18"/>
    <sheet name="RPP Non-RPP Split"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Order1" hidden="1">255</definedName>
    <definedName name="_Sort" hidden="1">'[1]Sheet1'!$G$40:$K$40</definedName>
    <definedName name="PAGE11" localSheetId="13">#REF!</definedName>
    <definedName name="PAGE11">#REF!</definedName>
    <definedName name="PAGE2">'[1]Sheet1'!$A$1:$I$40</definedName>
    <definedName name="PAGE3" localSheetId="13">#REF!</definedName>
    <definedName name="PAGE3">#REF!</definedName>
    <definedName name="PAGE4" localSheetId="13">#REF!</definedName>
    <definedName name="PAGE4">#REF!</definedName>
    <definedName name="PAGE7" localSheetId="13">#REF!</definedName>
    <definedName name="PAGE7">#REF!</definedName>
    <definedName name="PAGE9" localSheetId="13">#REF!</definedName>
    <definedName name="PAGE9">#REF!</definedName>
    <definedName name="_xlnm.Print_Area" localSheetId="2">'Purchased Power Model'!$A$1:$Z$349</definedName>
    <definedName name="_xlnm.Print_Area" localSheetId="0">'Summary'!#REF!</definedName>
    <definedName name="_xlnm.Print_Titles" localSheetId="2">'Purchased Power Model'!$1:$2</definedName>
    <definedName name="solver_eng" localSheetId="2" hidden="1">1</definedName>
    <definedName name="solver_neg" localSheetId="2" hidden="1">1</definedName>
    <definedName name="solver_num" localSheetId="2" hidden="1">0</definedName>
    <definedName name="solver_opt" localSheetId="2" hidden="1">'Purchased Power Model'!$H$291</definedName>
    <definedName name="solver_typ" localSheetId="2" hidden="1">1</definedName>
    <definedName name="solver_val" localSheetId="2" hidden="1">0</definedName>
    <definedName name="solver_ver" localSheetId="2" hidden="1">3</definedName>
  </definedNames>
  <calcPr fullCalcOnLoad="1"/>
</workbook>
</file>

<file path=xl/comments11.xml><?xml version="1.0" encoding="utf-8"?>
<comments xmlns="http://schemas.openxmlformats.org/spreadsheetml/2006/main">
  <authors>
    <author>OPA</author>
  </authors>
  <commentList>
    <comment ref="A1" authorId="0">
      <text>
        <r>
          <rPr>
            <sz val="9"/>
            <rFont val="Tahoma"/>
            <family val="2"/>
          </rPr>
          <t>Both Tables show Scenario 1 savings (which should match up with savings values in LDC - Results tab)</t>
        </r>
        <r>
          <rPr>
            <b/>
            <sz val="9"/>
            <rFont val="Tahoma"/>
            <family val="2"/>
          </rPr>
          <t xml:space="preserve">
'2012 - Verified' row explanation: 
</t>
        </r>
        <r>
          <rPr>
            <sz val="9"/>
            <rFont val="Tahoma"/>
            <family val="2"/>
          </rPr>
          <t xml:space="preserve">
2011 col. - values don't change after 2011, any true-ups for 2011 are rolled up into later years
2012 col. - values include savings from 2012 DR and EE projects in 2012, 2011 true-up in 2012 and 2011 true-up in 2011 (this shouldn't really go here, but since the 2011 col. is fixed, we need to capture the persistence of 2011 true-up in 2011, in the 2012 col.) 
2013 col. - values include savings from 2012 DR and EE projects in 2013 and 2011 true-up in 2013 
2014 col. - values include savings from 2012 DR and EE projects in 2014 and 2011 true-up in 2014 
</t>
        </r>
      </text>
    </comment>
  </commentList>
</comments>
</file>

<file path=xl/comments12.xml><?xml version="1.0" encoding="utf-8"?>
<comments xmlns="http://schemas.openxmlformats.org/spreadsheetml/2006/main">
  <authors>
    <author>NPEI</author>
  </authors>
  <commentList>
    <comment ref="H15" authorId="0">
      <text>
        <r>
          <rPr>
            <b/>
            <sz val="10"/>
            <rFont val="Tahoma"/>
            <family val="2"/>
          </rPr>
          <t>NPEI:</t>
        </r>
        <r>
          <rPr>
            <sz val="10"/>
            <rFont val="Tahoma"/>
            <family val="2"/>
          </rPr>
          <t xml:space="preserve">
Adjustment to 2011 results made in 2012.</t>
        </r>
      </text>
    </comment>
    <comment ref="H16" authorId="0">
      <text>
        <r>
          <rPr>
            <b/>
            <sz val="10"/>
            <rFont val="Tahoma"/>
            <family val="2"/>
          </rPr>
          <t>NPEI:</t>
        </r>
        <r>
          <rPr>
            <sz val="10"/>
            <rFont val="Tahoma"/>
            <family val="2"/>
          </rPr>
          <t xml:space="preserve">
Adjustment to 2011 results made in 2013.</t>
        </r>
      </text>
    </comment>
    <comment ref="I16" authorId="0">
      <text>
        <r>
          <rPr>
            <b/>
            <sz val="10"/>
            <rFont val="Tahoma"/>
            <family val="2"/>
          </rPr>
          <t>NPEI:</t>
        </r>
        <r>
          <rPr>
            <sz val="10"/>
            <rFont val="Tahoma"/>
            <family val="2"/>
          </rPr>
          <t xml:space="preserve">
Adjustment to 2012 results made in 2013.</t>
        </r>
      </text>
    </comment>
    <comment ref="H17" authorId="0">
      <text>
        <r>
          <rPr>
            <b/>
            <sz val="10"/>
            <rFont val="Tahoma"/>
            <family val="2"/>
          </rPr>
          <t>NPEI:</t>
        </r>
        <r>
          <rPr>
            <sz val="10"/>
            <rFont val="Tahoma"/>
            <family val="2"/>
          </rPr>
          <t xml:space="preserve">
Adjustment to 2011 results made in 2014.</t>
        </r>
      </text>
    </comment>
    <comment ref="I17" authorId="0">
      <text>
        <r>
          <rPr>
            <b/>
            <sz val="10"/>
            <rFont val="Tahoma"/>
            <family val="2"/>
          </rPr>
          <t>NPEI:</t>
        </r>
        <r>
          <rPr>
            <sz val="10"/>
            <rFont val="Tahoma"/>
            <family val="2"/>
          </rPr>
          <t xml:space="preserve">
Adjustment to 2012 results made in 2014.</t>
        </r>
      </text>
    </comment>
    <comment ref="J17" authorId="0">
      <text>
        <r>
          <rPr>
            <b/>
            <sz val="10"/>
            <rFont val="Tahoma"/>
            <family val="2"/>
          </rPr>
          <t>NPEI:</t>
        </r>
        <r>
          <rPr>
            <sz val="10"/>
            <rFont val="Tahoma"/>
            <family val="2"/>
          </rPr>
          <t xml:space="preserve">
Adjustment to 2013 results made in 2014.</t>
        </r>
      </text>
    </comment>
    <comment ref="L19" authorId="0">
      <text>
        <r>
          <rPr>
            <b/>
            <sz val="10"/>
            <rFont val="Tahoma"/>
            <family val="2"/>
          </rPr>
          <t>NPEI:</t>
        </r>
        <r>
          <rPr>
            <sz val="10"/>
            <rFont val="Tahoma"/>
            <family val="2"/>
          </rPr>
          <t xml:space="preserve">
Adjustment to 2015 results made in 2016.</t>
        </r>
      </text>
    </comment>
    <comment ref="L20" authorId="0">
      <text>
        <r>
          <rPr>
            <b/>
            <sz val="10"/>
            <rFont val="Tahoma"/>
            <family val="2"/>
          </rPr>
          <t>NPEI:</t>
        </r>
        <r>
          <rPr>
            <sz val="10"/>
            <rFont val="Tahoma"/>
            <family val="2"/>
          </rPr>
          <t xml:space="preserve">
Adjustment to 2015 results made in 2017.</t>
        </r>
      </text>
    </comment>
    <comment ref="M20" authorId="0">
      <text>
        <r>
          <rPr>
            <b/>
            <sz val="10"/>
            <rFont val="Tahoma"/>
            <family val="2"/>
          </rPr>
          <t>NPEI:</t>
        </r>
        <r>
          <rPr>
            <sz val="10"/>
            <rFont val="Tahoma"/>
            <family val="2"/>
          </rPr>
          <t xml:space="preserve">
Adjustment to 2016 results made in 2017.</t>
        </r>
      </text>
    </comment>
    <comment ref="M21" authorId="0">
      <text>
        <r>
          <rPr>
            <b/>
            <sz val="10"/>
            <rFont val="Tahoma"/>
            <family val="2"/>
          </rPr>
          <t>NPEI:</t>
        </r>
        <r>
          <rPr>
            <sz val="10"/>
            <rFont val="Tahoma"/>
            <family val="2"/>
          </rPr>
          <t xml:space="preserve">
Adjustment to 2016 results made in 2018.</t>
        </r>
      </text>
    </comment>
    <comment ref="N21" authorId="0">
      <text>
        <r>
          <rPr>
            <b/>
            <sz val="10"/>
            <rFont val="Tahoma"/>
            <family val="2"/>
          </rPr>
          <t>NPEI:</t>
        </r>
        <r>
          <rPr>
            <sz val="10"/>
            <rFont val="Tahoma"/>
            <family val="2"/>
          </rPr>
          <t xml:space="preserve">
Adjustment to 2017 results made in 2018.</t>
        </r>
      </text>
    </comment>
    <comment ref="M18" authorId="0">
      <text>
        <r>
          <rPr>
            <b/>
            <sz val="10"/>
            <rFont val="Tahoma"/>
            <family val="2"/>
          </rPr>
          <t>NPEI:</t>
        </r>
        <r>
          <rPr>
            <sz val="10"/>
            <rFont val="Tahoma"/>
            <family val="2"/>
          </rPr>
          <t xml:space="preserve">
Includes persistence of adjustments</t>
        </r>
      </text>
    </comment>
    <comment ref="N18" authorId="0">
      <text>
        <r>
          <rPr>
            <b/>
            <sz val="10"/>
            <rFont val="Tahoma"/>
            <family val="2"/>
          </rPr>
          <t>NPEI:</t>
        </r>
        <r>
          <rPr>
            <sz val="10"/>
            <rFont val="Tahoma"/>
            <family val="2"/>
          </rPr>
          <t xml:space="preserve">
Includes persistence of adjustments</t>
        </r>
      </text>
    </comment>
    <comment ref="O18" authorId="0">
      <text>
        <r>
          <rPr>
            <b/>
            <sz val="10"/>
            <rFont val="Tahoma"/>
            <family val="2"/>
          </rPr>
          <t>NPEI:</t>
        </r>
        <r>
          <rPr>
            <sz val="10"/>
            <rFont val="Tahoma"/>
            <family val="2"/>
          </rPr>
          <t xml:space="preserve">
Includes persistence of adjustments</t>
        </r>
      </text>
    </comment>
    <comment ref="P18" authorId="0">
      <text>
        <r>
          <rPr>
            <b/>
            <sz val="10"/>
            <rFont val="Tahoma"/>
            <family val="2"/>
          </rPr>
          <t>NPEI:</t>
        </r>
        <r>
          <rPr>
            <sz val="10"/>
            <rFont val="Tahoma"/>
            <family val="2"/>
          </rPr>
          <t xml:space="preserve">
Includes persistence of adjustments</t>
        </r>
      </text>
    </comment>
    <comment ref="Q18" authorId="0">
      <text>
        <r>
          <rPr>
            <b/>
            <sz val="10"/>
            <rFont val="Tahoma"/>
            <family val="2"/>
          </rPr>
          <t>NPEI:</t>
        </r>
        <r>
          <rPr>
            <sz val="10"/>
            <rFont val="Tahoma"/>
            <family val="2"/>
          </rPr>
          <t xml:space="preserve">
Includes persistence of adjustments</t>
        </r>
      </text>
    </comment>
    <comment ref="R18" authorId="0">
      <text>
        <r>
          <rPr>
            <b/>
            <sz val="10"/>
            <rFont val="Tahoma"/>
            <family val="2"/>
          </rPr>
          <t>NPEI:</t>
        </r>
        <r>
          <rPr>
            <sz val="10"/>
            <rFont val="Tahoma"/>
            <family val="2"/>
          </rPr>
          <t xml:space="preserve">
Includes persistence of adjustments</t>
        </r>
      </text>
    </comment>
    <comment ref="N19" authorId="0">
      <text>
        <r>
          <rPr>
            <b/>
            <sz val="10"/>
            <rFont val="Tahoma"/>
            <family val="2"/>
          </rPr>
          <t>NPEI:</t>
        </r>
        <r>
          <rPr>
            <sz val="10"/>
            <rFont val="Tahoma"/>
            <family val="2"/>
          </rPr>
          <t xml:space="preserve">
Includes persistence of adjustments</t>
        </r>
      </text>
    </comment>
    <comment ref="O19" authorId="0">
      <text>
        <r>
          <rPr>
            <b/>
            <sz val="10"/>
            <rFont val="Tahoma"/>
            <family val="2"/>
          </rPr>
          <t>NPEI:</t>
        </r>
        <r>
          <rPr>
            <sz val="10"/>
            <rFont val="Tahoma"/>
            <family val="2"/>
          </rPr>
          <t xml:space="preserve">
Includes persistence of adjustments</t>
        </r>
      </text>
    </comment>
    <comment ref="P19" authorId="0">
      <text>
        <r>
          <rPr>
            <b/>
            <sz val="10"/>
            <rFont val="Tahoma"/>
            <family val="2"/>
          </rPr>
          <t>NPEI:</t>
        </r>
        <r>
          <rPr>
            <sz val="10"/>
            <rFont val="Tahoma"/>
            <family val="2"/>
          </rPr>
          <t xml:space="preserve">
Includes persistence of adjustments</t>
        </r>
      </text>
    </comment>
    <comment ref="Q19" authorId="0">
      <text>
        <r>
          <rPr>
            <b/>
            <sz val="10"/>
            <rFont val="Tahoma"/>
            <family val="2"/>
          </rPr>
          <t>NPEI:</t>
        </r>
        <r>
          <rPr>
            <sz val="10"/>
            <rFont val="Tahoma"/>
            <family val="2"/>
          </rPr>
          <t xml:space="preserve">
Includes persistence of adjustments</t>
        </r>
      </text>
    </comment>
    <comment ref="R19" authorId="0">
      <text>
        <r>
          <rPr>
            <b/>
            <sz val="10"/>
            <rFont val="Tahoma"/>
            <family val="2"/>
          </rPr>
          <t>NPEI:</t>
        </r>
        <r>
          <rPr>
            <sz val="10"/>
            <rFont val="Tahoma"/>
            <family val="2"/>
          </rPr>
          <t xml:space="preserve">
Includes persistence of adjustments</t>
        </r>
      </text>
    </comment>
  </commentList>
</comments>
</file>

<file path=xl/comments13.xml><?xml version="1.0" encoding="utf-8"?>
<comments xmlns="http://schemas.openxmlformats.org/spreadsheetml/2006/main">
  <authors>
    <author>Paul Blythin</author>
  </authors>
  <commentList>
    <comment ref="C14" authorId="0">
      <text>
        <r>
          <rPr>
            <b/>
            <sz val="8"/>
            <rFont val="Tahoma"/>
            <family val="2"/>
          </rPr>
          <t>Paul Blythin:</t>
        </r>
        <r>
          <rPr>
            <sz val="8"/>
            <rFont val="Tahoma"/>
            <family val="2"/>
          </rPr>
          <t xml:space="preserve">
Existing loss factor from 2020 IRM Tariff</t>
        </r>
      </text>
    </comment>
    <comment ref="E26" authorId="0">
      <text>
        <r>
          <rPr>
            <b/>
            <sz val="8"/>
            <rFont val="Tahoma"/>
            <family val="2"/>
          </rPr>
          <t>Paul Blythin:</t>
        </r>
        <r>
          <rPr>
            <sz val="8"/>
            <rFont val="Tahoma"/>
            <family val="2"/>
          </rPr>
          <t xml:space="preserve">
From 2020 IRM Rate Tariff</t>
        </r>
      </text>
    </comment>
    <comment ref="E37" authorId="0">
      <text>
        <r>
          <rPr>
            <b/>
            <sz val="8"/>
            <rFont val="Tahoma"/>
            <family val="2"/>
          </rPr>
          <t>Paul Blythin:</t>
        </r>
        <r>
          <rPr>
            <sz val="8"/>
            <rFont val="Tahoma"/>
            <family val="2"/>
          </rPr>
          <t xml:space="preserve">
From 2020 IRM Rate Tariff</t>
        </r>
      </text>
    </comment>
    <comment ref="E70" authorId="0">
      <text>
        <r>
          <rPr>
            <b/>
            <sz val="8"/>
            <rFont val="Tahoma"/>
            <family val="2"/>
          </rPr>
          <t>Paul Blythin:</t>
        </r>
        <r>
          <rPr>
            <sz val="8"/>
            <rFont val="Tahoma"/>
            <family val="2"/>
          </rPr>
          <t xml:space="preserve">
From 2020 IRM Rate Tariff</t>
        </r>
      </text>
    </comment>
    <comment ref="E92" authorId="0">
      <text>
        <r>
          <rPr>
            <b/>
            <sz val="8"/>
            <rFont val="Tahoma"/>
            <family val="2"/>
          </rPr>
          <t>Paul Blythin:</t>
        </r>
        <r>
          <rPr>
            <sz val="8"/>
            <rFont val="Tahoma"/>
            <family val="2"/>
          </rPr>
          <t xml:space="preserve">
From 2020 IRM Rate Tariff</t>
        </r>
      </text>
    </comment>
    <comment ref="E48" authorId="0">
      <text>
        <r>
          <rPr>
            <b/>
            <sz val="8"/>
            <rFont val="Tahoma"/>
            <family val="2"/>
          </rPr>
          <t>Paul Blythin:</t>
        </r>
        <r>
          <rPr>
            <sz val="8"/>
            <rFont val="Tahoma"/>
            <family val="2"/>
          </rPr>
          <t xml:space="preserve">
From 2020 IRM Rate Tariff</t>
        </r>
      </text>
    </comment>
    <comment ref="E81" authorId="0">
      <text>
        <r>
          <rPr>
            <b/>
            <sz val="8"/>
            <rFont val="Tahoma"/>
            <family val="2"/>
          </rPr>
          <t>Paul Blythin:</t>
        </r>
        <r>
          <rPr>
            <sz val="8"/>
            <rFont val="Tahoma"/>
            <family val="2"/>
          </rPr>
          <t xml:space="preserve">
From 2020 IRM Rate Tariff</t>
        </r>
      </text>
    </comment>
  </commentList>
</comments>
</file>

<file path=xl/comments14.xml><?xml version="1.0" encoding="utf-8"?>
<comments xmlns="http://schemas.openxmlformats.org/spreadsheetml/2006/main">
  <authors>
    <author>Paul Blythin</author>
  </authors>
  <commentList>
    <comment ref="C14" authorId="0">
      <text>
        <r>
          <rPr>
            <b/>
            <sz val="8"/>
            <rFont val="Tahoma"/>
            <family val="2"/>
          </rPr>
          <t>Paul Blythin:</t>
        </r>
        <r>
          <rPr>
            <sz val="8"/>
            <rFont val="Tahoma"/>
            <family val="2"/>
          </rPr>
          <t xml:space="preserve">
Average Total Loss Factor from Sheet C1.Loss Factors in Rate Maker</t>
        </r>
      </text>
    </comment>
    <comment ref="E25" authorId="0">
      <text>
        <r>
          <rPr>
            <b/>
            <sz val="8"/>
            <rFont val="Tahoma"/>
            <family val="2"/>
          </rPr>
          <t>Paul Blythin:</t>
        </r>
        <r>
          <rPr>
            <sz val="8"/>
            <rFont val="Tahoma"/>
            <family val="2"/>
          </rPr>
          <t xml:space="preserve">
From 2021 RTSR Model</t>
        </r>
      </text>
    </comment>
    <comment ref="E36" authorId="0">
      <text>
        <r>
          <rPr>
            <b/>
            <sz val="8"/>
            <rFont val="Tahoma"/>
            <family val="2"/>
          </rPr>
          <t>Paul Blythin:</t>
        </r>
        <r>
          <rPr>
            <sz val="8"/>
            <rFont val="Tahoma"/>
            <family val="2"/>
          </rPr>
          <t xml:space="preserve">
From 2021 RTSR Model</t>
        </r>
      </text>
    </comment>
    <comment ref="E80" authorId="0">
      <text>
        <r>
          <rPr>
            <b/>
            <sz val="8"/>
            <rFont val="Tahoma"/>
            <family val="2"/>
          </rPr>
          <t>Paul Blythin:</t>
        </r>
        <r>
          <rPr>
            <sz val="8"/>
            <rFont val="Tahoma"/>
            <family val="2"/>
          </rPr>
          <t xml:space="preserve">
From 2020 IRM Rate Tariff</t>
        </r>
      </text>
    </comment>
    <comment ref="E91" authorId="0">
      <text>
        <r>
          <rPr>
            <b/>
            <sz val="8"/>
            <rFont val="Tahoma"/>
            <family val="2"/>
          </rPr>
          <t>Paul Blythin:</t>
        </r>
        <r>
          <rPr>
            <sz val="8"/>
            <rFont val="Tahoma"/>
            <family val="2"/>
          </rPr>
          <t xml:space="preserve">
From 2020 IRM Rate Tariff</t>
        </r>
      </text>
    </comment>
    <comment ref="E47" authorId="0">
      <text>
        <r>
          <rPr>
            <b/>
            <sz val="8"/>
            <rFont val="Tahoma"/>
            <family val="2"/>
          </rPr>
          <t>Paul Blythin:</t>
        </r>
        <r>
          <rPr>
            <sz val="8"/>
            <rFont val="Tahoma"/>
            <family val="2"/>
          </rPr>
          <t xml:space="preserve">
From 2020 IRM Rate Tariff</t>
        </r>
      </text>
    </comment>
    <comment ref="E69" authorId="0">
      <text>
        <r>
          <rPr>
            <b/>
            <sz val="8"/>
            <rFont val="Tahoma"/>
            <family val="2"/>
          </rPr>
          <t>Paul Blythin:</t>
        </r>
        <r>
          <rPr>
            <sz val="8"/>
            <rFont val="Tahoma"/>
            <family val="2"/>
          </rPr>
          <t xml:space="preserve">
Proposed 2021 LV Rates as calculated in Rate Maker</t>
        </r>
      </text>
    </comment>
  </commentList>
</comments>
</file>

<file path=xl/comments3.xml><?xml version="1.0" encoding="utf-8"?>
<comments xmlns="http://schemas.openxmlformats.org/spreadsheetml/2006/main">
  <authors>
    <author>NPEI</author>
  </authors>
  <commentList>
    <comment ref="B257" authorId="0">
      <text>
        <r>
          <rPr>
            <b/>
            <sz val="10"/>
            <rFont val="Tahoma"/>
            <family val="2"/>
          </rPr>
          <t>NPEI:</t>
        </r>
        <r>
          <rPr>
            <sz val="10"/>
            <rFont val="Tahoma"/>
            <family val="2"/>
          </rPr>
          <t xml:space="preserve">
Includes Grimsby Power starting in March 2017.</t>
        </r>
      </text>
    </comment>
  </commentList>
</comments>
</file>

<file path=xl/comments4.xml><?xml version="1.0" encoding="utf-8"?>
<comments xmlns="http://schemas.openxmlformats.org/spreadsheetml/2006/main">
  <authors>
    <author>SUZANNEW</author>
  </authors>
  <commentList>
    <comment ref="B40" authorId="0">
      <text>
        <r>
          <rPr>
            <b/>
            <sz val="10"/>
            <rFont val="Tahoma"/>
            <family val="2"/>
          </rPr>
          <t>SUZANNEW:</t>
        </r>
        <r>
          <rPr>
            <sz val="10"/>
            <rFont val="Tahoma"/>
            <family val="2"/>
          </rPr>
          <t xml:space="preserve">
These are the changes from year to year</t>
        </r>
      </text>
    </comment>
  </commentList>
</comments>
</file>

<file path=xl/comments5.xml><?xml version="1.0" encoding="utf-8"?>
<comments xmlns="http://schemas.openxmlformats.org/spreadsheetml/2006/main">
  <authors>
    <author>NPEI</author>
  </authors>
  <commentList>
    <comment ref="F49" authorId="0">
      <text>
        <r>
          <rPr>
            <b/>
            <sz val="8"/>
            <rFont val="Tahoma"/>
            <family val="2"/>
          </rPr>
          <t>NPEI:</t>
        </r>
        <r>
          <rPr>
            <sz val="8"/>
            <rFont val="Tahoma"/>
            <family val="2"/>
          </rPr>
          <t xml:space="preserve">
Geomean since last COS</t>
        </r>
      </text>
    </comment>
    <comment ref="B18" authorId="0">
      <text>
        <r>
          <rPr>
            <b/>
            <sz val="8"/>
            <rFont val="Tahoma"/>
            <family val="2"/>
          </rPr>
          <t>NPEI:</t>
        </r>
        <r>
          <rPr>
            <sz val="8"/>
            <rFont val="Tahoma"/>
            <family val="2"/>
          </rPr>
          <t xml:space="preserve">
Agrees to Q4 2.1.2 RRR Filing and Yearbook of Electricity Distributors</t>
        </r>
      </text>
    </comment>
    <comment ref="B19" authorId="0">
      <text>
        <r>
          <rPr>
            <b/>
            <sz val="8"/>
            <rFont val="Tahoma"/>
            <family val="2"/>
          </rPr>
          <t>NPEI:</t>
        </r>
        <r>
          <rPr>
            <sz val="8"/>
            <rFont val="Tahoma"/>
            <family val="2"/>
          </rPr>
          <t xml:space="preserve">
Agrees to Q4 2.1.2 RRR Filing and Yearbook of Electricity Distributors</t>
        </r>
      </text>
    </comment>
    <comment ref="B20" authorId="0">
      <text>
        <r>
          <rPr>
            <b/>
            <sz val="8"/>
            <rFont val="Tahoma"/>
            <family val="2"/>
          </rPr>
          <t>NPEI:</t>
        </r>
        <r>
          <rPr>
            <sz val="8"/>
            <rFont val="Tahoma"/>
            <family val="2"/>
          </rPr>
          <t xml:space="preserve">
Agrees to Q4 2.1.2 RRR Filing and Yearbook of Electricity Distributors</t>
        </r>
      </text>
    </comment>
    <comment ref="B21" authorId="0">
      <text>
        <r>
          <rPr>
            <b/>
            <sz val="8"/>
            <rFont val="Tahoma"/>
            <family val="2"/>
          </rPr>
          <t>NPEI:</t>
        </r>
        <r>
          <rPr>
            <sz val="8"/>
            <rFont val="Tahoma"/>
            <family val="2"/>
          </rPr>
          <t xml:space="preserve">
Agrees to Q4 2.1.2 RRR Filing and Yearbook of Electricity Distributors</t>
        </r>
      </text>
    </comment>
    <comment ref="D49" authorId="0">
      <text>
        <r>
          <rPr>
            <b/>
            <sz val="8"/>
            <rFont val="Tahoma"/>
            <family val="2"/>
          </rPr>
          <t>NPEI:</t>
        </r>
        <r>
          <rPr>
            <sz val="8"/>
            <rFont val="Tahoma"/>
            <family val="2"/>
          </rPr>
          <t xml:space="preserve">
2014/2015 decrease due to Niagara Square closing.</t>
        </r>
      </text>
    </comment>
  </commentList>
</comments>
</file>

<file path=xl/comments7.xml><?xml version="1.0" encoding="utf-8"?>
<comments xmlns="http://schemas.openxmlformats.org/spreadsheetml/2006/main">
  <authors>
    <author>NPEI</author>
  </authors>
  <commentList>
    <comment ref="B21" authorId="0">
      <text>
        <r>
          <rPr>
            <b/>
            <sz val="8"/>
            <rFont val="Tahoma"/>
            <family val="2"/>
          </rPr>
          <t>NPEI:</t>
        </r>
        <r>
          <rPr>
            <sz val="8"/>
            <rFont val="Tahoma"/>
            <family val="2"/>
          </rPr>
          <t xml:space="preserve">
Includes Victoria PME actual kW</t>
        </r>
      </text>
    </comment>
    <comment ref="B22" authorId="0">
      <text>
        <r>
          <rPr>
            <b/>
            <sz val="8"/>
            <rFont val="Tahoma"/>
            <family val="2"/>
          </rPr>
          <t>NPEI:</t>
        </r>
        <r>
          <rPr>
            <sz val="8"/>
            <rFont val="Tahoma"/>
            <family val="2"/>
          </rPr>
          <t xml:space="preserve">
Includes Victoria PME actual kW</t>
        </r>
      </text>
    </comment>
    <comment ref="B23" authorId="0">
      <text>
        <r>
          <rPr>
            <b/>
            <sz val="8"/>
            <rFont val="Tahoma"/>
            <family val="2"/>
          </rPr>
          <t>NPEI:</t>
        </r>
        <r>
          <rPr>
            <sz val="8"/>
            <rFont val="Tahoma"/>
            <family val="2"/>
          </rPr>
          <t xml:space="preserve">
Includes Victoria PME actual kW</t>
        </r>
      </text>
    </comment>
    <comment ref="B24" authorId="0">
      <text>
        <r>
          <rPr>
            <b/>
            <sz val="8"/>
            <rFont val="Tahoma"/>
            <family val="2"/>
          </rPr>
          <t>NPEI:</t>
        </r>
        <r>
          <rPr>
            <sz val="8"/>
            <rFont val="Tahoma"/>
            <family val="2"/>
          </rPr>
          <t xml:space="preserve">
Includes Victoria PME actual kW</t>
        </r>
      </text>
    </comment>
  </commentList>
</comments>
</file>

<file path=xl/comments8.xml><?xml version="1.0" encoding="utf-8"?>
<comments xmlns="http://schemas.openxmlformats.org/spreadsheetml/2006/main">
  <authors>
    <author>Eric Smith</author>
  </authors>
  <commentList>
    <comment ref="F11" authorId="0">
      <text>
        <r>
          <rPr>
            <b/>
            <sz val="10"/>
            <rFont val="Tahoma"/>
            <family val="2"/>
          </rPr>
          <t>Eric Smith:</t>
        </r>
        <r>
          <rPr>
            <sz val="10"/>
            <rFont val="Tahoma"/>
            <family val="2"/>
          </rPr>
          <t xml:space="preserve">
Entire Invoice w/ backup</t>
        </r>
      </text>
    </comment>
    <comment ref="G11" authorId="0">
      <text>
        <r>
          <rPr>
            <b/>
            <sz val="10"/>
            <rFont val="Tahoma"/>
            <family val="2"/>
          </rPr>
          <t>Eric Smith:</t>
        </r>
        <r>
          <rPr>
            <sz val="10"/>
            <rFont val="Tahoma"/>
            <family val="2"/>
          </rPr>
          <t xml:space="preserve">
Entire Invoice w/ backup</t>
        </r>
      </text>
    </comment>
    <comment ref="C25" authorId="0">
      <text>
        <r>
          <rPr>
            <b/>
            <sz val="10"/>
            <rFont val="Tahoma"/>
            <family val="2"/>
          </rPr>
          <t>Eric Smith:</t>
        </r>
        <r>
          <rPr>
            <sz val="10"/>
            <rFont val="Tahoma"/>
            <family val="2"/>
          </rPr>
          <t xml:space="preserve">
Immaterial difference between spreadsheet and G/L</t>
        </r>
      </text>
    </comment>
    <comment ref="C26" authorId="0">
      <text>
        <r>
          <rPr>
            <b/>
            <sz val="10"/>
            <rFont val="Tahoma"/>
            <family val="2"/>
          </rPr>
          <t>Eric Smith:</t>
        </r>
        <r>
          <rPr>
            <sz val="10"/>
            <rFont val="Tahoma"/>
            <family val="2"/>
          </rPr>
          <t xml:space="preserve">
Immaterial difference between spreadsheet and G/L</t>
        </r>
      </text>
    </comment>
    <comment ref="C27" authorId="0">
      <text>
        <r>
          <rPr>
            <b/>
            <sz val="10"/>
            <rFont val="Tahoma"/>
            <family val="2"/>
          </rPr>
          <t>Eric Smith:</t>
        </r>
        <r>
          <rPr>
            <sz val="10"/>
            <rFont val="Tahoma"/>
            <family val="2"/>
          </rPr>
          <t xml:space="preserve">
Immaterial difference between spreadsheet and G/L</t>
        </r>
      </text>
    </comment>
    <comment ref="C6" authorId="0">
      <text>
        <r>
          <rPr>
            <b/>
            <sz val="10"/>
            <rFont val="Tahoma"/>
            <family val="2"/>
          </rPr>
          <t>Eric Smith:</t>
        </r>
        <r>
          <rPr>
            <sz val="10"/>
            <rFont val="Tahoma"/>
            <family val="2"/>
          </rPr>
          <t xml:space="preserve">
Immaterial difference between spreadsheet and G/L</t>
        </r>
      </text>
    </comment>
    <comment ref="C14" authorId="0">
      <text>
        <r>
          <rPr>
            <b/>
            <sz val="10"/>
            <rFont val="Tahoma"/>
            <family val="2"/>
          </rPr>
          <t>Eric Smith:</t>
        </r>
        <r>
          <rPr>
            <sz val="10"/>
            <rFont val="Tahoma"/>
            <family val="2"/>
          </rPr>
          <t xml:space="preserve">
Jan-Apr difference between G/L. Remaining amounts match.</t>
        </r>
      </text>
    </comment>
    <comment ref="D7" authorId="0">
      <text>
        <r>
          <rPr>
            <b/>
            <sz val="10"/>
            <rFont val="Tahoma"/>
            <family val="2"/>
          </rPr>
          <t>Eric Smith:</t>
        </r>
        <r>
          <rPr>
            <sz val="10"/>
            <rFont val="Tahoma"/>
            <family val="2"/>
          </rPr>
          <t xml:space="preserve">
Immaterial difference between spreadsheet and G/L</t>
        </r>
      </text>
    </comment>
    <comment ref="C11" authorId="0">
      <text>
        <r>
          <rPr>
            <b/>
            <sz val="10"/>
            <rFont val="Tahoma"/>
            <family val="2"/>
          </rPr>
          <t>Eric Smith:</t>
        </r>
        <r>
          <rPr>
            <sz val="10"/>
            <rFont val="Tahoma"/>
            <family val="2"/>
          </rPr>
          <t xml:space="preserve">
Invoice was adjusted. No backup spreadsheet with the change in Kwh.</t>
        </r>
      </text>
    </comment>
    <comment ref="D11" authorId="0">
      <text>
        <r>
          <rPr>
            <b/>
            <sz val="10"/>
            <rFont val="Tahoma"/>
            <family val="2"/>
          </rPr>
          <t>Eric Smith:</t>
        </r>
        <r>
          <rPr>
            <sz val="10"/>
            <rFont val="Tahoma"/>
            <family val="2"/>
          </rPr>
          <t xml:space="preserve">
Immaterial difference between spreadsheet and G/L</t>
        </r>
      </text>
    </comment>
  </commentList>
</comments>
</file>

<file path=xl/comments9.xml><?xml version="1.0" encoding="utf-8"?>
<comments xmlns="http://schemas.openxmlformats.org/spreadsheetml/2006/main">
  <authors>
    <author>NPEI</author>
  </authors>
  <commentList>
    <comment ref="D30" authorId="0">
      <text>
        <r>
          <rPr>
            <b/>
            <sz val="8"/>
            <rFont val="Tahoma"/>
            <family val="2"/>
          </rPr>
          <t>NPEI:</t>
        </r>
        <r>
          <rPr>
            <sz val="8"/>
            <rFont val="Tahoma"/>
            <family val="2"/>
          </rPr>
          <t xml:space="preserve">
2013 actual LTLT settlement, completed in 2014. Based on 177 customers, which includes Victoria PME customers.</t>
        </r>
      </text>
    </comment>
    <comment ref="F30" authorId="0">
      <text>
        <r>
          <rPr>
            <b/>
            <sz val="8"/>
            <rFont val="Tahoma"/>
            <family val="2"/>
          </rPr>
          <t>NPEI:</t>
        </r>
        <r>
          <rPr>
            <sz val="8"/>
            <rFont val="Tahoma"/>
            <family val="2"/>
          </rPr>
          <t xml:space="preserve">
2014 year end accrual, based on 2013 actual LTLT settlement (177 customers, including Victoria PME customers).</t>
        </r>
      </text>
    </comment>
    <comment ref="H30" authorId="0">
      <text>
        <r>
          <rPr>
            <b/>
            <sz val="8"/>
            <rFont val="Tahoma"/>
            <family val="2"/>
          </rPr>
          <t>NPEI:</t>
        </r>
        <r>
          <rPr>
            <sz val="8"/>
            <rFont val="Tahoma"/>
            <family val="2"/>
          </rPr>
          <t xml:space="preserve">
2015 year end accrual based on 2014 actual LTLT settlement completed in 2015. Based on 179 customers up to Feb 3, 2014, then 54 Victoria PME customers were removed, so consumption after Feb 3, 2014 is for 179 - 54 = 125 customers. </t>
        </r>
      </text>
    </comment>
    <comment ref="J30" authorId="0">
      <text>
        <r>
          <rPr>
            <b/>
            <sz val="8"/>
            <rFont val="Tahoma"/>
            <family val="2"/>
          </rPr>
          <t>NPEI:</t>
        </r>
        <r>
          <rPr>
            <sz val="8"/>
            <rFont val="Tahoma"/>
            <family val="2"/>
          </rPr>
          <t xml:space="preserve">
2016 year end accrual, based on 2015 actual LTLT settlement completed in 2016. Based on 127 customers (does not include Victoria PME customers).</t>
        </r>
      </text>
    </comment>
    <comment ref="L30" authorId="0">
      <text>
        <r>
          <rPr>
            <b/>
            <sz val="8"/>
            <rFont val="Tahoma"/>
            <family val="2"/>
          </rPr>
          <t>NPEI:</t>
        </r>
        <r>
          <rPr>
            <sz val="8"/>
            <rFont val="Tahoma"/>
            <family val="2"/>
          </rPr>
          <t xml:space="preserve">
Actual 2017 LTLT settlement based on 131 customers (does not include Victoria PME).</t>
        </r>
      </text>
    </comment>
    <comment ref="N30" authorId="0">
      <text>
        <r>
          <rPr>
            <b/>
            <sz val="8"/>
            <rFont val="Tahoma"/>
            <family val="2"/>
          </rPr>
          <t>NPEI:</t>
        </r>
        <r>
          <rPr>
            <sz val="8"/>
            <rFont val="Tahoma"/>
            <family val="2"/>
          </rPr>
          <t xml:space="preserve">
2018 year end accrual based on 2017 actual settlement.</t>
        </r>
      </text>
    </comment>
    <comment ref="K34" authorId="0">
      <text>
        <r>
          <rPr>
            <b/>
            <sz val="8"/>
            <rFont val="Tahoma"/>
            <family val="2"/>
          </rPr>
          <t>NPEI:</t>
        </r>
        <r>
          <rPr>
            <sz val="8"/>
            <rFont val="Tahoma"/>
            <family val="2"/>
          </rPr>
          <t xml:space="preserve">
2017 consumption only incuded in RRR 2.1.5.</t>
        </r>
      </text>
    </comment>
    <comment ref="L34" authorId="0">
      <text>
        <r>
          <rPr>
            <b/>
            <sz val="8"/>
            <rFont val="Tahoma"/>
            <family val="2"/>
          </rPr>
          <t>NPEI:</t>
        </r>
        <r>
          <rPr>
            <sz val="8"/>
            <rFont val="Tahoma"/>
            <family val="2"/>
          </rPr>
          <t xml:space="preserve">
Accrual for 2014-2017 settlement.</t>
        </r>
      </text>
    </comment>
  </commentList>
</comments>
</file>

<file path=xl/sharedStrings.xml><?xml version="1.0" encoding="utf-8"?>
<sst xmlns="http://schemas.openxmlformats.org/spreadsheetml/2006/main" count="763" uniqueCount="321">
  <si>
    <t>Purchased</t>
  </si>
  <si>
    <t>Loss Factor</t>
  </si>
  <si>
    <t>Total Billed</t>
  </si>
  <si>
    <t>Heating Degree Days</t>
  </si>
  <si>
    <t>Cooling Degree Days</t>
  </si>
  <si>
    <t>Number of Days in Month</t>
  </si>
  <si>
    <t>Number of Peak Hours</t>
  </si>
  <si>
    <t>Ontario Real GDP Monthly %</t>
  </si>
  <si>
    <t>Purchases</t>
  </si>
  <si>
    <t>Modeled Purchases</t>
  </si>
  <si>
    <t>% Difference</t>
  </si>
  <si>
    <t>Total</t>
  </si>
  <si>
    <t xml:space="preserve">Predicted Purchases </t>
  </si>
  <si>
    <t>Variances (kWh)</t>
  </si>
  <si>
    <t>% Variance</t>
  </si>
  <si>
    <t>Average</t>
  </si>
  <si>
    <t xml:space="preserve">Geomean </t>
  </si>
  <si>
    <t>Usage Per Customer</t>
  </si>
  <si>
    <t xml:space="preserve">Total </t>
  </si>
  <si>
    <t xml:space="preserve">Used </t>
  </si>
  <si>
    <t>Spring Fall Flag</t>
  </si>
  <si>
    <t>Population</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</si>
  <si>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</si>
  <si>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</si>
  <si>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</si>
  <si>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</si>
  <si>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</si>
  <si>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</si>
  <si>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</si>
  <si>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</si>
  <si>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</si>
  <si>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</si>
  <si>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</si>
  <si>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</si>
  <si>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</si>
  <si>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</si>
  <si>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</si>
  <si>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</si>
  <si>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</si>
  <si>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</si>
  <si>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</si>
  <si>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</si>
  <si>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</si>
  <si>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</si>
  <si>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</si>
  <si>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Difference</t>
  </si>
  <si>
    <t xml:space="preserve">Growth Rate in Customer Numbers </t>
  </si>
  <si>
    <t>Weather Corrected Forecast</t>
  </si>
  <si>
    <t>Non Weather Corrected Forecast</t>
  </si>
  <si>
    <t>% Weather Sensitive</t>
  </si>
  <si>
    <t>Allocation of Weather Sensitive Amount</t>
  </si>
  <si>
    <t xml:space="preserve">  Customers</t>
  </si>
  <si>
    <t xml:space="preserve">  kWh</t>
  </si>
  <si>
    <t xml:space="preserve">  kW</t>
  </si>
  <si>
    <t xml:space="preserve">2002 Actual </t>
  </si>
  <si>
    <t xml:space="preserve">2003 Actual </t>
  </si>
  <si>
    <t xml:space="preserve">2004 Actual </t>
  </si>
  <si>
    <t xml:space="preserve">2005 Actual </t>
  </si>
  <si>
    <t xml:space="preserve">2006 Actual </t>
  </si>
  <si>
    <t xml:space="preserve">2007 Actual </t>
  </si>
  <si>
    <t xml:space="preserve">  kW from applicable classes</t>
  </si>
  <si>
    <t xml:space="preserve">  Customer/Connections</t>
  </si>
  <si>
    <t>Actual kWh Purchases</t>
  </si>
  <si>
    <t>By Class</t>
  </si>
  <si>
    <t>Used</t>
  </si>
  <si>
    <t>kW/kWh</t>
  </si>
  <si>
    <t>2008 Actual</t>
  </si>
  <si>
    <t>Residential</t>
  </si>
  <si>
    <t>GS&lt;50</t>
  </si>
  <si>
    <t>GS&gt;50</t>
  </si>
  <si>
    <t>USL</t>
  </si>
  <si>
    <t>Weather Normal</t>
  </si>
  <si>
    <t>Streetlights</t>
  </si>
  <si>
    <t xml:space="preserve">2009 Actual </t>
  </si>
  <si>
    <t xml:space="preserve">  Connections</t>
  </si>
  <si>
    <t>Total of Above</t>
  </si>
  <si>
    <t>Total from Model</t>
  </si>
  <si>
    <t>Check should all be zero</t>
  </si>
  <si>
    <t>Sentinels</t>
  </si>
  <si>
    <t>CDM kWh Saved in month</t>
  </si>
  <si>
    <t>Weather Normal Projection</t>
  </si>
  <si>
    <t xml:space="preserve"> </t>
  </si>
  <si>
    <t>2005 to 2006</t>
  </si>
  <si>
    <t>2006 to 2007</t>
  </si>
  <si>
    <t>2007 to 2008</t>
  </si>
  <si>
    <t>2008 to 2009</t>
  </si>
  <si>
    <t>2009 to 2010</t>
  </si>
  <si>
    <t>2010 to 2011</t>
  </si>
  <si>
    <t>2011 to 2012</t>
  </si>
  <si>
    <t>2012 to 2013</t>
  </si>
  <si>
    <t xml:space="preserve">2010 Actual </t>
  </si>
  <si>
    <t xml:space="preserve">2011 Actual </t>
  </si>
  <si>
    <t xml:space="preserve">2012 Actual </t>
  </si>
  <si>
    <t xml:space="preserve">2013 Actual </t>
  </si>
  <si>
    <t>Load Transfers</t>
  </si>
  <si>
    <t>CNP</t>
  </si>
  <si>
    <t>Grimsby</t>
  </si>
  <si>
    <t>Horizon</t>
  </si>
  <si>
    <t>Hydro One</t>
  </si>
  <si>
    <t>NOTL</t>
  </si>
  <si>
    <t>Embedded Generation</t>
  </si>
  <si>
    <t>Average Number of Customers or Connections</t>
  </si>
  <si>
    <t>Before Supply Facility Loss Factor of 1.0045</t>
  </si>
  <si>
    <t>CDM</t>
  </si>
  <si>
    <t>Adj Weather Total</t>
  </si>
  <si>
    <t>Weather Normalization Percentage from 2006 Hydro One Study</t>
  </si>
  <si>
    <t>% of Total for CDM</t>
  </si>
  <si>
    <t>3 Year Average</t>
  </si>
  <si>
    <t>OPA Conservation &amp; Demand Management Programs</t>
  </si>
  <si>
    <t>Annual Results at the End-User Level</t>
  </si>
  <si>
    <t>For:</t>
  </si>
  <si>
    <t>Niagara Peninsula Energy Inc.</t>
  </si>
  <si>
    <t>Net Summer Peak Demand Savings (MW)</t>
  </si>
  <si>
    <t>#</t>
  </si>
  <si>
    <t>Program Year</t>
  </si>
  <si>
    <t>Results Status</t>
  </si>
  <si>
    <t>2006 Programs</t>
  </si>
  <si>
    <t>Final</t>
  </si>
  <si>
    <t>2007 Programs</t>
  </si>
  <si>
    <t>2008 Programs</t>
  </si>
  <si>
    <t>2009 Programs</t>
  </si>
  <si>
    <t>2010 Programs</t>
  </si>
  <si>
    <t>Net Energy Savings (MWh)</t>
  </si>
  <si>
    <t>Gross Summer Peak Demand Savings (MW)</t>
  </si>
  <si>
    <t>Gross Energy Savings (MWh)</t>
  </si>
  <si>
    <t>Year</t>
  </si>
  <si>
    <t>Incremental Savings (Reported Savings less Prior Year)</t>
  </si>
  <si>
    <t>First Year (Half of Incremental Savings)</t>
  </si>
  <si>
    <t>Monthly Increment (Year/78)</t>
  </si>
  <si>
    <t>Jan</t>
  </si>
  <si>
    <t>Feb</t>
  </si>
  <si>
    <t>Mar</t>
  </si>
  <si>
    <t>Apr</t>
  </si>
  <si>
    <t>May</t>
  </si>
  <si>
    <t>Jun</t>
  </si>
  <si>
    <t>Jul</t>
  </si>
  <si>
    <t>Aug</t>
  </si>
  <si>
    <t>Sep</t>
  </si>
  <si>
    <t>Oct</t>
  </si>
  <si>
    <t>Nov</t>
  </si>
  <si>
    <t>Dec</t>
  </si>
  <si>
    <t>kWh</t>
  </si>
  <si>
    <t>NPEI CDM Programs</t>
  </si>
  <si>
    <t>Effect in Year</t>
  </si>
  <si>
    <t>Manual Adjustments to Load Forecast:</t>
  </si>
  <si>
    <t>Average Load by Rate Class</t>
  </si>
  <si>
    <t>Long-Term Load Transfer Data</t>
  </si>
  <si>
    <t>NPEI Geographic  (A/P)</t>
  </si>
  <si>
    <t>Physical Distributor</t>
  </si>
  <si>
    <t>Customer Class</t>
  </si>
  <si>
    <t>Welland Horizon</t>
  </si>
  <si>
    <t>NPEI Physical (A/R)</t>
  </si>
  <si>
    <t>Summary Net Load Transfer</t>
  </si>
  <si>
    <t>Month</t>
  </si>
  <si>
    <t>Kwh per month</t>
  </si>
  <si>
    <t>kW</t>
  </si>
  <si>
    <t>TOTAL</t>
  </si>
  <si>
    <t>Class per Load Forecast</t>
  </si>
  <si>
    <t>Transmission - Network</t>
  </si>
  <si>
    <t>Volume</t>
  </si>
  <si>
    <t>Metric</t>
  </si>
  <si>
    <t>Transmission - Connection</t>
  </si>
  <si>
    <t>Wholesale Market Service</t>
  </si>
  <si>
    <t>Rural Rate Assistance</t>
  </si>
  <si>
    <t>Smart Meter Entity Charge</t>
  </si>
  <si>
    <t>4705-Power Purchased</t>
  </si>
  <si>
    <t>4708-Charges-WMS</t>
  </si>
  <si>
    <t>4714-Charges-NW</t>
  </si>
  <si>
    <t>4716-Charges-CN</t>
  </si>
  <si>
    <t xml:space="preserve">4751-Smart Meter Entity </t>
  </si>
  <si>
    <t>Billed kWh Weather Normalized with CDM</t>
  </si>
  <si>
    <t>CDM Difference</t>
  </si>
  <si>
    <t>Loss</t>
  </si>
  <si>
    <t>Predicted without loss</t>
  </si>
  <si>
    <t>Predicted kWh Purchases with loss</t>
  </si>
  <si>
    <t>Loss Factor based on predicted kWh</t>
  </si>
  <si>
    <t>HDD</t>
  </si>
  <si>
    <t>Impact on forecast (kWh)</t>
  </si>
  <si>
    <t>CDD</t>
  </si>
  <si>
    <t>GDP</t>
  </si>
  <si>
    <t># Days in Month</t>
  </si>
  <si>
    <t>CDM kWh Saved</t>
  </si>
  <si>
    <t>Spring/Fall</t>
  </si>
  <si>
    <t>Peak Hours</t>
  </si>
  <si>
    <t>Regression Coefficient</t>
  </si>
  <si>
    <t>Total Impact on Forecast (kWh)</t>
  </si>
  <si>
    <t>Difference (kWh)</t>
  </si>
  <si>
    <t xml:space="preserve">Difference </t>
  </si>
  <si>
    <t>Absolute Value of Difference</t>
  </si>
  <si>
    <t>Actual kWh</t>
  </si>
  <si>
    <t>Predicted kWh</t>
  </si>
  <si>
    <t>Absolute Value of Difference / Actual</t>
  </si>
  <si>
    <t>Calculation of Mean Absolute Percentage Error (MAPE)</t>
  </si>
  <si>
    <t xml:space="preserve">MAPE </t>
  </si>
  <si>
    <t>n = # observations</t>
  </si>
  <si>
    <t>Actual</t>
  </si>
  <si>
    <t>Predicted</t>
  </si>
  <si>
    <t>Niagara Peninsula Energy Weather Normal Load Forecast for 2021 Rate Application</t>
  </si>
  <si>
    <t xml:space="preserve">2014 Actual </t>
  </si>
  <si>
    <t xml:space="preserve">2015 Actual </t>
  </si>
  <si>
    <t xml:space="preserve">2016 Actual </t>
  </si>
  <si>
    <t xml:space="preserve">2017 Actual </t>
  </si>
  <si>
    <t xml:space="preserve">2018 Actual </t>
  </si>
  <si>
    <t>2020 Weather Normal</t>
  </si>
  <si>
    <t>2021 Weather Normal</t>
  </si>
  <si>
    <t>Total to 2019</t>
  </si>
  <si>
    <t>2013 to 2014</t>
  </si>
  <si>
    <t>2014 to 2015</t>
  </si>
  <si>
    <t>2015 to 2016</t>
  </si>
  <si>
    <t>2016 to 2017</t>
  </si>
  <si>
    <t>2017 to 2018</t>
  </si>
  <si>
    <t>Drivers of Differences 2021 over 2020 Predicted kWh</t>
  </si>
  <si>
    <t>2021 Predicted kWh</t>
  </si>
  <si>
    <t>2020 Predicted kWh</t>
  </si>
  <si>
    <t>2021 value</t>
  </si>
  <si>
    <t>2020 value</t>
  </si>
  <si>
    <t>`</t>
  </si>
  <si>
    <t>Results presented using scenario 1 which assumes that demand response resources have a persistence of 1 year</t>
  </si>
  <si>
    <t>Summary Achievement Against CDM Targets</t>
  </si>
  <si>
    <t xml:space="preserve">Results are recognized using current IESO reporting policies. Energy efficiency resources persist for the duration of the effective useful life. Any upcoming code changes are taken into account. Demand response resources persist for 1 year (Scenario 1). Please see methodology tab for more detailed information. </t>
  </si>
  <si>
    <t>Table 4: Net Peak Demand Savings at the End User Level (MW) (Scenario 1)</t>
  </si>
  <si>
    <t>Implementation Period</t>
  </si>
  <si>
    <t>Annual</t>
  </si>
  <si>
    <t>2011 - Verified</t>
  </si>
  <si>
    <t>2012 - Verified†</t>
  </si>
  <si>
    <t>2013 - Verified†</t>
  </si>
  <si>
    <t>2014 - Verified†</t>
  </si>
  <si>
    <t xml:space="preserve">Verified Net Annual Peak Demand Savings Persisting in 2014:  </t>
  </si>
  <si>
    <t>Niagara Peninsula Energy Inc. 2014 Annual CDM Capacity Target:</t>
  </si>
  <si>
    <t xml:space="preserve">Verified Portion of Peak Demand Savings Target Achieved in 2014 (%):  </t>
  </si>
  <si>
    <t>Table 5: Net Energy Savings at the End User Level (GWh)</t>
  </si>
  <si>
    <t>Cumulative</t>
  </si>
  <si>
    <t xml:space="preserve">2011-2014 </t>
  </si>
  <si>
    <t>Verified Net Cumulative Energy Savings 2011-2014:</t>
  </si>
  <si>
    <t>Niagara Peninsula Energy Inc. 2011-2014 Annual CDM Energy Target:</t>
  </si>
  <si>
    <t xml:space="preserve">Verified Portion of Cumulative Energy Target Achieved in 2014 (%):  </t>
  </si>
  <si>
    <t>†Includes adjustments to previous years' verified results</t>
  </si>
  <si>
    <t>2020 Bridge Year:</t>
  </si>
  <si>
    <t>50% of 2020 Initiatives</t>
  </si>
  <si>
    <t>2021 Test Year:</t>
  </si>
  <si>
    <t>100% of 2020 Initiatives</t>
  </si>
  <si>
    <t>50% of 2021 Initiatives</t>
  </si>
  <si>
    <t>As reported by the OPA/IESO (Annualized Basis)</t>
  </si>
  <si>
    <t>CDM Activity Variable</t>
  </si>
  <si>
    <t>Annual Reported Savings Adjusted for 1/2 Year</t>
  </si>
  <si>
    <t>Annual Reported Savings (kWh)</t>
  </si>
  <si>
    <t xml:space="preserve">Annual Incremental Savings </t>
  </si>
  <si>
    <t>Check:</t>
  </si>
  <si>
    <t>Sum of CDM Activity Variable</t>
  </si>
  <si>
    <t xml:space="preserve">Weather Corrected Forecast after 2020 and 2021 CDM Adjustments        </t>
  </si>
  <si>
    <t>Manual Adjustment to the Load Forecast from 2020 and 2021 Programs on a Net Level</t>
  </si>
  <si>
    <t>2020 Load Forecast</t>
  </si>
  <si>
    <t>$</t>
  </si>
  <si>
    <t>Welland Hydro</t>
  </si>
  <si>
    <t>Geographical Distributor</t>
  </si>
  <si>
    <t>Sub-Total (Not including Victoria PME)</t>
  </si>
  <si>
    <t>Victoria PME - accrued based on 2013 LTLT settlement</t>
  </si>
  <si>
    <t>Total LTLT A/R (including Victoria PME)</t>
  </si>
  <si>
    <t>For Graphs</t>
  </si>
  <si>
    <t>2020 and 2021 manual adjustments  - not included in the regression explanatory variable</t>
  </si>
  <si>
    <t>2020 Forecasted Metered kWhs</t>
  </si>
  <si>
    <t>2020  Loss Factor</t>
  </si>
  <si>
    <t>2021 Load Forecast</t>
  </si>
  <si>
    <t>2021 Forecasted Metered kWhs</t>
  </si>
  <si>
    <t>2021  Loss Factor</t>
  </si>
  <si>
    <t xml:space="preserve">Electricity - Commodity </t>
  </si>
  <si>
    <t>2020 Weighted Average</t>
  </si>
  <si>
    <t>Electricity - Commodity</t>
  </si>
  <si>
    <t>2021 Weighted Average</t>
  </si>
  <si>
    <t>Customer</t>
  </si>
  <si>
    <t>Class per Customer Forecast</t>
  </si>
  <si>
    <t>Transformer Allowance Amount</t>
  </si>
  <si>
    <t>Transformer Allowance Rate</t>
  </si>
  <si>
    <t>kW for Transformer Allowance</t>
  </si>
  <si>
    <t>Percentage of kW that Receive Transformer Allowance</t>
  </si>
  <si>
    <t>Check total above sould be zero</t>
  </si>
  <si>
    <t>Low Voltage</t>
  </si>
  <si>
    <t>4750-Low Voltage</t>
  </si>
  <si>
    <t>4750 - Low Voltage</t>
  </si>
  <si>
    <t>LTLT A/R by Rate Class (revised to exclude Victoria PME)</t>
  </si>
  <si>
    <t xml:space="preserve">LTLT A/R by Rate Class </t>
  </si>
  <si>
    <t>15 Year Average</t>
  </si>
  <si>
    <t>5 year average 2015-2019</t>
  </si>
  <si>
    <t>Year Reported</t>
  </si>
  <si>
    <t>2018 to 2019</t>
  </si>
  <si>
    <t>General Service &lt; 50 kW</t>
  </si>
  <si>
    <t>General Service 50 to 4999 kW</t>
  </si>
  <si>
    <t>Unmetered Scattered Load</t>
  </si>
  <si>
    <t>Sentinel Lighting</t>
  </si>
  <si>
    <t xml:space="preserve">Street Lighting </t>
  </si>
  <si>
    <t>Rate Class</t>
  </si>
  <si>
    <t>Class A</t>
  </si>
  <si>
    <t>Class B RPP</t>
  </si>
  <si>
    <t>Class B Non-RPP</t>
  </si>
  <si>
    <t>RPP %</t>
  </si>
  <si>
    <t>Non-RPP %</t>
  </si>
  <si>
    <t>2018 Historical Actuals (No Losses)</t>
  </si>
  <si>
    <t>2020 Bridge (No Losses)</t>
  </si>
  <si>
    <t>2020 Loss Factor</t>
  </si>
  <si>
    <t>2020 Bridge (With Losses)</t>
  </si>
  <si>
    <t>2021 Loss Factor</t>
  </si>
  <si>
    <t>2021 Test (No Losses)</t>
  </si>
  <si>
    <t>2021 Test (With Losses)</t>
  </si>
  <si>
    <t>2018 Class A GA Total $</t>
  </si>
  <si>
    <t>2018 Class A kWh with Loss</t>
  </si>
  <si>
    <t>2018 Class A GA per kWh</t>
  </si>
  <si>
    <t>Non-RPP</t>
  </si>
  <si>
    <t>RPP</t>
  </si>
  <si>
    <t>2018 Class A CBR Total $</t>
  </si>
  <si>
    <t>2018 Class A CBR per kWh</t>
  </si>
  <si>
    <t>2019 Actual</t>
  </si>
  <si>
    <t xml:space="preserve">GS&gt;50 </t>
  </si>
  <si>
    <t>OER 31.8%</t>
  </si>
  <si>
    <t>OER Rebate</t>
  </si>
  <si>
    <t>Residual (e)</t>
  </si>
  <si>
    <t xml:space="preserve">n = </t>
  </si>
  <si>
    <t xml:space="preserve">d = </t>
  </si>
  <si>
    <t>OER 33.2% Rebate</t>
  </si>
  <si>
    <t>Embedded Distributor</t>
  </si>
  <si>
    <t>Embedded Distributir</t>
  </si>
  <si>
    <t>Embedded Distrinutor</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</si>
</sst>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0"/>
    <numFmt numFmtId="176" formatCode="0.0000%"/>
    <numFmt numFmtId="177" formatCode="_(* #,##0.000_);_(* \(#,##0.000\);_(* &quot;-&quot;??_);_(@_)"/>
    <numFmt numFmtId="178" formatCode="_(* #,##0.0_);_(* \(#,##0.0\);_(* &quot;-&quot;??_);_(@_)"/>
    <numFmt numFmtId="179" formatCode="_(* #,##0_);_(* \(#,##0\);_(* &quot;-&quot;??_);_(@_)"/>
    <numFmt numFmtId="180" formatCode="_(* #,##0_);_(* \(\ #,##0\ \);_(* &quot;-&quot;??_);_(\ @_ \)"/>
    <numFmt numFmtId="181" formatCode="0.00000000"/>
    <numFmt numFmtId="182" formatCode="0.0000000"/>
    <numFmt numFmtId="183" formatCode="0.000000"/>
    <numFmt numFmtId="184" formatCode="0.00000"/>
    <numFmt numFmtId="185" formatCode="0.000"/>
    <numFmt numFmtId="186" formatCode="#,##0_ ;\-#,##0\ "/>
    <numFmt numFmtId="187" formatCode="mmm\-yyyy"/>
    <numFmt numFmtId="188" formatCode="#,##0.0_);\(#,##0.0\)"/>
    <numFmt numFmtId="189" formatCode="#,##0.0;\(#,##0.0\)"/>
    <numFmt numFmtId="190" formatCode="#,##0.00;\(#,##0.00\)"/>
    <numFmt numFmtId="191" formatCode="0.000%"/>
    <numFmt numFmtId="192" formatCode="0.00000%"/>
    <numFmt numFmtId="193" formatCode="#,##0.0000_);\(#,##0.0000\)"/>
    <numFmt numFmtId="194" formatCode="&quot;$&quot;#,##0.00000_);\(&quot;$&quot;#,##0.00000\)"/>
    <numFmt numFmtId="195" formatCode="#,##0.00000_);\(#,##0.00000\)"/>
    <numFmt numFmtId="196" formatCode="&quot;$&quot;#,##0.0000_);\(&quot;$&quot;#,##0.0000\)"/>
    <numFmt numFmtId="197" formatCode="#,##0.0"/>
    <numFmt numFmtId="198" formatCode="#,##0.000"/>
    <numFmt numFmtId="199" formatCode="_(* #,##0.0000_);_(* \(#,##0.0000\);_(* &quot;-&quot;??_);_(@_)"/>
    <numFmt numFmtId="200" formatCode="_(* #,##0.00000_);_(* \(#,##0.00000\);_(* &quot;-&quot;??_);_(@_)"/>
    <numFmt numFmtId="201" formatCode="0.0"/>
    <numFmt numFmtId="202" formatCode="_-* #,##0_-;\-* #,##0_-;_-* &quot;-&quot;??_-;_-@_-"/>
    <numFmt numFmtId="203" formatCode="_(* #,##0.000000_);_(* \(#,##0.000000\);_(* &quot;-&quot;??_);_(@_)"/>
    <numFmt numFmtId="204" formatCode="_(* #,##0.0000_);_(* \(#,##0.0000\);_(* &quot;-&quot;????_);_(@_)"/>
    <numFmt numFmtId="205" formatCode="[$-409]mmm\-yy;@"/>
  </numFmts>
  <fonts count="72">
    <font>
      <sz val="10"/>
      <name val="Arial"/>
      <family val="0"/>
    </font>
    <font>
      <sz val="11"/>
      <color indexed="8"/>
      <name val="Calibri"/>
      <family val="2"/>
    </font>
    <font>
      <u val="single"/>
      <sz val="10"/>
      <name val="Arial"/>
      <family val="2"/>
    </font>
    <font>
      <b/>
      <sz val="10"/>
      <name val="Arial"/>
      <family val="2"/>
    </font>
    <font>
      <b/>
      <sz val="12"/>
      <name val="Arial"/>
      <family val="2"/>
    </font>
    <font>
      <i/>
      <sz val="10"/>
      <name val="Arial"/>
      <family val="2"/>
    </font>
    <font>
      <b/>
      <sz val="10"/>
      <color indexed="10"/>
      <name val="Arial"/>
      <family val="2"/>
    </font>
    <font>
      <sz val="10"/>
      <name val="Tahoma"/>
      <family val="2"/>
    </font>
    <font>
      <b/>
      <sz val="10"/>
      <name val="Tahoma"/>
      <family val="2"/>
    </font>
    <font>
      <b/>
      <sz val="18"/>
      <color indexed="62"/>
      <name val="Arial"/>
      <family val="2"/>
    </font>
    <font>
      <b/>
      <sz val="12"/>
      <color indexed="62"/>
      <name val="Arial"/>
      <family val="2"/>
    </font>
    <font>
      <sz val="10"/>
      <color indexed="9"/>
      <name val="Arial"/>
      <family val="2"/>
    </font>
    <font>
      <sz val="12"/>
      <name val="Arial"/>
      <family val="2"/>
    </font>
    <font>
      <sz val="12"/>
      <color indexed="9"/>
      <name val="Arial"/>
      <family val="2"/>
    </font>
    <font>
      <b/>
      <i/>
      <sz val="10"/>
      <name val="Arial"/>
      <family val="2"/>
    </font>
    <font>
      <sz val="8"/>
      <name val="Tahoma"/>
      <family val="2"/>
    </font>
    <font>
      <b/>
      <sz val="8"/>
      <name val="Tahoma"/>
      <family val="2"/>
    </font>
    <font>
      <b/>
      <sz val="11"/>
      <name val="Arial"/>
      <family val="2"/>
    </font>
    <font>
      <sz val="9"/>
      <name val="Tahoma"/>
      <family val="2"/>
    </font>
    <font>
      <b/>
      <sz val="9"/>
      <name val="Tahoma"/>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i/>
      <sz val="9"/>
      <color indexed="8"/>
      <name val="Calibri"/>
      <family val="2"/>
    </font>
    <font>
      <b/>
      <sz val="12"/>
      <color indexed="8"/>
      <name val="Calibri"/>
      <family val="2"/>
    </font>
    <font>
      <sz val="11"/>
      <color indexed="8"/>
      <name val="Cambria Math"/>
      <family val="1"/>
    </font>
    <font>
      <sz val="11"/>
      <color indexed="8"/>
      <name val="Arial"/>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i/>
      <sz val="9"/>
      <color theme="1"/>
      <name val="Calibri"/>
      <family val="2"/>
    </font>
    <font>
      <b/>
      <sz val="12"/>
      <color theme="1"/>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0000"/>
        <bgColor indexed="64"/>
      </patternFill>
    </fill>
    <fill>
      <patternFill patternType="solid">
        <fgColor indexed="22"/>
        <bgColor indexed="64"/>
      </patternFill>
    </fill>
    <fill>
      <patternFill patternType="solid">
        <fgColor rgb="FFFFFF00"/>
        <bgColor indexed="64"/>
      </patternFill>
    </fill>
    <fill>
      <patternFill patternType="solid">
        <fgColor rgb="FFD8D8D8"/>
        <bgColor indexed="64"/>
      </patternFill>
    </fill>
    <fill>
      <patternFill patternType="solid">
        <fgColor rgb="FF92D050"/>
        <bgColor indexed="64"/>
      </patternFill>
    </fill>
    <fill>
      <patternFill patternType="solid">
        <fgColor theme="0" tint="-0.1499900072813034"/>
        <bgColor indexed="64"/>
      </patternFill>
    </fill>
    <fill>
      <patternFill patternType="solid">
        <fgColor rgb="FFE0E0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color indexed="63"/>
      </left>
      <right>
        <color indexed="63"/>
      </right>
      <top style="thin"/>
      <bottom style="double"/>
    </border>
    <border>
      <left>
        <color indexed="63"/>
      </left>
      <right>
        <color indexed="63"/>
      </right>
      <top>
        <color indexed="63"/>
      </top>
      <bottom style="thin"/>
    </border>
    <border>
      <left/>
      <right style="thin"/>
      <top style="thin"/>
      <bottom/>
    </border>
    <border>
      <left style="thin"/>
      <right/>
      <top style="thin"/>
      <bottom/>
    </border>
    <border>
      <left/>
      <right/>
      <top style="thin"/>
      <bottom/>
    </border>
    <border>
      <left/>
      <right style="thin"/>
      <top/>
      <bottom style="thin"/>
    </border>
    <border>
      <left style="thin"/>
      <right/>
      <top/>
      <bottom style="thin"/>
    </border>
    <border>
      <left style="thin"/>
      <right style="thin"/>
      <top/>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8"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48"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2">
    <xf numFmtId="0" fontId="0" fillId="0" borderId="0" xfId="0" applyAlignment="1">
      <alignment/>
    </xf>
    <xf numFmtId="0" fontId="0" fillId="0" borderId="0" xfId="0" applyAlignment="1">
      <alignment horizontal="center"/>
    </xf>
    <xf numFmtId="17" fontId="0" fillId="0" borderId="0" xfId="0" applyNumberFormat="1" applyAlignment="1">
      <alignment/>
    </xf>
    <xf numFmtId="0" fontId="0" fillId="0" borderId="0" xfId="0" applyAlignment="1">
      <alignment horizontal="right"/>
    </xf>
    <xf numFmtId="172" fontId="0" fillId="0" borderId="0" xfId="0" applyNumberForma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Font="1" applyAlignment="1">
      <alignment horizontal="center" wrapText="1"/>
    </xf>
    <xf numFmtId="3" fontId="2" fillId="0" borderId="0" xfId="0" applyNumberFormat="1" applyFont="1" applyAlignment="1">
      <alignment horizontal="center" wrapText="1"/>
    </xf>
    <xf numFmtId="37" fontId="0" fillId="0" borderId="0" xfId="0" applyNumberFormat="1" applyFont="1" applyAlignment="1">
      <alignment horizontal="center"/>
    </xf>
    <xf numFmtId="3" fontId="0" fillId="0" borderId="0" xfId="0" applyNumberFormat="1" applyFont="1" applyAlignment="1">
      <alignment horizontal="center"/>
    </xf>
    <xf numFmtId="0" fontId="2" fillId="0" borderId="0" xfId="0" applyFont="1" applyAlignment="1">
      <alignment horizontal="center" wrapText="1"/>
    </xf>
    <xf numFmtId="17" fontId="0" fillId="0" borderId="0" xfId="0" applyNumberFormat="1" applyFont="1" applyAlignment="1">
      <alignment/>
    </xf>
    <xf numFmtId="172" fontId="0" fillId="0" borderId="0" xfId="0" applyNumberFormat="1" applyFont="1" applyAlignment="1">
      <alignment horizontal="center"/>
    </xf>
    <xf numFmtId="0" fontId="0" fillId="0" borderId="0" xfId="0" applyFont="1" applyAlignment="1">
      <alignment/>
    </xf>
    <xf numFmtId="10" fontId="0" fillId="0" borderId="0" xfId="0" applyNumberFormat="1" applyAlignment="1">
      <alignment horizontal="center"/>
    </xf>
    <xf numFmtId="1" fontId="0" fillId="0" borderId="0" xfId="0" applyNumberFormat="1" applyAlignment="1">
      <alignment/>
    </xf>
    <xf numFmtId="37" fontId="0" fillId="0" borderId="0" xfId="0" applyNumberFormat="1" applyFont="1" applyFill="1" applyAlignment="1">
      <alignment horizontal="center"/>
    </xf>
    <xf numFmtId="0" fontId="0" fillId="10" borderId="0" xfId="0" applyFill="1" applyAlignment="1">
      <alignment horizontal="center"/>
    </xf>
    <xf numFmtId="0" fontId="3" fillId="0" borderId="0" xfId="0" applyFont="1" applyAlignment="1">
      <alignment/>
    </xf>
    <xf numFmtId="0" fontId="3" fillId="0" borderId="0" xfId="0" applyFont="1" applyAlignment="1">
      <alignment/>
    </xf>
    <xf numFmtId="3" fontId="0" fillId="0" borderId="10" xfId="0" applyNumberFormat="1" applyBorder="1" applyAlignment="1">
      <alignment horizontal="center"/>
    </xf>
    <xf numFmtId="0" fontId="0" fillId="0" borderId="0" xfId="0" applyFill="1" applyAlignment="1">
      <alignment horizontal="center"/>
    </xf>
    <xf numFmtId="174" fontId="0" fillId="0" borderId="0" xfId="0" applyNumberFormat="1" applyAlignment="1">
      <alignment horizontal="center"/>
    </xf>
    <xf numFmtId="175"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6" fontId="0" fillId="0" borderId="0" xfId="0" applyNumberFormat="1" applyAlignment="1">
      <alignment horizontal="center"/>
    </xf>
    <xf numFmtId="3" fontId="0" fillId="0" borderId="0" xfId="0" applyNumberFormat="1" applyAlignment="1">
      <alignment horizontal="center" wrapText="1"/>
    </xf>
    <xf numFmtId="0" fontId="0" fillId="0" borderId="10" xfId="0" applyBorder="1" applyAlignment="1">
      <alignment horizontal="right"/>
    </xf>
    <xf numFmtId="172" fontId="0" fillId="0" borderId="0" xfId="0" applyNumberFormat="1" applyFont="1" applyFill="1" applyAlignment="1">
      <alignment horizontal="center"/>
    </xf>
    <xf numFmtId="17" fontId="0" fillId="0" borderId="0" xfId="0" applyNumberFormat="1" applyFill="1" applyAlignment="1">
      <alignment/>
    </xf>
    <xf numFmtId="0" fontId="0" fillId="0" borderId="0" xfId="0" applyFill="1" applyAlignment="1">
      <alignment/>
    </xf>
    <xf numFmtId="4" fontId="2" fillId="0" borderId="0" xfId="0" applyNumberFormat="1" applyFont="1" applyAlignment="1">
      <alignment horizontal="center" wrapText="1"/>
    </xf>
    <xf numFmtId="4" fontId="0" fillId="0" borderId="0" xfId="0" applyNumberFormat="1" applyFont="1" applyFill="1" applyAlignment="1">
      <alignment horizontal="center"/>
    </xf>
    <xf numFmtId="4" fontId="0" fillId="0" borderId="0" xfId="0" applyNumberFormat="1" applyAlignment="1">
      <alignment horizontal="center"/>
    </xf>
    <xf numFmtId="0" fontId="0" fillId="0" borderId="0" xfId="0" applyFill="1" applyBorder="1" applyAlignment="1">
      <alignment/>
    </xf>
    <xf numFmtId="173" fontId="0" fillId="0" borderId="0" xfId="0" applyNumberFormat="1" applyAlignment="1">
      <alignment horizontal="center"/>
    </xf>
    <xf numFmtId="3" fontId="0" fillId="32" borderId="0" xfId="0" applyNumberFormat="1" applyFill="1" applyAlignment="1">
      <alignment horizontal="center"/>
    </xf>
    <xf numFmtId="0" fontId="0" fillId="0" borderId="0" xfId="0" applyAlignment="1">
      <alignment horizontal="center" wrapText="1"/>
    </xf>
    <xf numFmtId="3" fontId="3" fillId="0" borderId="0" xfId="0" applyNumberFormat="1" applyFont="1" applyAlignment="1">
      <alignment/>
    </xf>
    <xf numFmtId="0" fontId="4" fillId="0" borderId="0" xfId="0" applyFont="1" applyAlignment="1">
      <alignment/>
    </xf>
    <xf numFmtId="172" fontId="0" fillId="0" borderId="0" xfId="0" applyNumberFormat="1" applyAlignment="1">
      <alignment horizontal="center" wrapText="1"/>
    </xf>
    <xf numFmtId="0" fontId="3" fillId="0" borderId="0" xfId="0" applyFont="1" applyAlignment="1">
      <alignment horizontal="center" wrapText="1"/>
    </xf>
    <xf numFmtId="37" fontId="0" fillId="32" borderId="0" xfId="0" applyNumberFormat="1" applyFont="1" applyFill="1" applyAlignment="1">
      <alignment horizontal="center"/>
    </xf>
    <xf numFmtId="37" fontId="0" fillId="0" borderId="0" xfId="0" applyNumberFormat="1" applyAlignment="1">
      <alignment horizontal="center"/>
    </xf>
    <xf numFmtId="0" fontId="0" fillId="0" borderId="0" xfId="0" applyFill="1" applyAlignment="1">
      <alignment horizontal="left"/>
    </xf>
    <xf numFmtId="0" fontId="0" fillId="0" borderId="0" xfId="0" applyFont="1" applyFill="1" applyAlignment="1">
      <alignment/>
    </xf>
    <xf numFmtId="3" fontId="0" fillId="0" borderId="0" xfId="0" applyNumberFormat="1" applyAlignment="1">
      <alignment/>
    </xf>
    <xf numFmtId="174" fontId="0" fillId="0" borderId="0" xfId="0" applyNumberFormat="1" applyFill="1" applyAlignment="1">
      <alignment horizontal="center"/>
    </xf>
    <xf numFmtId="0" fontId="0" fillId="0" borderId="11" xfId="0" applyFill="1" applyBorder="1" applyAlignment="1">
      <alignment/>
    </xf>
    <xf numFmtId="0" fontId="5" fillId="0" borderId="12" xfId="0" applyFont="1" applyFill="1" applyBorder="1" applyAlignment="1">
      <alignment horizontal="center"/>
    </xf>
    <xf numFmtId="0" fontId="5" fillId="0" borderId="12" xfId="0" applyFont="1" applyFill="1" applyBorder="1" applyAlignment="1">
      <alignment horizontal="centerContinuous"/>
    </xf>
    <xf numFmtId="0" fontId="3" fillId="0" borderId="0" xfId="0" applyFont="1" applyFill="1" applyAlignment="1">
      <alignment horizontal="center" wrapText="1"/>
    </xf>
    <xf numFmtId="0" fontId="0" fillId="0" borderId="0" xfId="0" applyFill="1" applyAlignment="1">
      <alignment horizontal="center" wrapText="1"/>
    </xf>
    <xf numFmtId="3" fontId="0" fillId="0" borderId="0" xfId="0" applyNumberFormat="1" applyFill="1" applyAlignment="1">
      <alignment horizontal="center" wrapText="1"/>
    </xf>
    <xf numFmtId="178" fontId="2" fillId="0" borderId="0" xfId="42" applyNumberFormat="1" applyFont="1" applyAlignment="1">
      <alignment horizontal="center" wrapText="1"/>
    </xf>
    <xf numFmtId="178" fontId="0" fillId="0" borderId="0" xfId="42" applyNumberFormat="1" applyFont="1" applyAlignment="1">
      <alignment horizontal="center"/>
    </xf>
    <xf numFmtId="178" fontId="0" fillId="10" borderId="0" xfId="42" applyNumberFormat="1" applyFont="1" applyFill="1" applyAlignment="1">
      <alignment horizontal="center"/>
    </xf>
    <xf numFmtId="3" fontId="0" fillId="0" borderId="0" xfId="0" applyNumberFormat="1" applyFont="1" applyFill="1" applyAlignment="1">
      <alignment horizontal="center"/>
    </xf>
    <xf numFmtId="3" fontId="0" fillId="0" borderId="10" xfId="0" applyNumberFormat="1" applyFill="1" applyBorder="1" applyAlignment="1">
      <alignment horizontal="center"/>
    </xf>
    <xf numFmtId="3" fontId="0" fillId="0" borderId="10" xfId="0" applyNumberFormat="1" applyFont="1" applyFill="1" applyBorder="1" applyAlignment="1">
      <alignment horizontal="center"/>
    </xf>
    <xf numFmtId="3" fontId="0" fillId="0" borderId="0" xfId="0" applyNumberFormat="1" applyFont="1" applyFill="1" applyAlignment="1">
      <alignment horizontal="center"/>
    </xf>
    <xf numFmtId="39" fontId="0" fillId="0" borderId="0" xfId="0" applyNumberFormat="1" applyFont="1" applyFill="1" applyAlignment="1">
      <alignment horizontal="center"/>
    </xf>
    <xf numFmtId="10" fontId="0" fillId="0" borderId="0" xfId="62" applyNumberFormat="1" applyFont="1" applyAlignment="1">
      <alignment horizontal="center"/>
    </xf>
    <xf numFmtId="178" fontId="0" fillId="0" borderId="0" xfId="42" applyNumberFormat="1" applyFont="1" applyFill="1" applyAlignment="1">
      <alignment horizontal="center"/>
    </xf>
    <xf numFmtId="0" fontId="0" fillId="0" borderId="0" xfId="0" applyNumberFormat="1" applyFill="1" applyBorder="1" applyAlignment="1">
      <alignment/>
    </xf>
    <xf numFmtId="3" fontId="0" fillId="33" borderId="10" xfId="0" applyNumberFormat="1" applyFont="1" applyFill="1" applyBorder="1" applyAlignment="1">
      <alignment horizontal="center"/>
    </xf>
    <xf numFmtId="10" fontId="0" fillId="0" borderId="0" xfId="62" applyNumberFormat="1" applyFont="1" applyFill="1" applyAlignment="1">
      <alignment horizontal="center"/>
    </xf>
    <xf numFmtId="3" fontId="6" fillId="0" borderId="0" xfId="0" applyNumberFormat="1" applyFont="1" applyFill="1" applyAlignment="1">
      <alignment horizontal="center"/>
    </xf>
    <xf numFmtId="3" fontId="0" fillId="0" borderId="0" xfId="0" applyNumberFormat="1" applyFill="1" applyAlignment="1">
      <alignment/>
    </xf>
    <xf numFmtId="3" fontId="2" fillId="0" borderId="0" xfId="0" applyNumberFormat="1" applyFont="1" applyFill="1" applyAlignment="1">
      <alignment horizontal="center"/>
    </xf>
    <xf numFmtId="3" fontId="2" fillId="0" borderId="0" xfId="0" applyNumberFormat="1" applyFont="1" applyFill="1" applyAlignment="1">
      <alignment horizontal="center" wrapText="1"/>
    </xf>
    <xf numFmtId="3" fontId="3" fillId="0" borderId="0" xfId="0" applyNumberFormat="1" applyFont="1" applyBorder="1" applyAlignment="1">
      <alignment horizontal="left"/>
    </xf>
    <xf numFmtId="0" fontId="2" fillId="0" borderId="0" xfId="0" applyFont="1" applyFill="1" applyAlignment="1">
      <alignment horizontal="center"/>
    </xf>
    <xf numFmtId="3" fontId="0" fillId="0" borderId="0" xfId="0" applyNumberFormat="1" applyFont="1" applyFill="1" applyAlignment="1">
      <alignment horizontal="center" wrapText="1"/>
    </xf>
    <xf numFmtId="173" fontId="0" fillId="0" borderId="0" xfId="0" applyNumberFormat="1" applyFill="1" applyAlignment="1">
      <alignment horizontal="center"/>
    </xf>
    <xf numFmtId="172" fontId="0" fillId="0" borderId="0" xfId="0" applyNumberFormat="1" applyFill="1" applyAlignment="1">
      <alignment horizontal="center"/>
    </xf>
    <xf numFmtId="9" fontId="0" fillId="0" borderId="0" xfId="62" applyFont="1" applyFill="1" applyAlignment="1">
      <alignment horizontal="center"/>
    </xf>
    <xf numFmtId="0" fontId="3" fillId="0" borderId="0" xfId="0" applyFont="1" applyFill="1" applyAlignment="1">
      <alignment/>
    </xf>
    <xf numFmtId="185" fontId="0" fillId="0" borderId="0" xfId="0" applyNumberFormat="1" applyFill="1" applyAlignment="1">
      <alignment horizontal="center"/>
    </xf>
    <xf numFmtId="0" fontId="0" fillId="0" borderId="0" xfId="0" applyFont="1" applyFill="1" applyAlignment="1">
      <alignment horizontal="center"/>
    </xf>
    <xf numFmtId="17" fontId="3" fillId="0" borderId="0" xfId="0" applyNumberFormat="1" applyFont="1" applyFill="1" applyAlignment="1">
      <alignment/>
    </xf>
    <xf numFmtId="175" fontId="0" fillId="0" borderId="0" xfId="0" applyNumberFormat="1" applyFill="1" applyAlignment="1">
      <alignment horizontal="center"/>
    </xf>
    <xf numFmtId="3" fontId="0" fillId="0" borderId="0" xfId="42" applyNumberFormat="1" applyFill="1" applyAlignment="1">
      <alignment horizontal="center"/>
    </xf>
    <xf numFmtId="10" fontId="0" fillId="0" borderId="0" xfId="0" applyNumberFormat="1" applyFill="1" applyAlignment="1">
      <alignment horizontal="center"/>
    </xf>
    <xf numFmtId="173" fontId="0" fillId="0" borderId="0" xfId="0" applyNumberFormat="1" applyFill="1" applyAlignment="1">
      <alignment horizontal="right" indent="1"/>
    </xf>
    <xf numFmtId="173" fontId="0" fillId="0" borderId="0" xfId="0" applyNumberFormat="1" applyAlignment="1">
      <alignment horizontal="right" indent="1"/>
    </xf>
    <xf numFmtId="173" fontId="0" fillId="34" borderId="0" xfId="0" applyNumberFormat="1" applyFill="1" applyAlignment="1">
      <alignment horizontal="center"/>
    </xf>
    <xf numFmtId="10" fontId="0" fillId="0" borderId="0" xfId="62" applyNumberFormat="1" applyFont="1" applyBorder="1" applyAlignment="1">
      <alignment horizontal="center"/>
    </xf>
    <xf numFmtId="10" fontId="0" fillId="35" borderId="0" xfId="0" applyNumberFormat="1" applyFill="1" applyAlignment="1">
      <alignment horizontal="center"/>
    </xf>
    <xf numFmtId="174" fontId="0" fillId="0" borderId="10" xfId="0" applyNumberFormat="1" applyFill="1" applyBorder="1" applyAlignment="1">
      <alignment horizontal="center"/>
    </xf>
    <xf numFmtId="179" fontId="0" fillId="0" borderId="0" xfId="42" applyNumberFormat="1" applyFont="1" applyFill="1" applyAlignment="1">
      <alignment/>
    </xf>
    <xf numFmtId="0" fontId="9" fillId="0" borderId="0" xfId="0" applyFont="1" applyFill="1" applyBorder="1" applyAlignment="1">
      <alignment vertical="top"/>
    </xf>
    <xf numFmtId="0" fontId="0" fillId="0" borderId="0" xfId="0" applyFill="1" applyBorder="1" applyAlignment="1">
      <alignment vertical="top"/>
    </xf>
    <xf numFmtId="0" fontId="10" fillId="0" borderId="0" xfId="0" applyFont="1" applyFill="1" applyBorder="1" applyAlignment="1">
      <alignment vertical="top"/>
    </xf>
    <xf numFmtId="0" fontId="11" fillId="0" borderId="0" xfId="0" applyFont="1" applyFill="1" applyBorder="1" applyAlignment="1">
      <alignment vertical="top"/>
    </xf>
    <xf numFmtId="0" fontId="4" fillId="0" borderId="0" xfId="0" applyFont="1" applyFill="1" applyBorder="1" applyAlignment="1">
      <alignment vertical="top"/>
    </xf>
    <xf numFmtId="0" fontId="4" fillId="36" borderId="10" xfId="0" applyFont="1" applyFill="1" applyBorder="1" applyAlignment="1">
      <alignment vertical="top" wrapText="1"/>
    </xf>
    <xf numFmtId="0" fontId="12" fillId="0" borderId="0" xfId="0" applyNumberFormat="1" applyFont="1" applyFill="1" applyBorder="1" applyAlignment="1">
      <alignment vertical="top"/>
    </xf>
    <xf numFmtId="0" fontId="4" fillId="36" borderId="10" xfId="0" applyFont="1" applyFill="1" applyBorder="1" applyAlignment="1">
      <alignment vertical="top"/>
    </xf>
    <xf numFmtId="0" fontId="13" fillId="0" borderId="0" xfId="0" applyNumberFormat="1" applyFont="1" applyFill="1" applyBorder="1" applyAlignment="1">
      <alignment vertical="top"/>
    </xf>
    <xf numFmtId="0" fontId="12" fillId="0" borderId="0" xfId="0" applyFont="1" applyFill="1" applyBorder="1" applyAlignment="1">
      <alignment vertical="top"/>
    </xf>
    <xf numFmtId="0" fontId="12" fillId="0" borderId="13" xfId="0" applyFont="1" applyFill="1" applyBorder="1" applyAlignment="1">
      <alignment vertical="top"/>
    </xf>
    <xf numFmtId="0" fontId="12" fillId="0" borderId="14" xfId="0" applyFont="1" applyFill="1" applyBorder="1" applyAlignment="1">
      <alignment vertical="top"/>
    </xf>
    <xf numFmtId="0" fontId="12" fillId="0" borderId="15" xfId="0" applyFont="1" applyFill="1" applyBorder="1" applyAlignment="1">
      <alignment vertical="top"/>
    </xf>
    <xf numFmtId="175" fontId="12" fillId="0" borderId="13" xfId="0" applyNumberFormat="1" applyFont="1" applyFill="1" applyBorder="1" applyAlignment="1">
      <alignment vertical="top"/>
    </xf>
    <xf numFmtId="175" fontId="12" fillId="0" borderId="14" xfId="0" applyNumberFormat="1" applyFont="1" applyFill="1" applyBorder="1" applyAlignment="1">
      <alignment vertical="top"/>
    </xf>
    <xf numFmtId="0" fontId="12" fillId="2" borderId="16" xfId="0" applyFont="1" applyFill="1" applyBorder="1" applyAlignment="1">
      <alignment vertical="top"/>
    </xf>
    <xf numFmtId="0" fontId="12" fillId="2" borderId="17" xfId="0" applyFont="1" applyFill="1" applyBorder="1" applyAlignment="1">
      <alignment vertical="top"/>
    </xf>
    <xf numFmtId="0" fontId="12" fillId="2" borderId="18" xfId="0" applyFont="1" applyFill="1" applyBorder="1" applyAlignment="1">
      <alignment vertical="top"/>
    </xf>
    <xf numFmtId="175" fontId="12" fillId="2" borderId="16" xfId="0" applyNumberFormat="1" applyFont="1" applyFill="1" applyBorder="1" applyAlignment="1">
      <alignment vertical="top"/>
    </xf>
    <xf numFmtId="175" fontId="12" fillId="2" borderId="17" xfId="0" applyNumberFormat="1" applyFont="1" applyFill="1" applyBorder="1" applyAlignment="1">
      <alignment vertical="top"/>
    </xf>
    <xf numFmtId="0" fontId="12" fillId="0" borderId="16" xfId="0" applyFont="1" applyFill="1" applyBorder="1" applyAlignment="1">
      <alignment vertical="top"/>
    </xf>
    <xf numFmtId="0" fontId="12" fillId="0" borderId="17" xfId="0" applyFont="1" applyFill="1" applyBorder="1" applyAlignment="1">
      <alignment vertical="top"/>
    </xf>
    <xf numFmtId="0" fontId="12" fillId="0" borderId="18" xfId="0" applyFont="1" applyFill="1" applyBorder="1" applyAlignment="1">
      <alignment vertical="top"/>
    </xf>
    <xf numFmtId="175" fontId="12" fillId="0" borderId="16" xfId="0" applyNumberFormat="1" applyFont="1" applyFill="1" applyBorder="1" applyAlignment="1">
      <alignment vertical="top"/>
    </xf>
    <xf numFmtId="175" fontId="12" fillId="0" borderId="17" xfId="0" applyNumberFormat="1" applyFont="1" applyFill="1" applyBorder="1" applyAlignment="1">
      <alignment vertical="top"/>
    </xf>
    <xf numFmtId="0" fontId="4" fillId="36" borderId="19" xfId="0" applyFont="1" applyFill="1" applyBorder="1" applyAlignment="1">
      <alignment vertical="top"/>
    </xf>
    <xf numFmtId="0" fontId="4" fillId="36" borderId="20" xfId="0" applyFont="1" applyFill="1" applyBorder="1" applyAlignment="1">
      <alignment vertical="top"/>
    </xf>
    <xf numFmtId="0" fontId="4" fillId="36" borderId="21" xfId="0" applyFont="1" applyFill="1" applyBorder="1" applyAlignment="1">
      <alignment vertical="top"/>
    </xf>
    <xf numFmtId="175" fontId="4" fillId="36" borderId="10" xfId="0" applyNumberFormat="1" applyFont="1" applyFill="1" applyBorder="1" applyAlignment="1">
      <alignment vertical="top"/>
    </xf>
    <xf numFmtId="3" fontId="12" fillId="0" borderId="13" xfId="0" applyNumberFormat="1" applyFont="1" applyFill="1" applyBorder="1" applyAlignment="1">
      <alignment vertical="top"/>
    </xf>
    <xf numFmtId="3" fontId="12" fillId="0" borderId="14" xfId="0" applyNumberFormat="1" applyFont="1" applyFill="1" applyBorder="1" applyAlignment="1">
      <alignment vertical="top"/>
    </xf>
    <xf numFmtId="3" fontId="12" fillId="2" borderId="16" xfId="0" applyNumberFormat="1" applyFont="1" applyFill="1" applyBorder="1" applyAlignment="1">
      <alignment vertical="top"/>
    </xf>
    <xf numFmtId="3" fontId="12" fillId="2" borderId="17" xfId="0" applyNumberFormat="1" applyFont="1" applyFill="1" applyBorder="1" applyAlignment="1">
      <alignment vertical="top"/>
    </xf>
    <xf numFmtId="3" fontId="12" fillId="0" borderId="16" xfId="0" applyNumberFormat="1" applyFont="1" applyFill="1" applyBorder="1" applyAlignment="1">
      <alignment vertical="top"/>
    </xf>
    <xf numFmtId="3" fontId="12" fillId="0" borderId="17" xfId="0" applyNumberFormat="1" applyFont="1" applyFill="1" applyBorder="1" applyAlignment="1">
      <alignment vertical="top"/>
    </xf>
    <xf numFmtId="3" fontId="4" fillId="36" borderId="10" xfId="0" applyNumberFormat="1" applyFont="1" applyFill="1" applyBorder="1" applyAlignment="1">
      <alignment vertical="top"/>
    </xf>
    <xf numFmtId="0" fontId="65" fillId="0" borderId="0" xfId="0" applyFont="1" applyAlignment="1">
      <alignment/>
    </xf>
    <xf numFmtId="0" fontId="65" fillId="0" borderId="0" xfId="0" applyFont="1" applyAlignment="1">
      <alignment horizontal="center" wrapText="1"/>
    </xf>
    <xf numFmtId="0" fontId="0" fillId="0" borderId="0" xfId="0" applyAlignment="1">
      <alignment wrapText="1"/>
    </xf>
    <xf numFmtId="0" fontId="0" fillId="0" borderId="10" xfId="0" applyBorder="1" applyAlignment="1">
      <alignment horizontal="center"/>
    </xf>
    <xf numFmtId="3" fontId="0" fillId="0" borderId="0" xfId="0" applyNumberFormat="1" applyAlignment="1">
      <alignment horizontal="right"/>
    </xf>
    <xf numFmtId="0" fontId="0" fillId="0" borderId="0" xfId="0" applyBorder="1" applyAlignment="1">
      <alignment horizontal="center"/>
    </xf>
    <xf numFmtId="3" fontId="0" fillId="0" borderId="22" xfId="0" applyNumberFormat="1" applyBorder="1" applyAlignment="1">
      <alignment/>
    </xf>
    <xf numFmtId="3" fontId="0" fillId="0" borderId="23" xfId="0" applyNumberFormat="1" applyBorder="1" applyAlignment="1">
      <alignment/>
    </xf>
    <xf numFmtId="3" fontId="0" fillId="0" borderId="19" xfId="0" applyNumberFormat="1" applyBorder="1" applyAlignment="1">
      <alignment/>
    </xf>
    <xf numFmtId="179" fontId="0" fillId="0" borderId="0" xfId="42" applyNumberFormat="1" applyFont="1" applyAlignment="1">
      <alignment/>
    </xf>
    <xf numFmtId="179" fontId="0" fillId="0" borderId="20" xfId="42" applyNumberFormat="1" applyFont="1" applyBorder="1" applyAlignment="1">
      <alignment/>
    </xf>
    <xf numFmtId="0" fontId="0" fillId="0" borderId="19" xfId="0" applyBorder="1" applyAlignment="1">
      <alignment/>
    </xf>
    <xf numFmtId="0" fontId="0" fillId="0" borderId="0" xfId="0" applyBorder="1" applyAlignment="1">
      <alignment/>
    </xf>
    <xf numFmtId="0" fontId="65" fillId="0" borderId="0" xfId="0" applyFont="1" applyFill="1" applyAlignment="1">
      <alignment/>
    </xf>
    <xf numFmtId="0" fontId="65" fillId="0" borderId="0" xfId="0" applyFont="1" applyFill="1" applyAlignment="1">
      <alignment horizontal="center"/>
    </xf>
    <xf numFmtId="0" fontId="0" fillId="0" borderId="0" xfId="0" applyFont="1" applyFill="1" applyAlignment="1">
      <alignment/>
    </xf>
    <xf numFmtId="179" fontId="0" fillId="0" borderId="20" xfId="0" applyNumberFormat="1" applyFill="1" applyBorder="1" applyAlignment="1">
      <alignment/>
    </xf>
    <xf numFmtId="43" fontId="0" fillId="0" borderId="0" xfId="0" applyNumberFormat="1" applyFill="1" applyAlignment="1">
      <alignment/>
    </xf>
    <xf numFmtId="43" fontId="3" fillId="0" borderId="24" xfId="42" applyFont="1" applyFill="1" applyBorder="1" applyAlignment="1">
      <alignment/>
    </xf>
    <xf numFmtId="0" fontId="3" fillId="0" borderId="0" xfId="0" applyFont="1" applyFill="1" applyAlignment="1">
      <alignment horizontal="center"/>
    </xf>
    <xf numFmtId="0" fontId="3" fillId="0" borderId="25" xfId="0" applyFont="1" applyFill="1" applyBorder="1" applyAlignment="1">
      <alignment horizontal="center"/>
    </xf>
    <xf numFmtId="37" fontId="0" fillId="0" borderId="0" xfId="0" applyNumberFormat="1" applyFill="1" applyAlignment="1">
      <alignment/>
    </xf>
    <xf numFmtId="0" fontId="14" fillId="0" borderId="10" xfId="0" applyFont="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3" fontId="0" fillId="0" borderId="10" xfId="0" applyNumberFormat="1" applyBorder="1" applyAlignment="1">
      <alignment horizontal="left" indent="1"/>
    </xf>
    <xf numFmtId="37" fontId="0" fillId="0" borderId="10" xfId="0" applyNumberFormat="1" applyFill="1" applyBorder="1" applyAlignment="1">
      <alignment/>
    </xf>
    <xf numFmtId="193" fontId="0" fillId="0" borderId="10" xfId="0" applyNumberFormat="1" applyFill="1" applyBorder="1" applyAlignment="1">
      <alignment/>
    </xf>
    <xf numFmtId="179" fontId="0" fillId="0" borderId="10" xfId="42" applyNumberFormat="1" applyFill="1" applyBorder="1" applyAlignment="1">
      <alignment/>
    </xf>
    <xf numFmtId="3" fontId="0" fillId="0" borderId="10" xfId="0" applyNumberFormat="1" applyFont="1" applyBorder="1" applyAlignment="1">
      <alignment horizontal="left" indent="1"/>
    </xf>
    <xf numFmtId="0" fontId="3" fillId="0" borderId="10" xfId="0" applyFont="1" applyBorder="1" applyAlignment="1">
      <alignment horizontal="left"/>
    </xf>
    <xf numFmtId="37" fontId="3" fillId="0" borderId="10" xfId="0" applyNumberFormat="1"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0" xfId="0" applyFont="1" applyBorder="1" applyAlignment="1">
      <alignment/>
    </xf>
    <xf numFmtId="193" fontId="0" fillId="0" borderId="10" xfId="0" applyNumberFormat="1" applyFill="1" applyBorder="1" applyAlignment="1">
      <alignment horizontal="center"/>
    </xf>
    <xf numFmtId="37" fontId="0" fillId="0" borderId="10" xfId="0" applyNumberFormat="1" applyBorder="1" applyAlignment="1">
      <alignment/>
    </xf>
    <xf numFmtId="194" fontId="0" fillId="0" borderId="10" xfId="0" applyNumberFormat="1" applyFont="1" applyFill="1" applyBorder="1" applyAlignment="1">
      <alignment/>
    </xf>
    <xf numFmtId="5" fontId="0" fillId="0" borderId="10" xfId="0" applyNumberFormat="1" applyBorder="1" applyAlignment="1">
      <alignment/>
    </xf>
    <xf numFmtId="195" fontId="0" fillId="0" borderId="10" xfId="0" applyNumberFormat="1" applyBorder="1" applyAlignment="1">
      <alignment/>
    </xf>
    <xf numFmtId="5" fontId="3" fillId="0" borderId="10" xfId="0" applyNumberFormat="1" applyFont="1" applyFill="1" applyBorder="1" applyAlignment="1">
      <alignment/>
    </xf>
    <xf numFmtId="0" fontId="3" fillId="0" borderId="0" xfId="0" applyFont="1" applyBorder="1" applyAlignment="1">
      <alignment horizontal="left" indent="1"/>
    </xf>
    <xf numFmtId="37" fontId="3" fillId="0" borderId="0" xfId="0" applyNumberFormat="1" applyFont="1" applyBorder="1" applyAlignment="1">
      <alignment/>
    </xf>
    <xf numFmtId="0" fontId="3" fillId="0" borderId="0" xfId="0" applyFont="1" applyBorder="1" applyAlignment="1">
      <alignment/>
    </xf>
    <xf numFmtId="195" fontId="0" fillId="0" borderId="0" xfId="0" applyNumberFormat="1" applyBorder="1" applyAlignment="1">
      <alignment/>
    </xf>
    <xf numFmtId="5" fontId="3" fillId="0" borderId="0" xfId="0" applyNumberFormat="1" applyFont="1" applyFill="1" applyBorder="1" applyAlignment="1">
      <alignment/>
    </xf>
    <xf numFmtId="0" fontId="14" fillId="0" borderId="22" xfId="0" applyFont="1" applyBorder="1" applyAlignment="1">
      <alignment/>
    </xf>
    <xf numFmtId="0" fontId="3" fillId="0" borderId="26" xfId="0" applyFont="1" applyBorder="1" applyAlignment="1">
      <alignment/>
    </xf>
    <xf numFmtId="0" fontId="3" fillId="0" borderId="27"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NumberFormat="1" applyFont="1" applyBorder="1" applyAlignment="1">
      <alignment horizontal="center"/>
    </xf>
    <xf numFmtId="0" fontId="3" fillId="0" borderId="30" xfId="0" applyFont="1" applyBorder="1" applyAlignment="1">
      <alignment horizontal="center"/>
    </xf>
    <xf numFmtId="193" fontId="0" fillId="0" borderId="10" xfId="0" applyNumberFormat="1" applyBorder="1" applyAlignment="1">
      <alignment horizontal="center"/>
    </xf>
    <xf numFmtId="196" fontId="0" fillId="0" borderId="10" xfId="0" applyNumberFormat="1" applyFill="1" applyBorder="1" applyAlignment="1">
      <alignment/>
    </xf>
    <xf numFmtId="5" fontId="3" fillId="0" borderId="10" xfId="0" applyNumberFormat="1" applyFont="1" applyBorder="1" applyAlignment="1">
      <alignment/>
    </xf>
    <xf numFmtId="0" fontId="3" fillId="0" borderId="22" xfId="0" applyFont="1" applyBorder="1" applyAlignment="1">
      <alignment horizontal="center"/>
    </xf>
    <xf numFmtId="0" fontId="3" fillId="0" borderId="31" xfId="0" applyFont="1" applyBorder="1" applyAlignment="1">
      <alignment horizontal="center"/>
    </xf>
    <xf numFmtId="0" fontId="3" fillId="0" borderId="21" xfId="0" applyFont="1" applyBorder="1" applyAlignment="1">
      <alignment horizontal="center"/>
    </xf>
    <xf numFmtId="0" fontId="0" fillId="0" borderId="32" xfId="0" applyBorder="1" applyAlignment="1">
      <alignment/>
    </xf>
    <xf numFmtId="5" fontId="0" fillId="0" borderId="23" xfId="0" applyNumberFormat="1" applyFill="1" applyBorder="1" applyAlignment="1">
      <alignment/>
    </xf>
    <xf numFmtId="5" fontId="0" fillId="0" borderId="23" xfId="0" applyNumberFormat="1" applyBorder="1" applyAlignment="1">
      <alignment/>
    </xf>
    <xf numFmtId="0" fontId="0" fillId="0" borderId="32" xfId="0" applyFont="1" applyBorder="1" applyAlignment="1">
      <alignment/>
    </xf>
    <xf numFmtId="5" fontId="0" fillId="0" borderId="10" xfId="0" applyNumberFormat="1" applyFill="1" applyBorder="1" applyAlignment="1">
      <alignment/>
    </xf>
    <xf numFmtId="193" fontId="0" fillId="0" borderId="10" xfId="0" applyNumberFormat="1" applyFont="1" applyBorder="1" applyAlignment="1">
      <alignment horizontal="center"/>
    </xf>
    <xf numFmtId="193" fontId="0" fillId="0" borderId="10" xfId="0" applyNumberFormat="1" applyFont="1" applyFill="1" applyBorder="1" applyAlignment="1">
      <alignment horizontal="center"/>
    </xf>
    <xf numFmtId="2" fontId="0" fillId="32" borderId="0" xfId="42" applyNumberFormat="1" applyFont="1" applyFill="1" applyAlignment="1">
      <alignment horizontal="center"/>
    </xf>
    <xf numFmtId="2" fontId="0" fillId="32" borderId="0" xfId="0" applyNumberFormat="1" applyFill="1" applyAlignment="1">
      <alignment horizontal="center"/>
    </xf>
    <xf numFmtId="1" fontId="0" fillId="0" borderId="0" xfId="0" applyNumberFormat="1" applyFont="1" applyFill="1" applyAlignment="1">
      <alignment horizontal="center"/>
    </xf>
    <xf numFmtId="0" fontId="0" fillId="0" borderId="0" xfId="0" applyFont="1" applyAlignment="1">
      <alignment/>
    </xf>
    <xf numFmtId="175" fontId="0" fillId="0" borderId="0" xfId="0" applyNumberFormat="1" applyFill="1" applyAlignment="1">
      <alignment horizontal="center" wrapText="1"/>
    </xf>
    <xf numFmtId="0" fontId="0" fillId="0" borderId="0" xfId="0" applyFont="1" applyAlignment="1">
      <alignment horizontal="center"/>
    </xf>
    <xf numFmtId="3" fontId="0" fillId="0" borderId="0" xfId="0" applyNumberFormat="1" applyFont="1" applyAlignment="1">
      <alignment horizontal="center"/>
    </xf>
    <xf numFmtId="3" fontId="0" fillId="0" borderId="20" xfId="0" applyNumberFormat="1" applyFill="1" applyBorder="1" applyAlignment="1">
      <alignment horizontal="center"/>
    </xf>
    <xf numFmtId="3" fontId="3" fillId="0" borderId="0" xfId="0" applyNumberFormat="1" applyFont="1" applyAlignment="1">
      <alignment horizontal="center"/>
    </xf>
    <xf numFmtId="3" fontId="3" fillId="0" borderId="0" xfId="0" applyNumberFormat="1" applyFont="1" applyFill="1" applyAlignment="1">
      <alignment horizontal="center"/>
    </xf>
    <xf numFmtId="178" fontId="3" fillId="0" borderId="0" xfId="42" applyNumberFormat="1" applyFont="1" applyAlignment="1">
      <alignment horizontal="center"/>
    </xf>
    <xf numFmtId="37" fontId="0" fillId="0" borderId="20" xfId="0" applyNumberFormat="1" applyBorder="1" applyAlignment="1">
      <alignment horizontal="center"/>
    </xf>
    <xf numFmtId="3" fontId="0" fillId="0" borderId="0" xfId="0" applyNumberFormat="1" applyFill="1" applyBorder="1" applyAlignment="1">
      <alignment horizontal="center"/>
    </xf>
    <xf numFmtId="37" fontId="0" fillId="0" borderId="0" xfId="0" applyNumberFormat="1" applyBorder="1" applyAlignment="1">
      <alignment horizontal="center"/>
    </xf>
    <xf numFmtId="3" fontId="0" fillId="0" borderId="0" xfId="0" applyNumberFormat="1" applyBorder="1" applyAlignment="1">
      <alignment horizontal="center"/>
    </xf>
    <xf numFmtId="178" fontId="0" fillId="0" borderId="0" xfId="42" applyNumberFormat="1" applyFont="1" applyBorder="1" applyAlignment="1">
      <alignment horizontal="center"/>
    </xf>
    <xf numFmtId="4" fontId="0" fillId="0" borderId="0" xfId="0" applyNumberFormat="1" applyBorder="1" applyAlignment="1">
      <alignment horizontal="center"/>
    </xf>
    <xf numFmtId="3" fontId="0" fillId="0" borderId="0" xfId="0" applyNumberFormat="1" applyFont="1" applyFill="1" applyBorder="1" applyAlignment="1">
      <alignment horizontal="center"/>
    </xf>
    <xf numFmtId="178" fontId="0" fillId="0" borderId="0" xfId="42" applyNumberFormat="1" applyFont="1" applyBorder="1" applyAlignment="1">
      <alignment horizontal="center"/>
    </xf>
    <xf numFmtId="0" fontId="0" fillId="0" borderId="0" xfId="0" applyFont="1" applyBorder="1" applyAlignment="1">
      <alignment horizontal="center"/>
    </xf>
    <xf numFmtId="3" fontId="0" fillId="0" borderId="0" xfId="0" applyNumberFormat="1" applyFont="1" applyBorder="1" applyAlignment="1">
      <alignment horizontal="center"/>
    </xf>
    <xf numFmtId="0" fontId="3" fillId="0" borderId="0" xfId="0" applyFont="1" applyBorder="1" applyAlignment="1">
      <alignment horizontal="center"/>
    </xf>
    <xf numFmtId="37" fontId="0" fillId="0" borderId="0" xfId="0" applyNumberFormat="1" applyFont="1" applyBorder="1" applyAlignment="1">
      <alignment horizontal="center"/>
    </xf>
    <xf numFmtId="0" fontId="0" fillId="0" borderId="0" xfId="0" applyFont="1" applyBorder="1" applyAlignment="1">
      <alignment/>
    </xf>
    <xf numFmtId="0" fontId="3" fillId="0" borderId="0" xfId="0" applyFont="1" applyAlignment="1">
      <alignment wrapText="1"/>
    </xf>
    <xf numFmtId="37" fontId="0" fillId="0" borderId="0" xfId="0" applyNumberFormat="1" applyAlignment="1">
      <alignment/>
    </xf>
    <xf numFmtId="10" fontId="3" fillId="0" borderId="0" xfId="0" applyNumberFormat="1" applyFont="1" applyAlignment="1">
      <alignment/>
    </xf>
    <xf numFmtId="179" fontId="0" fillId="0" borderId="0" xfId="42" applyNumberFormat="1" applyFont="1" applyAlignment="1">
      <alignment horizontal="center"/>
    </xf>
    <xf numFmtId="3" fontId="0" fillId="0" borderId="23" xfId="0" applyNumberFormat="1" applyFill="1" applyBorder="1" applyAlignment="1">
      <alignment/>
    </xf>
    <xf numFmtId="179" fontId="0" fillId="37" borderId="0" xfId="42" applyNumberFormat="1" applyFont="1" applyFill="1" applyAlignment="1">
      <alignment/>
    </xf>
    <xf numFmtId="175" fontId="0" fillId="0" borderId="0" xfId="0" applyNumberFormat="1" applyFill="1" applyAlignment="1">
      <alignment/>
    </xf>
    <xf numFmtId="0" fontId="0" fillId="0" borderId="0" xfId="0" applyFill="1" applyBorder="1" applyAlignment="1">
      <alignment/>
    </xf>
    <xf numFmtId="173" fontId="0" fillId="0" borderId="0" xfId="0" applyNumberFormat="1" applyFill="1" applyBorder="1" applyAlignment="1">
      <alignment horizontal="center"/>
    </xf>
    <xf numFmtId="172" fontId="0" fillId="0" borderId="0" xfId="0" applyNumberFormat="1" applyFill="1" applyBorder="1" applyAlignment="1">
      <alignment horizontal="center"/>
    </xf>
    <xf numFmtId="0" fontId="0" fillId="0" borderId="0" xfId="0" applyFill="1" applyBorder="1" applyAlignment="1">
      <alignment horizontal="center"/>
    </xf>
    <xf numFmtId="172" fontId="0" fillId="0" borderId="0" xfId="62" applyNumberFormat="1" applyFont="1" applyFill="1" applyAlignment="1">
      <alignment horizontal="center"/>
    </xf>
    <xf numFmtId="3" fontId="0" fillId="0" borderId="32" xfId="0" applyNumberFormat="1" applyBorder="1" applyAlignment="1">
      <alignment/>
    </xf>
    <xf numFmtId="3" fontId="0" fillId="0" borderId="32" xfId="0" applyNumberFormat="1" applyFill="1" applyBorder="1" applyAlignment="1">
      <alignment/>
    </xf>
    <xf numFmtId="3" fontId="0" fillId="0" borderId="27" xfId="0" applyNumberFormat="1" applyBorder="1" applyAlignment="1">
      <alignment/>
    </xf>
    <xf numFmtId="43" fontId="0" fillId="0" borderId="0" xfId="42" applyFont="1" applyAlignment="1">
      <alignment/>
    </xf>
    <xf numFmtId="0" fontId="67" fillId="38" borderId="10" xfId="0" applyFont="1" applyFill="1" applyBorder="1" applyAlignment="1">
      <alignment horizontal="center" wrapText="1"/>
    </xf>
    <xf numFmtId="0" fontId="67" fillId="0" borderId="10" xfId="0" applyFont="1" applyBorder="1" applyAlignment="1">
      <alignment horizontal="center" vertical="top"/>
    </xf>
    <xf numFmtId="201" fontId="68" fillId="0" borderId="10" xfId="0" applyNumberFormat="1" applyFont="1" applyBorder="1" applyAlignment="1">
      <alignment horizontal="center" vertical="top"/>
    </xf>
    <xf numFmtId="0" fontId="42" fillId="0" borderId="10" xfId="0" applyFont="1" applyBorder="1" applyAlignment="1">
      <alignment horizontal="center" vertical="top"/>
    </xf>
    <xf numFmtId="201" fontId="68" fillId="0" borderId="10" xfId="0" applyNumberFormat="1" applyFont="1" applyFill="1" applyBorder="1" applyAlignment="1">
      <alignment horizontal="center" vertical="top"/>
    </xf>
    <xf numFmtId="201" fontId="67" fillId="0" borderId="10" xfId="0" applyNumberFormat="1" applyFont="1" applyBorder="1" applyAlignment="1">
      <alignment horizontal="center" vertical="top"/>
    </xf>
    <xf numFmtId="197" fontId="67" fillId="0" borderId="10" xfId="0" applyNumberFormat="1" applyFont="1" applyBorder="1" applyAlignment="1">
      <alignment horizontal="center" vertical="top"/>
    </xf>
    <xf numFmtId="172" fontId="67" fillId="0" borderId="10" xfId="0" applyNumberFormat="1" applyFont="1" applyBorder="1" applyAlignment="1">
      <alignment horizontal="center" vertical="top"/>
    </xf>
    <xf numFmtId="2" fontId="68" fillId="0" borderId="10" xfId="0" applyNumberFormat="1" applyFont="1" applyFill="1" applyBorder="1" applyAlignment="1">
      <alignment horizontal="center" vertical="top"/>
    </xf>
    <xf numFmtId="0" fontId="69" fillId="0" borderId="0" xfId="0" applyFont="1" applyAlignment="1">
      <alignment/>
    </xf>
    <xf numFmtId="0" fontId="17" fillId="33" borderId="0" xfId="0" applyFont="1" applyFill="1" applyBorder="1" applyAlignment="1">
      <alignment horizontal="right" vertical="top"/>
    </xf>
    <xf numFmtId="10" fontId="17" fillId="33" borderId="0" xfId="0" applyNumberFormat="1" applyFont="1" applyFill="1" applyBorder="1" applyAlignment="1">
      <alignment horizontal="center" vertical="top"/>
    </xf>
    <xf numFmtId="0" fontId="0" fillId="0" borderId="0" xfId="0" applyAlignment="1">
      <alignment/>
    </xf>
    <xf numFmtId="3" fontId="0" fillId="37" borderId="23" xfId="0" applyNumberFormat="1" applyFill="1" applyBorder="1" applyAlignment="1">
      <alignment/>
    </xf>
    <xf numFmtId="3" fontId="0" fillId="37" borderId="31" xfId="0" applyNumberFormat="1" applyFill="1" applyBorder="1" applyAlignment="1">
      <alignment/>
    </xf>
    <xf numFmtId="3" fontId="0" fillId="0" borderId="10" xfId="0" applyNumberFormat="1" applyBorder="1" applyAlignment="1">
      <alignment/>
    </xf>
    <xf numFmtId="0" fontId="0" fillId="0" borderId="22" xfId="0" applyBorder="1" applyAlignment="1">
      <alignment horizontal="center"/>
    </xf>
    <xf numFmtId="202" fontId="0" fillId="0" borderId="0" xfId="45" applyNumberFormat="1" applyAlignment="1">
      <alignment/>
    </xf>
    <xf numFmtId="202" fontId="0" fillId="0" borderId="0" xfId="0" applyNumberFormat="1" applyAlignment="1">
      <alignment/>
    </xf>
    <xf numFmtId="43" fontId="0" fillId="0" borderId="0" xfId="0" applyNumberFormat="1" applyAlignment="1">
      <alignment/>
    </xf>
    <xf numFmtId="3" fontId="0" fillId="0" borderId="20" xfId="0" applyNumberFormat="1" applyBorder="1" applyAlignment="1">
      <alignment/>
    </xf>
    <xf numFmtId="202" fontId="0" fillId="0" borderId="20" xfId="0" applyNumberFormat="1" applyBorder="1" applyAlignment="1">
      <alignment/>
    </xf>
    <xf numFmtId="175" fontId="0" fillId="37" borderId="0" xfId="0" applyNumberFormat="1" applyFill="1" applyAlignment="1">
      <alignment horizontal="center" wrapText="1"/>
    </xf>
    <xf numFmtId="3" fontId="0" fillId="39" borderId="10" xfId="0" applyNumberFormat="1" applyFont="1" applyFill="1" applyBorder="1" applyAlignment="1">
      <alignment horizontal="center"/>
    </xf>
    <xf numFmtId="179" fontId="0" fillId="0" borderId="0" xfId="42" applyNumberFormat="1" applyFont="1" applyFill="1" applyAlignment="1">
      <alignment/>
    </xf>
    <xf numFmtId="39" fontId="0" fillId="0" borderId="0" xfId="0" applyNumberFormat="1" applyFill="1" applyAlignment="1">
      <alignment/>
    </xf>
    <xf numFmtId="179" fontId="0" fillId="0" borderId="0" xfId="0" applyNumberFormat="1" applyFill="1" applyAlignment="1">
      <alignment/>
    </xf>
    <xf numFmtId="37" fontId="0" fillId="0" borderId="0" xfId="42" applyNumberFormat="1" applyFont="1" applyFill="1" applyAlignment="1">
      <alignment/>
    </xf>
    <xf numFmtId="179" fontId="0" fillId="0" borderId="20" xfId="42" applyNumberFormat="1" applyFont="1" applyFill="1" applyBorder="1" applyAlignment="1">
      <alignment/>
    </xf>
    <xf numFmtId="179" fontId="0" fillId="0" borderId="28" xfId="42" applyNumberFormat="1" applyFont="1" applyFill="1" applyBorder="1" applyAlignment="1">
      <alignment/>
    </xf>
    <xf numFmtId="3" fontId="0" fillId="0" borderId="28" xfId="0" applyNumberFormat="1" applyFill="1" applyBorder="1" applyAlignment="1">
      <alignment/>
    </xf>
    <xf numFmtId="37" fontId="0" fillId="0" borderId="28" xfId="0" applyNumberFormat="1" applyFill="1" applyBorder="1" applyAlignment="1">
      <alignment/>
    </xf>
    <xf numFmtId="37" fontId="0" fillId="0" borderId="28" xfId="42" applyNumberFormat="1" applyFont="1" applyFill="1" applyBorder="1" applyAlignment="1">
      <alignment/>
    </xf>
    <xf numFmtId="0" fontId="0" fillId="37" borderId="0" xfId="0" applyFill="1" applyAlignment="1">
      <alignment/>
    </xf>
    <xf numFmtId="179" fontId="0" fillId="0" borderId="0" xfId="0" applyNumberFormat="1" applyAlignment="1">
      <alignment/>
    </xf>
    <xf numFmtId="179" fontId="0" fillId="0" borderId="24" xfId="0" applyNumberFormat="1" applyBorder="1" applyAlignment="1">
      <alignment/>
    </xf>
    <xf numFmtId="179" fontId="0" fillId="0" borderId="20" xfId="0" applyNumberFormat="1" applyBorder="1" applyAlignment="1">
      <alignment/>
    </xf>
    <xf numFmtId="43" fontId="0" fillId="0" borderId="10" xfId="42" applyNumberFormat="1" applyFill="1" applyBorder="1" applyAlignment="1">
      <alignment/>
    </xf>
    <xf numFmtId="7" fontId="0" fillId="0" borderId="0" xfId="0" applyNumberFormat="1" applyAlignment="1">
      <alignment/>
    </xf>
    <xf numFmtId="3" fontId="0" fillId="0" borderId="0" xfId="0" applyNumberFormat="1" applyFont="1" applyAlignment="1">
      <alignment horizontal="center" wrapText="1"/>
    </xf>
    <xf numFmtId="43" fontId="0" fillId="0" borderId="0" xfId="42" applyFont="1" applyAlignment="1">
      <alignment horizontal="center"/>
    </xf>
    <xf numFmtId="9" fontId="0" fillId="0" borderId="0" xfId="62" applyFont="1" applyAlignment="1">
      <alignment horizontal="center"/>
    </xf>
    <xf numFmtId="5" fontId="0" fillId="0" borderId="0" xfId="0" applyNumberFormat="1" applyAlignment="1">
      <alignment/>
    </xf>
    <xf numFmtId="174" fontId="0" fillId="37" borderId="0" xfId="0" applyNumberFormat="1" applyFill="1" applyAlignment="1">
      <alignment horizontal="center"/>
    </xf>
    <xf numFmtId="175" fontId="0" fillId="37" borderId="0" xfId="0" applyNumberFormat="1" applyFill="1" applyAlignment="1">
      <alignment horizontal="center"/>
    </xf>
    <xf numFmtId="179" fontId="0" fillId="0" borderId="0" xfId="42" applyNumberFormat="1" applyFont="1" applyBorder="1" applyAlignment="1">
      <alignment/>
    </xf>
    <xf numFmtId="0" fontId="3" fillId="40" borderId="20" xfId="0" applyFont="1" applyFill="1" applyBorder="1" applyAlignment="1">
      <alignment wrapText="1"/>
    </xf>
    <xf numFmtId="179" fontId="3" fillId="0" borderId="20" xfId="0" applyNumberFormat="1" applyFont="1" applyBorder="1" applyAlignment="1">
      <alignment/>
    </xf>
    <xf numFmtId="0" fontId="3" fillId="40" borderId="10" xfId="0" applyFont="1" applyFill="1" applyBorder="1" applyAlignment="1">
      <alignment wrapText="1"/>
    </xf>
    <xf numFmtId="0" fontId="0" fillId="0" borderId="23" xfId="0" applyBorder="1" applyAlignment="1">
      <alignment/>
    </xf>
    <xf numFmtId="179" fontId="0" fillId="0" borderId="23" xfId="0" applyNumberFormat="1" applyBorder="1" applyAlignment="1">
      <alignment/>
    </xf>
    <xf numFmtId="179" fontId="3" fillId="0" borderId="10" xfId="0" applyNumberFormat="1" applyFont="1" applyBorder="1" applyAlignment="1">
      <alignment/>
    </xf>
    <xf numFmtId="172" fontId="0" fillId="0" borderId="0" xfId="62" applyNumberFormat="1" applyFont="1" applyAlignment="1">
      <alignment/>
    </xf>
    <xf numFmtId="43" fontId="0" fillId="0" borderId="0" xfId="42" applyNumberFormat="1" applyFont="1" applyBorder="1" applyAlignment="1">
      <alignment/>
    </xf>
    <xf numFmtId="199" fontId="3" fillId="0" borderId="0" xfId="42" applyNumberFormat="1" applyFont="1" applyAlignment="1">
      <alignment/>
    </xf>
    <xf numFmtId="179" fontId="0" fillId="0" borderId="23" xfId="42" applyNumberFormat="1" applyFont="1" applyBorder="1" applyAlignment="1">
      <alignment/>
    </xf>
    <xf numFmtId="179" fontId="3" fillId="0" borderId="20" xfId="42" applyNumberFormat="1" applyFont="1" applyBorder="1" applyAlignment="1">
      <alignment/>
    </xf>
    <xf numFmtId="179" fontId="3" fillId="0" borderId="10" xfId="42" applyNumberFormat="1" applyFont="1" applyBorder="1" applyAlignment="1">
      <alignment/>
    </xf>
    <xf numFmtId="199" fontId="0" fillId="0" borderId="0" xfId="42" applyNumberFormat="1" applyFont="1" applyAlignment="1">
      <alignment/>
    </xf>
    <xf numFmtId="0" fontId="3" fillId="40" borderId="0" xfId="0" applyFont="1" applyFill="1" applyBorder="1" applyAlignment="1">
      <alignment wrapText="1"/>
    </xf>
    <xf numFmtId="0" fontId="0" fillId="0" borderId="32" xfId="0" applyFont="1" applyFill="1" applyBorder="1" applyAlignment="1">
      <alignment/>
    </xf>
    <xf numFmtId="5" fontId="0" fillId="0" borderId="20" xfId="0" applyNumberFormat="1" applyBorder="1" applyAlignment="1">
      <alignment/>
    </xf>
    <xf numFmtId="43" fontId="0" fillId="0" borderId="0" xfId="42" applyFont="1" applyFill="1" applyBorder="1" applyAlignment="1">
      <alignment/>
    </xf>
    <xf numFmtId="43" fontId="0" fillId="0" borderId="11" xfId="42" applyFont="1" applyFill="1" applyBorder="1" applyAlignment="1">
      <alignment/>
    </xf>
    <xf numFmtId="0" fontId="3" fillId="0" borderId="20" xfId="0" applyFont="1" applyFill="1" applyBorder="1" applyAlignment="1">
      <alignment/>
    </xf>
    <xf numFmtId="195" fontId="0" fillId="0" borderId="10" xfId="0" applyNumberFormat="1" applyFill="1" applyBorder="1" applyAlignment="1">
      <alignment/>
    </xf>
    <xf numFmtId="195" fontId="0" fillId="0" borderId="0" xfId="0" applyNumberFormat="1" applyFill="1" applyBorder="1" applyAlignment="1">
      <alignment/>
    </xf>
    <xf numFmtId="0" fontId="3" fillId="0" borderId="28" xfId="0" applyFont="1" applyFill="1" applyBorder="1" applyAlignment="1">
      <alignment/>
    </xf>
    <xf numFmtId="205" fontId="65" fillId="0" borderId="0" xfId="0" applyNumberFormat="1" applyFont="1" applyAlignment="1">
      <alignment horizontal="center"/>
    </xf>
    <xf numFmtId="179" fontId="65" fillId="0" borderId="0" xfId="42" applyNumberFormat="1" applyFont="1" applyAlignment="1">
      <alignment horizontal="center"/>
    </xf>
    <xf numFmtId="0" fontId="65" fillId="0" borderId="0" xfId="0" applyFont="1" applyAlignment="1">
      <alignment horizontal="center"/>
    </xf>
    <xf numFmtId="205" fontId="0" fillId="0" borderId="0" xfId="0" applyNumberFormat="1" applyAlignment="1">
      <alignment/>
    </xf>
    <xf numFmtId="3" fontId="0" fillId="0" borderId="0" xfId="0" applyNumberFormat="1" applyFont="1" applyFill="1" applyAlignment="1">
      <alignment horizontal="center" wrapText="1"/>
    </xf>
    <xf numFmtId="10" fontId="0" fillId="0" borderId="0" xfId="62" applyNumberFormat="1" applyFont="1" applyBorder="1" applyAlignment="1">
      <alignment horizontal="left"/>
    </xf>
    <xf numFmtId="173" fontId="0" fillId="35" borderId="33" xfId="0" applyNumberFormat="1" applyFont="1" applyFill="1" applyBorder="1" applyAlignment="1">
      <alignment horizontal="left"/>
    </xf>
    <xf numFmtId="173" fontId="0" fillId="35" borderId="34" xfId="0" applyNumberFormat="1" applyFont="1" applyFill="1" applyBorder="1" applyAlignment="1">
      <alignment horizontal="left"/>
    </xf>
    <xf numFmtId="173" fontId="0" fillId="35" borderId="35" xfId="0" applyNumberFormat="1" applyFont="1" applyFill="1" applyBorder="1" applyAlignment="1">
      <alignment horizontal="left"/>
    </xf>
    <xf numFmtId="3" fontId="3" fillId="0" borderId="0" xfId="0" applyNumberFormat="1" applyFont="1" applyBorder="1" applyAlignment="1">
      <alignment horizontal="left"/>
    </xf>
    <xf numFmtId="0" fontId="67" fillId="41" borderId="19" xfId="0" applyFont="1" applyFill="1" applyBorder="1" applyAlignment="1">
      <alignment horizontal="right" vertical="top"/>
    </xf>
    <xf numFmtId="0" fontId="67" fillId="41" borderId="20" xfId="0" applyFont="1" applyFill="1" applyBorder="1" applyAlignment="1">
      <alignment horizontal="right" vertical="top"/>
    </xf>
    <xf numFmtId="0" fontId="67" fillId="41" borderId="21" xfId="0" applyFont="1" applyFill="1" applyBorder="1" applyAlignment="1">
      <alignment horizontal="right" vertical="top"/>
    </xf>
    <xf numFmtId="0" fontId="67" fillId="41" borderId="10" xfId="0" applyFont="1" applyFill="1" applyBorder="1" applyAlignment="1">
      <alignment horizontal="right" vertical="top"/>
    </xf>
    <xf numFmtId="0" fontId="0" fillId="33" borderId="0" xfId="0" applyFill="1" applyAlignment="1">
      <alignment horizontal="center"/>
    </xf>
    <xf numFmtId="0" fontId="70" fillId="39" borderId="0" xfId="0" applyFont="1" applyFill="1" applyBorder="1" applyAlignment="1">
      <alignment horizontal="center"/>
    </xf>
    <xf numFmtId="0" fontId="0" fillId="33" borderId="25" xfId="0" applyFill="1" applyBorder="1" applyAlignment="1">
      <alignment horizontal="center"/>
    </xf>
    <xf numFmtId="0" fontId="67" fillId="38" borderId="22" xfId="0" applyFont="1" applyFill="1" applyBorder="1" applyAlignment="1">
      <alignment horizontal="center" vertical="center"/>
    </xf>
    <xf numFmtId="0" fontId="67" fillId="38" borderId="31" xfId="0" applyFont="1" applyFill="1" applyBorder="1" applyAlignment="1">
      <alignment horizontal="center" vertical="center"/>
    </xf>
    <xf numFmtId="0" fontId="67" fillId="38" borderId="10" xfId="0" applyFont="1" applyFill="1" applyBorder="1" applyAlignment="1">
      <alignment horizontal="center"/>
    </xf>
    <xf numFmtId="0" fontId="0" fillId="0" borderId="0" xfId="0" applyAlignment="1">
      <alignment horizontal="left" vertical="center" wrapText="1"/>
    </xf>
    <xf numFmtId="0" fontId="0" fillId="0" borderId="31" xfId="0" applyFont="1" applyBorder="1" applyAlignment="1">
      <alignment vertical="center"/>
    </xf>
    <xf numFmtId="0" fontId="0" fillId="0" borderId="10" xfId="0" applyFont="1" applyBorder="1" applyAlignment="1">
      <alignment/>
    </xf>
    <xf numFmtId="0" fontId="3" fillId="0" borderId="0" xfId="0" applyFont="1" applyAlignment="1">
      <alignment horizontal="center"/>
    </xf>
    <xf numFmtId="0" fontId="65" fillId="0" borderId="0" xfId="0" applyFont="1" applyAlignment="1">
      <alignment horizontal="center" wrapText="1"/>
    </xf>
    <xf numFmtId="0" fontId="3" fillId="0" borderId="32" xfId="0" applyNumberFormat="1" applyFont="1" applyBorder="1" applyAlignment="1">
      <alignment horizontal="center"/>
    </xf>
    <xf numFmtId="0" fontId="3" fillId="0" borderId="25" xfId="0" applyNumberFormat="1" applyFont="1" applyBorder="1" applyAlignment="1">
      <alignment horizontal="center"/>
    </xf>
    <xf numFmtId="0" fontId="3" fillId="0" borderId="29" xfId="0" applyNumberFormat="1" applyFont="1" applyBorder="1" applyAlignment="1">
      <alignment horizontal="center"/>
    </xf>
    <xf numFmtId="0" fontId="3" fillId="0" borderId="22" xfId="0" applyNumberFormat="1" applyFont="1" applyBorder="1" applyAlignment="1">
      <alignment horizontal="center" wrapText="1"/>
    </xf>
    <xf numFmtId="0" fontId="3" fillId="0" borderId="23" xfId="0" applyNumberFormat="1" applyFont="1" applyBorder="1" applyAlignment="1">
      <alignment horizontal="center" wrapText="1"/>
    </xf>
    <xf numFmtId="0" fontId="3" fillId="0" borderId="22" xfId="0" applyFont="1" applyBorder="1" applyAlignment="1">
      <alignment horizontal="center" wrapText="1"/>
    </xf>
    <xf numFmtId="0" fontId="3" fillId="0" borderId="31" xfId="0" applyFont="1" applyBorder="1" applyAlignment="1">
      <alignment horizontal="center" wrapText="1"/>
    </xf>
    <xf numFmtId="0" fontId="3" fillId="0" borderId="27" xfId="0" applyNumberFormat="1" applyFont="1" applyBorder="1" applyAlignment="1">
      <alignment horizontal="center"/>
    </xf>
    <xf numFmtId="0" fontId="3" fillId="0" borderId="28" xfId="0" applyNumberFormat="1" applyFont="1" applyBorder="1" applyAlignment="1">
      <alignment horizontal="center"/>
    </xf>
    <xf numFmtId="0" fontId="3" fillId="0" borderId="21" xfId="0" applyNumberFormat="1" applyFont="1" applyBorder="1" applyAlignment="1">
      <alignment horizontal="center"/>
    </xf>
    <xf numFmtId="0" fontId="3" fillId="0" borderId="30" xfId="0" applyNumberFormat="1" applyFont="1" applyBorder="1" applyAlignment="1">
      <alignment horizontal="center"/>
    </xf>
    <xf numFmtId="0" fontId="3" fillId="0" borderId="36" xfId="0" applyNumberFormat="1" applyFont="1" applyBorder="1" applyAlignment="1">
      <alignment horizontal="center"/>
    </xf>
    <xf numFmtId="0" fontId="3" fillId="40"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_CDM monthly amounts"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5" xfId="59"/>
    <cellStyle name="Note" xfId="60"/>
    <cellStyle name="Output" xfId="61"/>
    <cellStyle name="Percent"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971"/>
          <c:h val="0.87375"/>
        </c:manualLayout>
      </c:layout>
      <c:lineChart>
        <c:grouping val="standard"/>
        <c:varyColors val="0"/>
        <c:ser>
          <c:idx val="0"/>
          <c:order val="0"/>
          <c:tx>
            <c:strRef>
              <c:f>'Rate Class Customer Model '!$L$4</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'Rate Class Customer Model '!$K$5:$K$24</c:f>
              <c:num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'Rate Class Customer Model '!$L$5:$L$24</c:f>
              <c:numCache>
                <c:ptCount val="20"/>
                <c:pt idx="0">
                  <c:v>40624</c:v>
                </c:pt>
                <c:pt idx="1">
                  <c:v>42507</c:v>
                </c:pt>
                <c:pt idx="2">
                  <c:v>42859</c:v>
                </c:pt>
                <c:pt idx="3">
                  <c:v>43068</c:v>
                </c:pt>
                <c:pt idx="4">
                  <c:v>43724</c:v>
                </c:pt>
                <c:pt idx="5">
                  <c:v>44325</c:v>
                </c:pt>
                <c:pt idx="6">
                  <c:v>44955</c:v>
                </c:pt>
                <c:pt idx="7">
                  <c:v>45760.79707338067</c:v>
                </c:pt>
                <c:pt idx="8">
                  <c:v>45839.79707338067</c:v>
                </c:pt>
                <c:pt idx="9">
                  <c:v>45996.46201451132</c:v>
                </c:pt>
                <c:pt idx="10">
                  <c:v>45871.000740270734</c:v>
                </c:pt>
                <c:pt idx="11">
                  <c:v>46274.01146885522</c:v>
                </c:pt>
                <c:pt idx="12">
                  <c:v>46773.387126833404</c:v>
                </c:pt>
                <c:pt idx="13">
                  <c:v>47555</c:v>
                </c:pt>
                <c:pt idx="14">
                  <c:v>48401</c:v>
                </c:pt>
                <c:pt idx="15">
                  <c:v>49606</c:v>
                </c:pt>
                <c:pt idx="16">
                  <c:v>50324</c:v>
                </c:pt>
                <c:pt idx="17">
                  <c:v>50792</c:v>
                </c:pt>
                <c:pt idx="18">
                  <c:v>51360.44084210928</c:v>
                </c:pt>
                <c:pt idx="19">
                  <c:v>51935.24341423466</c:v>
                </c:pt>
              </c:numCache>
            </c:numRef>
          </c:val>
          <c:smooth val="0"/>
        </c:ser>
        <c:marker val="1"/>
        <c:axId val="49953901"/>
        <c:axId val="46931926"/>
      </c:lineChart>
      <c:catAx>
        <c:axId val="49953901"/>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46931926"/>
        <c:crosses val="autoZero"/>
        <c:auto val="1"/>
        <c:lblOffset val="100"/>
        <c:tickLblSkip val="1"/>
        <c:noMultiLvlLbl val="0"/>
      </c:catAx>
      <c:valAx>
        <c:axId val="469319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95390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971"/>
          <c:h val="0.87"/>
        </c:manualLayout>
      </c:layout>
      <c:lineChart>
        <c:grouping val="standard"/>
        <c:varyColors val="0"/>
        <c:ser>
          <c:idx val="0"/>
          <c:order val="0"/>
          <c:tx>
            <c:strRef>
              <c:f>'Rate Class Customer Model '!$N$4</c:f>
              <c:strCache>
                <c:ptCount val="1"/>
                <c:pt idx="0">
                  <c:v>GS&lt;50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'Rate Class Customer Model '!$M$5:$M$24</c:f>
              <c:num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'Rate Class Customer Model '!$N$5:$N$24</c:f>
              <c:numCache>
                <c:ptCount val="20"/>
                <c:pt idx="0">
                  <c:v>4171</c:v>
                </c:pt>
                <c:pt idx="1">
                  <c:v>3982</c:v>
                </c:pt>
                <c:pt idx="2">
                  <c:v>4033</c:v>
                </c:pt>
                <c:pt idx="3">
                  <c:v>4437</c:v>
                </c:pt>
                <c:pt idx="4">
                  <c:v>4438</c:v>
                </c:pt>
                <c:pt idx="5">
                  <c:v>4339</c:v>
                </c:pt>
                <c:pt idx="6">
                  <c:v>4260</c:v>
                </c:pt>
                <c:pt idx="7">
                  <c:v>4256.622973925299</c:v>
                </c:pt>
                <c:pt idx="8">
                  <c:v>4356.78562277591</c:v>
                </c:pt>
                <c:pt idx="9">
                  <c:v>4306.726634031365</c:v>
                </c:pt>
                <c:pt idx="10">
                  <c:v>4259.889817560887</c:v>
                </c:pt>
                <c:pt idx="11">
                  <c:v>4315.45546015562</c:v>
                </c:pt>
                <c:pt idx="12">
                  <c:v>4377.185400904917</c:v>
                </c:pt>
                <c:pt idx="13">
                  <c:v>4434</c:v>
                </c:pt>
                <c:pt idx="14">
                  <c:v>4457</c:v>
                </c:pt>
                <c:pt idx="15">
                  <c:v>4505</c:v>
                </c:pt>
                <c:pt idx="16">
                  <c:v>4479</c:v>
                </c:pt>
                <c:pt idx="17">
                  <c:v>4475</c:v>
                </c:pt>
                <c:pt idx="18">
                  <c:v>4507.765092796188</c:v>
                </c:pt>
                <c:pt idx="19">
                  <c:v>4540.770085325547</c:v>
                </c:pt>
              </c:numCache>
            </c:numRef>
          </c:val>
          <c:smooth val="0"/>
        </c:ser>
        <c:marker val="1"/>
        <c:axId val="19734151"/>
        <c:axId val="43389632"/>
      </c:lineChart>
      <c:catAx>
        <c:axId val="1973415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43389632"/>
        <c:crosses val="autoZero"/>
        <c:auto val="1"/>
        <c:lblOffset val="100"/>
        <c:tickLblSkip val="1"/>
        <c:noMultiLvlLbl val="0"/>
      </c:catAx>
      <c:valAx>
        <c:axId val="433896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973415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971"/>
          <c:h val="0.87"/>
        </c:manualLayout>
      </c:layout>
      <c:lineChart>
        <c:grouping val="standard"/>
        <c:varyColors val="0"/>
        <c:ser>
          <c:idx val="0"/>
          <c:order val="0"/>
          <c:tx>
            <c:strRef>
              <c:f>'Rate Class Customer Model '!$P$4</c:f>
              <c:strCache>
                <c:ptCount val="1"/>
                <c:pt idx="0">
                  <c:v>GS&gt;50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'Rate Class Customer Model '!$O$5:$O$24</c:f>
              <c:num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'Rate Class Customer Model '!$P$5:$P$24</c:f>
              <c:numCache>
                <c:ptCount val="20"/>
                <c:pt idx="0">
                  <c:v>796</c:v>
                </c:pt>
                <c:pt idx="1">
                  <c:v>864</c:v>
                </c:pt>
                <c:pt idx="2">
                  <c:v>819</c:v>
                </c:pt>
                <c:pt idx="3">
                  <c:v>802</c:v>
                </c:pt>
                <c:pt idx="4">
                  <c:v>871</c:v>
                </c:pt>
                <c:pt idx="5">
                  <c:v>853</c:v>
                </c:pt>
                <c:pt idx="6">
                  <c:v>847</c:v>
                </c:pt>
                <c:pt idx="7">
                  <c:v>852.2248952132718</c:v>
                </c:pt>
                <c:pt idx="8">
                  <c:v>851</c:v>
                </c:pt>
                <c:pt idx="9">
                  <c:v>858.5122693032016</c:v>
                </c:pt>
                <c:pt idx="10">
                  <c:v>855.1844795189778</c:v>
                </c:pt>
                <c:pt idx="11">
                  <c:v>862.7339356295879</c:v>
                </c:pt>
                <c:pt idx="12">
                  <c:v>822.6920212463459</c:v>
                </c:pt>
                <c:pt idx="13">
                  <c:v>781</c:v>
                </c:pt>
                <c:pt idx="14">
                  <c:v>759</c:v>
                </c:pt>
                <c:pt idx="15">
                  <c:v>808</c:v>
                </c:pt>
                <c:pt idx="16">
                  <c:v>790</c:v>
                </c:pt>
                <c:pt idx="17">
                  <c:v>800</c:v>
                </c:pt>
                <c:pt idx="18">
                  <c:v>805</c:v>
                </c:pt>
                <c:pt idx="19">
                  <c:v>808</c:v>
                </c:pt>
              </c:numCache>
            </c:numRef>
          </c:val>
          <c:smooth val="0"/>
        </c:ser>
        <c:marker val="1"/>
        <c:axId val="54962369"/>
        <c:axId val="24899274"/>
      </c:lineChart>
      <c:catAx>
        <c:axId val="5496236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4899274"/>
        <c:crosses val="autoZero"/>
        <c:auto val="1"/>
        <c:lblOffset val="100"/>
        <c:tickLblSkip val="1"/>
        <c:noMultiLvlLbl val="0"/>
      </c:catAx>
      <c:valAx>
        <c:axId val="248992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496236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Actual vs. Predicted (GWh)</a:t>
            </a:r>
          </a:p>
        </c:rich>
      </c:tx>
      <c:layout>
        <c:manualLayout>
          <c:xMode val="factor"/>
          <c:yMode val="factor"/>
          <c:x val="-0.001"/>
          <c:y val="-0.015"/>
        </c:manualLayout>
      </c:layout>
      <c:spPr>
        <a:noFill/>
        <a:ln w="3175">
          <a:noFill/>
        </a:ln>
      </c:spPr>
    </c:title>
    <c:plotArea>
      <c:layout>
        <c:manualLayout>
          <c:xMode val="edge"/>
          <c:yMode val="edge"/>
          <c:x val="0.0015"/>
          <c:y val="0.06025"/>
          <c:w val="0.98525"/>
          <c:h val="0.9145"/>
        </c:manualLayout>
      </c:layout>
      <c:barChart>
        <c:barDir val="col"/>
        <c:grouping val="clustered"/>
        <c:varyColors val="0"/>
        <c:ser>
          <c:idx val="0"/>
          <c:order val="0"/>
          <c:tx>
            <c:strRef>
              <c:f>Summary!$A$67</c:f>
              <c:strCache>
                <c:ptCount val="1"/>
                <c:pt idx="0">
                  <c:v>Actual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Summary!$B$66:$S$66</c:f>
              <c:num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Summary!$B$67:$S$67</c:f>
              <c:numCache>
                <c:ptCount val="18"/>
                <c:pt idx="0">
                  <c:v>1162.7106737803967</c:v>
                </c:pt>
                <c:pt idx="1">
                  <c:v>1152.0431601684204</c:v>
                </c:pt>
                <c:pt idx="2">
                  <c:v>1205.2410738281756</c:v>
                </c:pt>
                <c:pt idx="3">
                  <c:v>1272.1913389746144</c:v>
                </c:pt>
                <c:pt idx="4">
                  <c:v>1248.0578397212546</c:v>
                </c:pt>
                <c:pt idx="5">
                  <c:v>1283.9163663514184</c:v>
                </c:pt>
                <c:pt idx="6">
                  <c:v>1247.360138218019</c:v>
                </c:pt>
                <c:pt idx="7">
                  <c:v>1216.8078194732932</c:v>
                </c:pt>
                <c:pt idx="8">
                  <c:v>1264.714636949239</c:v>
                </c:pt>
                <c:pt idx="9">
                  <c:v>1266.3116624232737</c:v>
                </c:pt>
                <c:pt idx="10">
                  <c:v>1260.7894508992722</c:v>
                </c:pt>
                <c:pt idx="11">
                  <c:v>1250.1083240952835</c:v>
                </c:pt>
                <c:pt idx="12">
                  <c:v>1236.3540909399878</c:v>
                </c:pt>
                <c:pt idx="13">
                  <c:v>1243.4993300142835</c:v>
                </c:pt>
                <c:pt idx="14">
                  <c:v>1257.8313144022518</c:v>
                </c:pt>
                <c:pt idx="15">
                  <c:v>1212.201215887123</c:v>
                </c:pt>
                <c:pt idx="16">
                  <c:v>1270.822506539402</c:v>
                </c:pt>
                <c:pt idx="17">
                  <c:v>1252.366737669762</c:v>
                </c:pt>
              </c:numCache>
            </c:numRef>
          </c:val>
        </c:ser>
        <c:ser>
          <c:idx val="1"/>
          <c:order val="1"/>
          <c:tx>
            <c:strRef>
              <c:f>Summary!$A$68</c:f>
              <c:strCache>
                <c:ptCount val="1"/>
                <c:pt idx="0">
                  <c:v>Predicted</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Summary!$B$66:$S$66</c:f>
              <c:num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Summary!$B$68:$S$68</c:f>
              <c:numCache>
                <c:ptCount val="18"/>
                <c:pt idx="0">
                  <c:v>1167.1669063030279</c:v>
                </c:pt>
                <c:pt idx="1">
                  <c:v>1167.6054612558464</c:v>
                </c:pt>
                <c:pt idx="2">
                  <c:v>1179.5737749575324</c:v>
                </c:pt>
                <c:pt idx="3">
                  <c:v>1271.7241759971578</c:v>
                </c:pt>
                <c:pt idx="4">
                  <c:v>1247.989476515609</c:v>
                </c:pt>
                <c:pt idx="5">
                  <c:v>1273.1692313492474</c:v>
                </c:pt>
                <c:pt idx="6">
                  <c:v>1255.986577555526</c:v>
                </c:pt>
                <c:pt idx="7">
                  <c:v>1219.818977491308</c:v>
                </c:pt>
                <c:pt idx="8">
                  <c:v>1253.0855933978748</c:v>
                </c:pt>
                <c:pt idx="9">
                  <c:v>1261.3203971872842</c:v>
                </c:pt>
                <c:pt idx="10">
                  <c:v>1270.469171730973</c:v>
                </c:pt>
                <c:pt idx="11">
                  <c:v>1245.661460345254</c:v>
                </c:pt>
                <c:pt idx="12">
                  <c:v>1243.3506224973876</c:v>
                </c:pt>
                <c:pt idx="13">
                  <c:v>1251.6580371046405</c:v>
                </c:pt>
                <c:pt idx="14">
                  <c:v>1277.9415464546532</c:v>
                </c:pt>
                <c:pt idx="15">
                  <c:v>1217.1439635909858</c:v>
                </c:pt>
                <c:pt idx="16">
                  <c:v>1255.8278791537887</c:v>
                </c:pt>
                <c:pt idx="17">
                  <c:v>1243.8344274473848</c:v>
                </c:pt>
              </c:numCache>
            </c:numRef>
          </c:val>
        </c:ser>
        <c:overlap val="-25"/>
        <c:gapWidth val="75"/>
        <c:axId val="22766875"/>
        <c:axId val="3575284"/>
      </c:barChart>
      <c:catAx>
        <c:axId val="22766875"/>
        <c:scaling>
          <c:orientation val="minMax"/>
        </c:scaling>
        <c:axPos val="b"/>
        <c:delete val="0"/>
        <c:numFmt formatCode="General" sourceLinked="1"/>
        <c:majorTickMark val="none"/>
        <c:minorTickMark val="none"/>
        <c:tickLblPos val="nextTo"/>
        <c:spPr>
          <a:ln w="3175">
            <a:solidFill>
              <a:srgbClr val="808080"/>
            </a:solidFill>
          </a:ln>
        </c:spPr>
        <c:crossAx val="3575284"/>
        <c:crosses val="autoZero"/>
        <c:auto val="1"/>
        <c:lblOffset val="100"/>
        <c:tickLblSkip val="1"/>
        <c:noMultiLvlLbl val="0"/>
      </c:catAx>
      <c:valAx>
        <c:axId val="35752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766875"/>
        <c:crossesAt val="1"/>
        <c:crossBetween val="between"/>
        <c:dispUnits/>
      </c:valAx>
      <c:spPr>
        <a:solidFill>
          <a:srgbClr val="FFFFFF"/>
        </a:solidFill>
        <a:ln w="3175">
          <a:noFill/>
        </a:ln>
      </c:spPr>
    </c:plotArea>
    <c:legend>
      <c:legendPos val="b"/>
      <c:layout>
        <c:manualLayout>
          <c:xMode val="edge"/>
          <c:yMode val="edge"/>
          <c:x val="0.49"/>
          <c:y val="0.979"/>
          <c:w val="0.01675"/>
          <c:h val="0.012"/>
        </c:manualLayout>
      </c:layout>
      <c:overlay val="0"/>
      <c:spPr>
        <a:noFill/>
        <a:ln w="3175">
          <a:noFill/>
        </a:ln>
      </c:spPr>
      <c:txPr>
        <a:bodyPr vert="horz" rot="0"/>
        <a:lstStyle/>
        <a:p>
          <a:pPr>
            <a:defRPr lang="en-US" cap="none" sz="1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Actual vs Predicted by Month(kWh) </a:t>
            </a:r>
          </a:p>
        </c:rich>
      </c:tx>
      <c:layout>
        <c:manualLayout>
          <c:xMode val="factor"/>
          <c:yMode val="factor"/>
          <c:x val="-0.00075"/>
          <c:y val="-0.0155"/>
        </c:manualLayout>
      </c:layout>
      <c:spPr>
        <a:noFill/>
        <a:ln w="3175">
          <a:noFill/>
        </a:ln>
      </c:spPr>
    </c:title>
    <c:plotArea>
      <c:layout>
        <c:manualLayout>
          <c:xMode val="edge"/>
          <c:yMode val="edge"/>
          <c:x val="0.001"/>
          <c:y val="-0.004"/>
          <c:w val="0.9615"/>
          <c:h val="0.99975"/>
        </c:manualLayout>
      </c:layout>
      <c:barChart>
        <c:barDir val="col"/>
        <c:grouping val="clustered"/>
        <c:varyColors val="0"/>
        <c:ser>
          <c:idx val="0"/>
          <c:order val="0"/>
          <c:tx>
            <c:v>Actual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'Purchased Power Model'!$A$75:$A$314</c:f>
              <c:strCache>
                <c:ptCount val="240"/>
                <c:pt idx="0">
                  <c:v>37275</c:v>
                </c:pt>
                <c:pt idx="1">
                  <c:v>37308</c:v>
                </c:pt>
                <c:pt idx="2">
                  <c:v>37341</c:v>
                </c:pt>
                <c:pt idx="3">
                  <c:v>37374</c:v>
                </c:pt>
                <c:pt idx="4">
                  <c:v>37407</c:v>
                </c:pt>
                <c:pt idx="5">
                  <c:v>37408</c:v>
                </c:pt>
                <c:pt idx="6">
                  <c:v>37440</c:v>
                </c:pt>
                <c:pt idx="7">
                  <c:v>37473</c:v>
                </c:pt>
                <c:pt idx="8">
                  <c:v>37506</c:v>
                </c:pt>
                <c:pt idx="9">
                  <c:v>37539</c:v>
                </c:pt>
                <c:pt idx="10">
                  <c:v>37572</c:v>
                </c:pt>
                <c:pt idx="11">
                  <c:v>37605</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pt idx="233">
                  <c:v>44348</c:v>
                </c:pt>
                <c:pt idx="234">
                  <c:v>44378</c:v>
                </c:pt>
                <c:pt idx="235">
                  <c:v>44409</c:v>
                </c:pt>
                <c:pt idx="236">
                  <c:v>44440</c:v>
                </c:pt>
                <c:pt idx="237">
                  <c:v>44470</c:v>
                </c:pt>
                <c:pt idx="238">
                  <c:v>44501</c:v>
                </c:pt>
                <c:pt idx="239">
                  <c:v>44531</c:v>
                </c:pt>
              </c:strCache>
            </c:strRef>
          </c:cat>
          <c:val>
            <c:numRef>
              <c:f>'Purchased Power Model'!$E$75:$E$290</c:f>
              <c:numCache>
                <c:ptCount val="216"/>
                <c:pt idx="0">
                  <c:v>98398774.07602799</c:v>
                </c:pt>
                <c:pt idx="1">
                  <c:v>87515454.44591543</c:v>
                </c:pt>
                <c:pt idx="2">
                  <c:v>94028461.32406956</c:v>
                </c:pt>
                <c:pt idx="3">
                  <c:v>86184465.62416014</c:v>
                </c:pt>
                <c:pt idx="4">
                  <c:v>85447299.00560406</c:v>
                </c:pt>
                <c:pt idx="5">
                  <c:v>95651672.75514369</c:v>
                </c:pt>
                <c:pt idx="6">
                  <c:v>119450096.05526412</c:v>
                </c:pt>
                <c:pt idx="7">
                  <c:v>114483162.95551597</c:v>
                </c:pt>
                <c:pt idx="8">
                  <c:v>96936653.29524302</c:v>
                </c:pt>
                <c:pt idx="9">
                  <c:v>90917730.90590566</c:v>
                </c:pt>
                <c:pt idx="10">
                  <c:v>90920617.54078616</c:v>
                </c:pt>
                <c:pt idx="11">
                  <c:v>102776285.796761</c:v>
                </c:pt>
                <c:pt idx="12">
                  <c:v>104493534.93325901</c:v>
                </c:pt>
                <c:pt idx="13">
                  <c:v>96011347.4612544</c:v>
                </c:pt>
                <c:pt idx="14">
                  <c:v>95684640.11626172</c:v>
                </c:pt>
                <c:pt idx="15">
                  <c:v>86343957.47688204</c:v>
                </c:pt>
                <c:pt idx="16">
                  <c:v>84100206.04600699</c:v>
                </c:pt>
                <c:pt idx="17">
                  <c:v>90485412.53994009</c:v>
                </c:pt>
                <c:pt idx="18">
                  <c:v>107838219.04581785</c:v>
                </c:pt>
                <c:pt idx="19">
                  <c:v>111720633.46704757</c:v>
                </c:pt>
                <c:pt idx="20">
                  <c:v>90994823.96504186</c:v>
                </c:pt>
                <c:pt idx="21">
                  <c:v>90574201.447299</c:v>
                </c:pt>
                <c:pt idx="22">
                  <c:v>91660392.38326548</c:v>
                </c:pt>
                <c:pt idx="23">
                  <c:v>102135791.28634423</c:v>
                </c:pt>
                <c:pt idx="24">
                  <c:v>110906403.35247804</c:v>
                </c:pt>
                <c:pt idx="25">
                  <c:v>98773309.57666007</c:v>
                </c:pt>
                <c:pt idx="26">
                  <c:v>100169246.38921793</c:v>
                </c:pt>
                <c:pt idx="27">
                  <c:v>89485332.90863304</c:v>
                </c:pt>
                <c:pt idx="28">
                  <c:v>90686143.15718225</c:v>
                </c:pt>
                <c:pt idx="29">
                  <c:v>96517444.23320028</c:v>
                </c:pt>
                <c:pt idx="30">
                  <c:v>110297641.91792004</c:v>
                </c:pt>
                <c:pt idx="31">
                  <c:v>109063695.09172532</c:v>
                </c:pt>
                <c:pt idx="32">
                  <c:v>103094592.03886008</c:v>
                </c:pt>
                <c:pt idx="33">
                  <c:v>93329245.59290485</c:v>
                </c:pt>
                <c:pt idx="34">
                  <c:v>94434398.73386222</c:v>
                </c:pt>
                <c:pt idx="35">
                  <c:v>108483620.83553149</c:v>
                </c:pt>
                <c:pt idx="36">
                  <c:v>111357551.02040815</c:v>
                </c:pt>
                <c:pt idx="37">
                  <c:v>97354644.10154305</c:v>
                </c:pt>
                <c:pt idx="38">
                  <c:v>103696306.62020905</c:v>
                </c:pt>
                <c:pt idx="39">
                  <c:v>91002648.0836237</c:v>
                </c:pt>
                <c:pt idx="40">
                  <c:v>90914554.50472873</c:v>
                </c:pt>
                <c:pt idx="41">
                  <c:v>117110313.58885016</c:v>
                </c:pt>
                <c:pt idx="42">
                  <c:v>130492623.1956197</c:v>
                </c:pt>
                <c:pt idx="43">
                  <c:v>125304430.0647088</c:v>
                </c:pt>
                <c:pt idx="44">
                  <c:v>103515709.3081135</c:v>
                </c:pt>
                <c:pt idx="45">
                  <c:v>95683703.33499254</c:v>
                </c:pt>
                <c:pt idx="46">
                  <c:v>95832424.09158786</c:v>
                </c:pt>
                <c:pt idx="47">
                  <c:v>109926431.06022897</c:v>
                </c:pt>
                <c:pt idx="48">
                  <c:v>105189785.96316576</c:v>
                </c:pt>
                <c:pt idx="49">
                  <c:v>97673987.05823794</c:v>
                </c:pt>
                <c:pt idx="50">
                  <c:v>102138407.16774514</c:v>
                </c:pt>
                <c:pt idx="51">
                  <c:v>89654385.26630163</c:v>
                </c:pt>
                <c:pt idx="52">
                  <c:v>96375370.83125934</c:v>
                </c:pt>
                <c:pt idx="53">
                  <c:v>106149795.91836734</c:v>
                </c:pt>
                <c:pt idx="54">
                  <c:v>129944897.9591837</c:v>
                </c:pt>
                <c:pt idx="55">
                  <c:v>120333539.07416625</c:v>
                </c:pt>
                <c:pt idx="56">
                  <c:v>95914534.59432554</c:v>
                </c:pt>
                <c:pt idx="57">
                  <c:v>99436286.70980588</c:v>
                </c:pt>
                <c:pt idx="58">
                  <c:v>98699342.95669487</c:v>
                </c:pt>
                <c:pt idx="59">
                  <c:v>106547506.22200099</c:v>
                </c:pt>
                <c:pt idx="60">
                  <c:v>110076804.3802887</c:v>
                </c:pt>
                <c:pt idx="61">
                  <c:v>106214902.93678446</c:v>
                </c:pt>
                <c:pt idx="62">
                  <c:v>105901314.08661026</c:v>
                </c:pt>
                <c:pt idx="63">
                  <c:v>96871139.87058239</c:v>
                </c:pt>
                <c:pt idx="64">
                  <c:v>96387834.74365357</c:v>
                </c:pt>
                <c:pt idx="65">
                  <c:v>113036515.67944252</c:v>
                </c:pt>
                <c:pt idx="66">
                  <c:v>116239482.32951717</c:v>
                </c:pt>
                <c:pt idx="67">
                  <c:v>124879950.22399203</c:v>
                </c:pt>
                <c:pt idx="68">
                  <c:v>104023175.70930812</c:v>
                </c:pt>
                <c:pt idx="69">
                  <c:v>99226202.09059234</c:v>
                </c:pt>
                <c:pt idx="70">
                  <c:v>100079143.85266301</c:v>
                </c:pt>
                <c:pt idx="71">
                  <c:v>110979900.44798407</c:v>
                </c:pt>
                <c:pt idx="72">
                  <c:v>109511197.84635808</c:v>
                </c:pt>
                <c:pt idx="73">
                  <c:v>104697001.72888668</c:v>
                </c:pt>
                <c:pt idx="74">
                  <c:v>105342735.92500415</c:v>
                </c:pt>
                <c:pt idx="75">
                  <c:v>86730112.72938445</c:v>
                </c:pt>
                <c:pt idx="76">
                  <c:v>95591665.74083292</c:v>
                </c:pt>
                <c:pt idx="77">
                  <c:v>106359410.88767216</c:v>
                </c:pt>
                <c:pt idx="78">
                  <c:v>120281780.22565123</c:v>
                </c:pt>
                <c:pt idx="79">
                  <c:v>112895209.79259998</c:v>
                </c:pt>
                <c:pt idx="80">
                  <c:v>101394891.22614901</c:v>
                </c:pt>
                <c:pt idx="81">
                  <c:v>95461451.70399868</c:v>
                </c:pt>
                <c:pt idx="82">
                  <c:v>97537399.9369504</c:v>
                </c:pt>
                <c:pt idx="83">
                  <c:v>111557280.4745313</c:v>
                </c:pt>
                <c:pt idx="84">
                  <c:v>117644798.53857641</c:v>
                </c:pt>
                <c:pt idx="85">
                  <c:v>97575928.4539572</c:v>
                </c:pt>
                <c:pt idx="86">
                  <c:v>101971896.59731211</c:v>
                </c:pt>
                <c:pt idx="87">
                  <c:v>92172702.96864112</c:v>
                </c:pt>
                <c:pt idx="88">
                  <c:v>90679049.02676417</c:v>
                </c:pt>
                <c:pt idx="89">
                  <c:v>97810557.2398055</c:v>
                </c:pt>
                <c:pt idx="90">
                  <c:v>106317705.8403339</c:v>
                </c:pt>
                <c:pt idx="91">
                  <c:v>118314175.57269213</c:v>
                </c:pt>
                <c:pt idx="92">
                  <c:v>96760283.4717617</c:v>
                </c:pt>
                <c:pt idx="93">
                  <c:v>93898385.09139642</c:v>
                </c:pt>
                <c:pt idx="94">
                  <c:v>93733128.7449554</c:v>
                </c:pt>
                <c:pt idx="95">
                  <c:v>109929207.9270973</c:v>
                </c:pt>
                <c:pt idx="96">
                  <c:v>112728743.41792473</c:v>
                </c:pt>
                <c:pt idx="97">
                  <c:v>99258445.31102118</c:v>
                </c:pt>
                <c:pt idx="98">
                  <c:v>100040210.32377149</c:v>
                </c:pt>
                <c:pt idx="99">
                  <c:v>89357236.0693395</c:v>
                </c:pt>
                <c:pt idx="100">
                  <c:v>98050856.1469518</c:v>
                </c:pt>
                <c:pt idx="101">
                  <c:v>106969130.23926716</c:v>
                </c:pt>
                <c:pt idx="102">
                  <c:v>130192001.11915383</c:v>
                </c:pt>
                <c:pt idx="103">
                  <c:v>125435396.10659494</c:v>
                </c:pt>
                <c:pt idx="104">
                  <c:v>99514707.28758816</c:v>
                </c:pt>
                <c:pt idx="105">
                  <c:v>94152765.44334878</c:v>
                </c:pt>
                <c:pt idx="106">
                  <c:v>97120412.20809971</c:v>
                </c:pt>
                <c:pt idx="107">
                  <c:v>111894733.27617797</c:v>
                </c:pt>
                <c:pt idx="108">
                  <c:v>113829885.14897905</c:v>
                </c:pt>
                <c:pt idx="109">
                  <c:v>102120252.30087246</c:v>
                </c:pt>
                <c:pt idx="110">
                  <c:v>106849782.5853615</c:v>
                </c:pt>
                <c:pt idx="111">
                  <c:v>94087029.29704355</c:v>
                </c:pt>
                <c:pt idx="112">
                  <c:v>95311649.19082919</c:v>
                </c:pt>
                <c:pt idx="113">
                  <c:v>104481387.99310356</c:v>
                </c:pt>
                <c:pt idx="114">
                  <c:v>132315624.27127488</c:v>
                </c:pt>
                <c:pt idx="115">
                  <c:v>120979109.88007376</c:v>
                </c:pt>
                <c:pt idx="116">
                  <c:v>101456692.20170335</c:v>
                </c:pt>
                <c:pt idx="117">
                  <c:v>95202184.84729818</c:v>
                </c:pt>
                <c:pt idx="118">
                  <c:v>94439501.27361053</c:v>
                </c:pt>
                <c:pt idx="119">
                  <c:v>105238563.4331235</c:v>
                </c:pt>
                <c:pt idx="120">
                  <c:v>109223578.46951081</c:v>
                </c:pt>
                <c:pt idx="121">
                  <c:v>99573605.10319768</c:v>
                </c:pt>
                <c:pt idx="122">
                  <c:v>96940328.99663873</c:v>
                </c:pt>
                <c:pt idx="123">
                  <c:v>90395437.38412581</c:v>
                </c:pt>
                <c:pt idx="124">
                  <c:v>100200864.44101663</c:v>
                </c:pt>
                <c:pt idx="125">
                  <c:v>110427095.97285067</c:v>
                </c:pt>
                <c:pt idx="126">
                  <c:v>134019462.29349864</c:v>
                </c:pt>
                <c:pt idx="127">
                  <c:v>122137536.59835409</c:v>
                </c:pt>
                <c:pt idx="128">
                  <c:v>100247713.37838936</c:v>
                </c:pt>
                <c:pt idx="129">
                  <c:v>95198439.7032457</c:v>
                </c:pt>
                <c:pt idx="130">
                  <c:v>97032089.23277192</c:v>
                </c:pt>
                <c:pt idx="131">
                  <c:v>105393299.32567206</c:v>
                </c:pt>
                <c:pt idx="132">
                  <c:v>110326118.70140305</c:v>
                </c:pt>
                <c:pt idx="133">
                  <c:v>99801280.1492212</c:v>
                </c:pt>
                <c:pt idx="134">
                  <c:v>103245324.02229238</c:v>
                </c:pt>
                <c:pt idx="135">
                  <c:v>93034751.16000599</c:v>
                </c:pt>
                <c:pt idx="136">
                  <c:v>96429712.27731146</c:v>
                </c:pt>
                <c:pt idx="137">
                  <c:v>102793145.88208996</c:v>
                </c:pt>
                <c:pt idx="138">
                  <c:v>124848660.01316679</c:v>
                </c:pt>
                <c:pt idx="139">
                  <c:v>115527155.75117904</c:v>
                </c:pt>
                <c:pt idx="140">
                  <c:v>98249629.96604548</c:v>
                </c:pt>
                <c:pt idx="141">
                  <c:v>95945977.5212139</c:v>
                </c:pt>
                <c:pt idx="142">
                  <c:v>99306958.65428175</c:v>
                </c:pt>
                <c:pt idx="143">
                  <c:v>110599609.99707253</c:v>
                </c:pt>
                <c:pt idx="144">
                  <c:v>117947744.68665896</c:v>
                </c:pt>
                <c:pt idx="145">
                  <c:v>102702837.60917431</c:v>
                </c:pt>
                <c:pt idx="146">
                  <c:v>107746935.99875455</c:v>
                </c:pt>
                <c:pt idx="147">
                  <c:v>89388271.90666892</c:v>
                </c:pt>
                <c:pt idx="148">
                  <c:v>92633302.66588068</c:v>
                </c:pt>
                <c:pt idx="149">
                  <c:v>105400390.24726443</c:v>
                </c:pt>
                <c:pt idx="150">
                  <c:v>110817105.15900777</c:v>
                </c:pt>
                <c:pt idx="151">
                  <c:v>111725214.0343763</c:v>
                </c:pt>
                <c:pt idx="152">
                  <c:v>102594932.46168417</c:v>
                </c:pt>
                <c:pt idx="153">
                  <c:v>91821567.30339646</c:v>
                </c:pt>
                <c:pt idx="154">
                  <c:v>97062678.36802869</c:v>
                </c:pt>
                <c:pt idx="155">
                  <c:v>106513110.49909274</c:v>
                </c:pt>
                <c:pt idx="156">
                  <c:v>113302855.68154852</c:v>
                </c:pt>
                <c:pt idx="157">
                  <c:v>107452808.78190462</c:v>
                </c:pt>
                <c:pt idx="158">
                  <c:v>105021158.972317</c:v>
                </c:pt>
                <c:pt idx="159">
                  <c:v>91546135.98881966</c:v>
                </c:pt>
                <c:pt idx="160">
                  <c:v>97180323.95512512</c:v>
                </c:pt>
                <c:pt idx="161">
                  <c:v>100771222.83386311</c:v>
                </c:pt>
                <c:pt idx="162">
                  <c:v>119792274.43822043</c:v>
                </c:pt>
                <c:pt idx="163">
                  <c:v>115113799.4976453</c:v>
                </c:pt>
                <c:pt idx="164">
                  <c:v>109607532.72592574</c:v>
                </c:pt>
                <c:pt idx="165">
                  <c:v>91542099.27081989</c:v>
                </c:pt>
                <c:pt idx="166">
                  <c:v>92874786.03388609</c:v>
                </c:pt>
                <c:pt idx="167">
                  <c:v>99294331.8342077</c:v>
                </c:pt>
                <c:pt idx="168">
                  <c:v>107913788.60543773</c:v>
                </c:pt>
                <c:pt idx="169">
                  <c:v>99584194.69109073</c:v>
                </c:pt>
                <c:pt idx="170">
                  <c:v>98838094.81801955</c:v>
                </c:pt>
                <c:pt idx="171">
                  <c:v>92071131.3796461</c:v>
                </c:pt>
                <c:pt idx="172">
                  <c:v>95530854.55811223</c:v>
                </c:pt>
                <c:pt idx="173">
                  <c:v>106535593.67033798</c:v>
                </c:pt>
                <c:pt idx="174">
                  <c:v>128072181.29544806</c:v>
                </c:pt>
                <c:pt idx="175">
                  <c:v>135708397.06935012</c:v>
                </c:pt>
                <c:pt idx="176">
                  <c:v>105682194.80664764</c:v>
                </c:pt>
                <c:pt idx="177">
                  <c:v>91818770.75579955</c:v>
                </c:pt>
                <c:pt idx="178">
                  <c:v>91695068.90099233</c:v>
                </c:pt>
                <c:pt idx="179">
                  <c:v>104381043.8513695</c:v>
                </c:pt>
                <c:pt idx="180">
                  <c:v>106408607.67573097</c:v>
                </c:pt>
                <c:pt idx="181">
                  <c:v>91933039.99666771</c:v>
                </c:pt>
                <c:pt idx="182">
                  <c:v>100160850.08638881</c:v>
                </c:pt>
                <c:pt idx="183">
                  <c:v>89161195.87225649</c:v>
                </c:pt>
                <c:pt idx="184">
                  <c:v>91749408.22654861</c:v>
                </c:pt>
                <c:pt idx="185">
                  <c:v>101273771.58628052</c:v>
                </c:pt>
                <c:pt idx="186">
                  <c:v>117726048.6647153</c:v>
                </c:pt>
                <c:pt idx="187">
                  <c:v>112627394.13246004</c:v>
                </c:pt>
                <c:pt idx="188">
                  <c:v>102970942.88329907</c:v>
                </c:pt>
                <c:pt idx="189">
                  <c:v>90891594.66181129</c:v>
                </c:pt>
                <c:pt idx="190">
                  <c:v>99598138.80619138</c:v>
                </c:pt>
                <c:pt idx="191">
                  <c:v>107700223.29477285</c:v>
                </c:pt>
                <c:pt idx="192">
                  <c:v>111133966.93694584</c:v>
                </c:pt>
                <c:pt idx="193">
                  <c:v>96052714.97080131</c:v>
                </c:pt>
                <c:pt idx="194">
                  <c:v>100674994.83969073</c:v>
                </c:pt>
                <c:pt idx="195">
                  <c:v>94871379.14861572</c:v>
                </c:pt>
                <c:pt idx="196">
                  <c:v>96408046.82926665</c:v>
                </c:pt>
                <c:pt idx="197">
                  <c:v>105101249.58552134</c:v>
                </c:pt>
                <c:pt idx="198">
                  <c:v>131245103.95452003</c:v>
                </c:pt>
                <c:pt idx="199">
                  <c:v>128280410.38613768</c:v>
                </c:pt>
                <c:pt idx="200">
                  <c:v>108752473.71093413</c:v>
                </c:pt>
                <c:pt idx="201">
                  <c:v>93872619.63675693</c:v>
                </c:pt>
                <c:pt idx="202">
                  <c:v>99170417.86876132</c:v>
                </c:pt>
                <c:pt idx="203">
                  <c:v>105259128.67145047</c:v>
                </c:pt>
                <c:pt idx="204">
                  <c:v>111454816.69988883</c:v>
                </c:pt>
                <c:pt idx="205">
                  <c:v>100941796.49383058</c:v>
                </c:pt>
                <c:pt idx="206">
                  <c:v>104086121.33867134</c:v>
                </c:pt>
                <c:pt idx="207">
                  <c:v>93027517.46338749</c:v>
                </c:pt>
                <c:pt idx="208">
                  <c:v>93344007.00954002</c:v>
                </c:pt>
                <c:pt idx="209">
                  <c:v>100018714.58841486</c:v>
                </c:pt>
                <c:pt idx="210">
                  <c:v>131219500.36546057</c:v>
                </c:pt>
                <c:pt idx="211">
                  <c:v>120525610.475917</c:v>
                </c:pt>
                <c:pt idx="212">
                  <c:v>100133229.9538758</c:v>
                </c:pt>
                <c:pt idx="213">
                  <c:v>92784004.77091935</c:v>
                </c:pt>
                <c:pt idx="214">
                  <c:v>98961961.25794603</c:v>
                </c:pt>
                <c:pt idx="215">
                  <c:v>105869457.25190988</c:v>
                </c:pt>
              </c:numCache>
            </c:numRef>
          </c:val>
        </c:ser>
        <c:axId val="32177557"/>
        <c:axId val="21162558"/>
      </c:barChart>
      <c:lineChart>
        <c:grouping val="standard"/>
        <c:varyColors val="0"/>
        <c:ser>
          <c:idx val="1"/>
          <c:order val="1"/>
          <c:tx>
            <c:v>Predicted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'Purchased Power Model'!$A$75:$A$314</c:f>
              <c:strCache>
                <c:ptCount val="240"/>
                <c:pt idx="0">
                  <c:v>37275</c:v>
                </c:pt>
                <c:pt idx="1">
                  <c:v>37308</c:v>
                </c:pt>
                <c:pt idx="2">
                  <c:v>37341</c:v>
                </c:pt>
                <c:pt idx="3">
                  <c:v>37374</c:v>
                </c:pt>
                <c:pt idx="4">
                  <c:v>37407</c:v>
                </c:pt>
                <c:pt idx="5">
                  <c:v>37408</c:v>
                </c:pt>
                <c:pt idx="6">
                  <c:v>37440</c:v>
                </c:pt>
                <c:pt idx="7">
                  <c:v>37473</c:v>
                </c:pt>
                <c:pt idx="8">
                  <c:v>37506</c:v>
                </c:pt>
                <c:pt idx="9">
                  <c:v>37539</c:v>
                </c:pt>
                <c:pt idx="10">
                  <c:v>37572</c:v>
                </c:pt>
                <c:pt idx="11">
                  <c:v>37605</c:v>
                </c:pt>
                <c:pt idx="12">
                  <c:v>37622</c:v>
                </c:pt>
                <c:pt idx="13">
                  <c:v>37653</c:v>
                </c:pt>
                <c:pt idx="14">
                  <c:v>37681</c:v>
                </c:pt>
                <c:pt idx="15">
                  <c:v>37712</c:v>
                </c:pt>
                <c:pt idx="16">
                  <c:v>37742</c:v>
                </c:pt>
                <c:pt idx="17">
                  <c:v>37773</c:v>
                </c:pt>
                <c:pt idx="18">
                  <c:v>37803</c:v>
                </c:pt>
                <c:pt idx="19">
                  <c:v>37834</c:v>
                </c:pt>
                <c:pt idx="20">
                  <c:v>37865</c:v>
                </c:pt>
                <c:pt idx="21">
                  <c:v>37895</c:v>
                </c:pt>
                <c:pt idx="22">
                  <c:v>37926</c:v>
                </c:pt>
                <c:pt idx="23">
                  <c:v>37956</c:v>
                </c:pt>
                <c:pt idx="24">
                  <c:v>37987</c:v>
                </c:pt>
                <c:pt idx="25">
                  <c:v>38018</c:v>
                </c:pt>
                <c:pt idx="26">
                  <c:v>38047</c:v>
                </c:pt>
                <c:pt idx="27">
                  <c:v>38078</c:v>
                </c:pt>
                <c:pt idx="28">
                  <c:v>38108</c:v>
                </c:pt>
                <c:pt idx="29">
                  <c:v>38139</c:v>
                </c:pt>
                <c:pt idx="30">
                  <c:v>38169</c:v>
                </c:pt>
                <c:pt idx="31">
                  <c:v>38200</c:v>
                </c:pt>
                <c:pt idx="32">
                  <c:v>38231</c:v>
                </c:pt>
                <c:pt idx="33">
                  <c:v>38261</c:v>
                </c:pt>
                <c:pt idx="34">
                  <c:v>38292</c:v>
                </c:pt>
                <c:pt idx="35">
                  <c:v>38322</c:v>
                </c:pt>
                <c:pt idx="36">
                  <c:v>38353</c:v>
                </c:pt>
                <c:pt idx="37">
                  <c:v>38384</c:v>
                </c:pt>
                <c:pt idx="38">
                  <c:v>38412</c:v>
                </c:pt>
                <c:pt idx="39">
                  <c:v>38443</c:v>
                </c:pt>
                <c:pt idx="40">
                  <c:v>38473</c:v>
                </c:pt>
                <c:pt idx="41">
                  <c:v>38504</c:v>
                </c:pt>
                <c:pt idx="42">
                  <c:v>38534</c:v>
                </c:pt>
                <c:pt idx="43">
                  <c:v>38565</c:v>
                </c:pt>
                <c:pt idx="44">
                  <c:v>38596</c:v>
                </c:pt>
                <c:pt idx="45">
                  <c:v>38626</c:v>
                </c:pt>
                <c:pt idx="46">
                  <c:v>38657</c:v>
                </c:pt>
                <c:pt idx="47">
                  <c:v>38687</c:v>
                </c:pt>
                <c:pt idx="48">
                  <c:v>38718</c:v>
                </c:pt>
                <c:pt idx="49">
                  <c:v>38749</c:v>
                </c:pt>
                <c:pt idx="50">
                  <c:v>38777</c:v>
                </c:pt>
                <c:pt idx="51">
                  <c:v>38808</c:v>
                </c:pt>
                <c:pt idx="52">
                  <c:v>38838</c:v>
                </c:pt>
                <c:pt idx="53">
                  <c:v>38869</c:v>
                </c:pt>
                <c:pt idx="54">
                  <c:v>38899</c:v>
                </c:pt>
                <c:pt idx="55">
                  <c:v>38930</c:v>
                </c:pt>
                <c:pt idx="56">
                  <c:v>38961</c:v>
                </c:pt>
                <c:pt idx="57">
                  <c:v>38991</c:v>
                </c:pt>
                <c:pt idx="58">
                  <c:v>39022</c:v>
                </c:pt>
                <c:pt idx="59">
                  <c:v>39052</c:v>
                </c:pt>
                <c:pt idx="60">
                  <c:v>39083</c:v>
                </c:pt>
                <c:pt idx="61">
                  <c:v>39114</c:v>
                </c:pt>
                <c:pt idx="62">
                  <c:v>39142</c:v>
                </c:pt>
                <c:pt idx="63">
                  <c:v>39173</c:v>
                </c:pt>
                <c:pt idx="64">
                  <c:v>39203</c:v>
                </c:pt>
                <c:pt idx="65">
                  <c:v>39234</c:v>
                </c:pt>
                <c:pt idx="66">
                  <c:v>39264</c:v>
                </c:pt>
                <c:pt idx="67">
                  <c:v>39295</c:v>
                </c:pt>
                <c:pt idx="68">
                  <c:v>39326</c:v>
                </c:pt>
                <c:pt idx="69">
                  <c:v>39356</c:v>
                </c:pt>
                <c:pt idx="70">
                  <c:v>39387</c:v>
                </c:pt>
                <c:pt idx="71">
                  <c:v>39417</c:v>
                </c:pt>
                <c:pt idx="72">
                  <c:v>39448</c:v>
                </c:pt>
                <c:pt idx="73">
                  <c:v>39479</c:v>
                </c:pt>
                <c:pt idx="74">
                  <c:v>39508</c:v>
                </c:pt>
                <c:pt idx="75">
                  <c:v>39539</c:v>
                </c:pt>
                <c:pt idx="76">
                  <c:v>39569</c:v>
                </c:pt>
                <c:pt idx="77">
                  <c:v>39600</c:v>
                </c:pt>
                <c:pt idx="78">
                  <c:v>39630</c:v>
                </c:pt>
                <c:pt idx="79">
                  <c:v>39661</c:v>
                </c:pt>
                <c:pt idx="80">
                  <c:v>39692</c:v>
                </c:pt>
                <c:pt idx="81">
                  <c:v>39722</c:v>
                </c:pt>
                <c:pt idx="82">
                  <c:v>39753</c:v>
                </c:pt>
                <c:pt idx="83">
                  <c:v>39783</c:v>
                </c:pt>
                <c:pt idx="84">
                  <c:v>39814</c:v>
                </c:pt>
                <c:pt idx="85">
                  <c:v>39845</c:v>
                </c:pt>
                <c:pt idx="86">
                  <c:v>39873</c:v>
                </c:pt>
                <c:pt idx="87">
                  <c:v>39904</c:v>
                </c:pt>
                <c:pt idx="88">
                  <c:v>39934</c:v>
                </c:pt>
                <c:pt idx="89">
                  <c:v>39965</c:v>
                </c:pt>
                <c:pt idx="90">
                  <c:v>39995</c:v>
                </c:pt>
                <c:pt idx="91">
                  <c:v>40026</c:v>
                </c:pt>
                <c:pt idx="92">
                  <c:v>40057</c:v>
                </c:pt>
                <c:pt idx="93">
                  <c:v>40087</c:v>
                </c:pt>
                <c:pt idx="94">
                  <c:v>40118</c:v>
                </c:pt>
                <c:pt idx="95">
                  <c:v>40148</c:v>
                </c:pt>
                <c:pt idx="96">
                  <c:v>40179</c:v>
                </c:pt>
                <c:pt idx="97">
                  <c:v>40210</c:v>
                </c:pt>
                <c:pt idx="98">
                  <c:v>40238</c:v>
                </c:pt>
                <c:pt idx="99">
                  <c:v>40269</c:v>
                </c:pt>
                <c:pt idx="100">
                  <c:v>40299</c:v>
                </c:pt>
                <c:pt idx="101">
                  <c:v>40330</c:v>
                </c:pt>
                <c:pt idx="102">
                  <c:v>40360</c:v>
                </c:pt>
                <c:pt idx="103">
                  <c:v>40391</c:v>
                </c:pt>
                <c:pt idx="104">
                  <c:v>40422</c:v>
                </c:pt>
                <c:pt idx="105">
                  <c:v>40452</c:v>
                </c:pt>
                <c:pt idx="106">
                  <c:v>40483</c:v>
                </c:pt>
                <c:pt idx="107">
                  <c:v>40513</c:v>
                </c:pt>
                <c:pt idx="108">
                  <c:v>40544</c:v>
                </c:pt>
                <c:pt idx="109">
                  <c:v>40575</c:v>
                </c:pt>
                <c:pt idx="110">
                  <c:v>40603</c:v>
                </c:pt>
                <c:pt idx="111">
                  <c:v>40634</c:v>
                </c:pt>
                <c:pt idx="112">
                  <c:v>40664</c:v>
                </c:pt>
                <c:pt idx="113">
                  <c:v>40695</c:v>
                </c:pt>
                <c:pt idx="114">
                  <c:v>40725</c:v>
                </c:pt>
                <c:pt idx="115">
                  <c:v>40756</c:v>
                </c:pt>
                <c:pt idx="116">
                  <c:v>40787</c:v>
                </c:pt>
                <c:pt idx="117">
                  <c:v>40817</c:v>
                </c:pt>
                <c:pt idx="118">
                  <c:v>40848</c:v>
                </c:pt>
                <c:pt idx="119">
                  <c:v>40878</c:v>
                </c:pt>
                <c:pt idx="120">
                  <c:v>40909</c:v>
                </c:pt>
                <c:pt idx="121">
                  <c:v>40940</c:v>
                </c:pt>
                <c:pt idx="122">
                  <c:v>40969</c:v>
                </c:pt>
                <c:pt idx="123">
                  <c:v>41000</c:v>
                </c:pt>
                <c:pt idx="124">
                  <c:v>41030</c:v>
                </c:pt>
                <c:pt idx="125">
                  <c:v>41061</c:v>
                </c:pt>
                <c:pt idx="126">
                  <c:v>41091</c:v>
                </c:pt>
                <c:pt idx="127">
                  <c:v>41122</c:v>
                </c:pt>
                <c:pt idx="128">
                  <c:v>41153</c:v>
                </c:pt>
                <c:pt idx="129">
                  <c:v>41183</c:v>
                </c:pt>
                <c:pt idx="130">
                  <c:v>41214</c:v>
                </c:pt>
                <c:pt idx="131">
                  <c:v>41244</c:v>
                </c:pt>
                <c:pt idx="132">
                  <c:v>41275</c:v>
                </c:pt>
                <c:pt idx="133">
                  <c:v>41306</c:v>
                </c:pt>
                <c:pt idx="134">
                  <c:v>41334</c:v>
                </c:pt>
                <c:pt idx="135">
                  <c:v>41365</c:v>
                </c:pt>
                <c:pt idx="136">
                  <c:v>41395</c:v>
                </c:pt>
                <c:pt idx="137">
                  <c:v>41426</c:v>
                </c:pt>
                <c:pt idx="138">
                  <c:v>41456</c:v>
                </c:pt>
                <c:pt idx="139">
                  <c:v>41487</c:v>
                </c:pt>
                <c:pt idx="140">
                  <c:v>41518</c:v>
                </c:pt>
                <c:pt idx="141">
                  <c:v>41548</c:v>
                </c:pt>
                <c:pt idx="142">
                  <c:v>41579</c:v>
                </c:pt>
                <c:pt idx="143">
                  <c:v>41609</c:v>
                </c:pt>
                <c:pt idx="144">
                  <c:v>41640</c:v>
                </c:pt>
                <c:pt idx="145">
                  <c:v>41671</c:v>
                </c:pt>
                <c:pt idx="146">
                  <c:v>41699</c:v>
                </c:pt>
                <c:pt idx="147">
                  <c:v>41730</c:v>
                </c:pt>
                <c:pt idx="148">
                  <c:v>41760</c:v>
                </c:pt>
                <c:pt idx="149">
                  <c:v>41791</c:v>
                </c:pt>
                <c:pt idx="150">
                  <c:v>41821</c:v>
                </c:pt>
                <c:pt idx="151">
                  <c:v>41852</c:v>
                </c:pt>
                <c:pt idx="152">
                  <c:v>41883</c:v>
                </c:pt>
                <c:pt idx="153">
                  <c:v>41913</c:v>
                </c:pt>
                <c:pt idx="154">
                  <c:v>41944</c:v>
                </c:pt>
                <c:pt idx="155">
                  <c:v>41974</c:v>
                </c:pt>
                <c:pt idx="156">
                  <c:v>42005</c:v>
                </c:pt>
                <c:pt idx="157">
                  <c:v>42036</c:v>
                </c:pt>
                <c:pt idx="158">
                  <c:v>42064</c:v>
                </c:pt>
                <c:pt idx="159">
                  <c:v>42095</c:v>
                </c:pt>
                <c:pt idx="160">
                  <c:v>42125</c:v>
                </c:pt>
                <c:pt idx="161">
                  <c:v>42156</c:v>
                </c:pt>
                <c:pt idx="162">
                  <c:v>42186</c:v>
                </c:pt>
                <c:pt idx="163">
                  <c:v>42217</c:v>
                </c:pt>
                <c:pt idx="164">
                  <c:v>42248</c:v>
                </c:pt>
                <c:pt idx="165">
                  <c:v>42278</c:v>
                </c:pt>
                <c:pt idx="166">
                  <c:v>42309</c:v>
                </c:pt>
                <c:pt idx="167">
                  <c:v>42339</c:v>
                </c:pt>
                <c:pt idx="168">
                  <c:v>42370</c:v>
                </c:pt>
                <c:pt idx="169">
                  <c:v>42401</c:v>
                </c:pt>
                <c:pt idx="170">
                  <c:v>42430</c:v>
                </c:pt>
                <c:pt idx="171">
                  <c:v>42461</c:v>
                </c:pt>
                <c:pt idx="172">
                  <c:v>42491</c:v>
                </c:pt>
                <c:pt idx="173">
                  <c:v>42522</c:v>
                </c:pt>
                <c:pt idx="174">
                  <c:v>42552</c:v>
                </c:pt>
                <c:pt idx="175">
                  <c:v>42583</c:v>
                </c:pt>
                <c:pt idx="176">
                  <c:v>42614</c:v>
                </c:pt>
                <c:pt idx="177">
                  <c:v>42644</c:v>
                </c:pt>
                <c:pt idx="178">
                  <c:v>42675</c:v>
                </c:pt>
                <c:pt idx="179">
                  <c:v>42705</c:v>
                </c:pt>
                <c:pt idx="180">
                  <c:v>42736</c:v>
                </c:pt>
                <c:pt idx="181">
                  <c:v>42767</c:v>
                </c:pt>
                <c:pt idx="182">
                  <c:v>42795</c:v>
                </c:pt>
                <c:pt idx="183">
                  <c:v>42826</c:v>
                </c:pt>
                <c:pt idx="184">
                  <c:v>42856</c:v>
                </c:pt>
                <c:pt idx="185">
                  <c:v>42887</c:v>
                </c:pt>
                <c:pt idx="186">
                  <c:v>42917</c:v>
                </c:pt>
                <c:pt idx="187">
                  <c:v>42948</c:v>
                </c:pt>
                <c:pt idx="188">
                  <c:v>42979</c:v>
                </c:pt>
                <c:pt idx="189">
                  <c:v>43009</c:v>
                </c:pt>
                <c:pt idx="190">
                  <c:v>43040</c:v>
                </c:pt>
                <c:pt idx="191">
                  <c:v>43070</c:v>
                </c:pt>
                <c:pt idx="192">
                  <c:v>43101</c:v>
                </c:pt>
                <c:pt idx="193">
                  <c:v>43132</c:v>
                </c:pt>
                <c:pt idx="194">
                  <c:v>43160</c:v>
                </c:pt>
                <c:pt idx="195">
                  <c:v>43191</c:v>
                </c:pt>
                <c:pt idx="196">
                  <c:v>43221</c:v>
                </c:pt>
                <c:pt idx="197">
                  <c:v>43252</c:v>
                </c:pt>
                <c:pt idx="198">
                  <c:v>43282</c:v>
                </c:pt>
                <c:pt idx="199">
                  <c:v>43313</c:v>
                </c:pt>
                <c:pt idx="200">
                  <c:v>43344</c:v>
                </c:pt>
                <c:pt idx="201">
                  <c:v>43374</c:v>
                </c:pt>
                <c:pt idx="202">
                  <c:v>43405</c:v>
                </c:pt>
                <c:pt idx="203">
                  <c:v>43435</c:v>
                </c:pt>
                <c:pt idx="204">
                  <c:v>43466</c:v>
                </c:pt>
                <c:pt idx="205">
                  <c:v>43497</c:v>
                </c:pt>
                <c:pt idx="206">
                  <c:v>43525</c:v>
                </c:pt>
                <c:pt idx="207">
                  <c:v>43556</c:v>
                </c:pt>
                <c:pt idx="208">
                  <c:v>43586</c:v>
                </c:pt>
                <c:pt idx="209">
                  <c:v>43617</c:v>
                </c:pt>
                <c:pt idx="210">
                  <c:v>43647</c:v>
                </c:pt>
                <c:pt idx="211">
                  <c:v>43678</c:v>
                </c:pt>
                <c:pt idx="212">
                  <c:v>43709</c:v>
                </c:pt>
                <c:pt idx="213">
                  <c:v>43739</c:v>
                </c:pt>
                <c:pt idx="214">
                  <c:v>43770</c:v>
                </c:pt>
                <c:pt idx="215">
                  <c:v>43800</c:v>
                </c:pt>
                <c:pt idx="216">
                  <c:v>43831</c:v>
                </c:pt>
                <c:pt idx="217">
                  <c:v>43862</c:v>
                </c:pt>
                <c:pt idx="218">
                  <c:v>43891</c:v>
                </c:pt>
                <c:pt idx="219">
                  <c:v>43922</c:v>
                </c:pt>
                <c:pt idx="220">
                  <c:v>43952</c:v>
                </c:pt>
                <c:pt idx="221">
                  <c:v>43983</c:v>
                </c:pt>
                <c:pt idx="222">
                  <c:v>44013</c:v>
                </c:pt>
                <c:pt idx="223">
                  <c:v>44044</c:v>
                </c:pt>
                <c:pt idx="224">
                  <c:v>44075</c:v>
                </c:pt>
                <c:pt idx="225">
                  <c:v>44105</c:v>
                </c:pt>
                <c:pt idx="226">
                  <c:v>44136</c:v>
                </c:pt>
                <c:pt idx="227">
                  <c:v>44166</c:v>
                </c:pt>
                <c:pt idx="228">
                  <c:v>44197</c:v>
                </c:pt>
                <c:pt idx="229">
                  <c:v>44228</c:v>
                </c:pt>
                <c:pt idx="230">
                  <c:v>44256</c:v>
                </c:pt>
                <c:pt idx="231">
                  <c:v>44287</c:v>
                </c:pt>
                <c:pt idx="232">
                  <c:v>44317</c:v>
                </c:pt>
                <c:pt idx="233">
                  <c:v>44348</c:v>
                </c:pt>
                <c:pt idx="234">
                  <c:v>44378</c:v>
                </c:pt>
                <c:pt idx="235">
                  <c:v>44409</c:v>
                </c:pt>
                <c:pt idx="236">
                  <c:v>44440</c:v>
                </c:pt>
                <c:pt idx="237">
                  <c:v>44470</c:v>
                </c:pt>
                <c:pt idx="238">
                  <c:v>44501</c:v>
                </c:pt>
                <c:pt idx="239">
                  <c:v>44531</c:v>
                </c:pt>
              </c:strCache>
            </c:strRef>
          </c:cat>
          <c:val>
            <c:numRef>
              <c:f>'Purchased Power Model'!$O$75:$O$314</c:f>
              <c:numCache>
                <c:ptCount val="240"/>
                <c:pt idx="0">
                  <c:v>97603664.64146474</c:v>
                </c:pt>
                <c:pt idx="1">
                  <c:v>88835770.34732112</c:v>
                </c:pt>
                <c:pt idx="2">
                  <c:v>92776111.61873136</c:v>
                </c:pt>
                <c:pt idx="3">
                  <c:v>85426733.2786949</c:v>
                </c:pt>
                <c:pt idx="4">
                  <c:v>86644232.92355259</c:v>
                </c:pt>
                <c:pt idx="5">
                  <c:v>95218363.90847203</c:v>
                </c:pt>
                <c:pt idx="6">
                  <c:v>125076816.21367316</c:v>
                </c:pt>
                <c:pt idx="7">
                  <c:v>117850981.1021003</c:v>
                </c:pt>
                <c:pt idx="8">
                  <c:v>97963092.8486663</c:v>
                </c:pt>
                <c:pt idx="9">
                  <c:v>89914335.95309174</c:v>
                </c:pt>
                <c:pt idx="10">
                  <c:v>88735939.80024035</c:v>
                </c:pt>
                <c:pt idx="11">
                  <c:v>101120863.66701928</c:v>
                </c:pt>
                <c:pt idx="12">
                  <c:v>104733435.39449382</c:v>
                </c:pt>
                <c:pt idx="13">
                  <c:v>94810571.29397216</c:v>
                </c:pt>
                <c:pt idx="14">
                  <c:v>96240576.9890833</c:v>
                </c:pt>
                <c:pt idx="15">
                  <c:v>90044279.24796914</c:v>
                </c:pt>
                <c:pt idx="16">
                  <c:v>88897993.79015273</c:v>
                </c:pt>
                <c:pt idx="17">
                  <c:v>96393832.08939803</c:v>
                </c:pt>
                <c:pt idx="18">
                  <c:v>109827742.36148973</c:v>
                </c:pt>
                <c:pt idx="19">
                  <c:v>117757681.15289102</c:v>
                </c:pt>
                <c:pt idx="20">
                  <c:v>87323649.08239312</c:v>
                </c:pt>
                <c:pt idx="21">
                  <c:v>89954940.61145079</c:v>
                </c:pt>
                <c:pt idx="22">
                  <c:v>89948637.62753041</c:v>
                </c:pt>
                <c:pt idx="23">
                  <c:v>101672121.61502205</c:v>
                </c:pt>
                <c:pt idx="24">
                  <c:v>107782944.47373384</c:v>
                </c:pt>
                <c:pt idx="25">
                  <c:v>98410876.14263602</c:v>
                </c:pt>
                <c:pt idx="26">
                  <c:v>96684754.2299363</c:v>
                </c:pt>
                <c:pt idx="27">
                  <c:v>90694675.64154866</c:v>
                </c:pt>
                <c:pt idx="28">
                  <c:v>89746284.47054502</c:v>
                </c:pt>
                <c:pt idx="29">
                  <c:v>94231918.81352714</c:v>
                </c:pt>
                <c:pt idx="30">
                  <c:v>106872523.77250387</c:v>
                </c:pt>
                <c:pt idx="31">
                  <c:v>108247845.03511052</c:v>
                </c:pt>
                <c:pt idx="32">
                  <c:v>97179968.77508923</c:v>
                </c:pt>
                <c:pt idx="33">
                  <c:v>91764711.29773633</c:v>
                </c:pt>
                <c:pt idx="34">
                  <c:v>92309735.69210562</c:v>
                </c:pt>
                <c:pt idx="35">
                  <c:v>105647536.61305994</c:v>
                </c:pt>
                <c:pt idx="36">
                  <c:v>108984105.71170229</c:v>
                </c:pt>
                <c:pt idx="37">
                  <c:v>98407111.57552262</c:v>
                </c:pt>
                <c:pt idx="38">
                  <c:v>101672735.22537424</c:v>
                </c:pt>
                <c:pt idx="39">
                  <c:v>93538147.48905732</c:v>
                </c:pt>
                <c:pt idx="40">
                  <c:v>93269884.60505886</c:v>
                </c:pt>
                <c:pt idx="41">
                  <c:v>112647772.85005929</c:v>
                </c:pt>
                <c:pt idx="42">
                  <c:v>130747435.18798542</c:v>
                </c:pt>
                <c:pt idx="43">
                  <c:v>127345851.89066726</c:v>
                </c:pt>
                <c:pt idx="44">
                  <c:v>102003965.90108486</c:v>
                </c:pt>
                <c:pt idx="45">
                  <c:v>97174573.79781748</c:v>
                </c:pt>
                <c:pt idx="46">
                  <c:v>95728817.88839538</c:v>
                </c:pt>
                <c:pt idx="47">
                  <c:v>110203773.87443286</c:v>
                </c:pt>
                <c:pt idx="48">
                  <c:v>107357385.6322808</c:v>
                </c:pt>
                <c:pt idx="49">
                  <c:v>100482764.93375264</c:v>
                </c:pt>
                <c:pt idx="50">
                  <c:v>101908985.67576334</c:v>
                </c:pt>
                <c:pt idx="51">
                  <c:v>94613806.72541684</c:v>
                </c:pt>
                <c:pt idx="52">
                  <c:v>99405717.52029923</c:v>
                </c:pt>
                <c:pt idx="53">
                  <c:v>106205378.43206474</c:v>
                </c:pt>
                <c:pt idx="54">
                  <c:v>129266321.07280113</c:v>
                </c:pt>
                <c:pt idx="55">
                  <c:v>116549328.93159042</c:v>
                </c:pt>
                <c:pt idx="56">
                  <c:v>92471654.79754901</c:v>
                </c:pt>
                <c:pt idx="57">
                  <c:v>96515701.9205783</c:v>
                </c:pt>
                <c:pt idx="58">
                  <c:v>96492799.2421257</c:v>
                </c:pt>
                <c:pt idx="59">
                  <c:v>106719631.6313867</c:v>
                </c:pt>
                <c:pt idx="60">
                  <c:v>110021655.28588508</c:v>
                </c:pt>
                <c:pt idx="61">
                  <c:v>103950099.96024266</c:v>
                </c:pt>
                <c:pt idx="62">
                  <c:v>103679816.59365427</c:v>
                </c:pt>
                <c:pt idx="63">
                  <c:v>97263819.57211298</c:v>
                </c:pt>
                <c:pt idx="64">
                  <c:v>97755196.87730177</c:v>
                </c:pt>
                <c:pt idx="65">
                  <c:v>110272623.38171062</c:v>
                </c:pt>
                <c:pt idx="66">
                  <c:v>118303843.63639137</c:v>
                </c:pt>
                <c:pt idx="67">
                  <c:v>125343181.34297721</c:v>
                </c:pt>
                <c:pt idx="68">
                  <c:v>100204827.64063156</c:v>
                </c:pt>
                <c:pt idx="69">
                  <c:v>98041030.92792633</c:v>
                </c:pt>
                <c:pt idx="70">
                  <c:v>98124941.72462621</c:v>
                </c:pt>
                <c:pt idx="71">
                  <c:v>110208194.40578744</c:v>
                </c:pt>
                <c:pt idx="72">
                  <c:v>110061170.2969209</c:v>
                </c:pt>
                <c:pt idx="73">
                  <c:v>105568825.89020468</c:v>
                </c:pt>
                <c:pt idx="74">
                  <c:v>104754545.5029873</c:v>
                </c:pt>
                <c:pt idx="75">
                  <c:v>96023882.93855846</c:v>
                </c:pt>
                <c:pt idx="76">
                  <c:v>95967362.8683033</c:v>
                </c:pt>
                <c:pt idx="77">
                  <c:v>106894294.62972808</c:v>
                </c:pt>
                <c:pt idx="78">
                  <c:v>119593978.44985697</c:v>
                </c:pt>
                <c:pt idx="79">
                  <c:v>113616634.09252451</c:v>
                </c:pt>
                <c:pt idx="80">
                  <c:v>97441355.99373972</c:v>
                </c:pt>
                <c:pt idx="81">
                  <c:v>96244393.783442</c:v>
                </c:pt>
                <c:pt idx="82">
                  <c:v>98690050.19774494</c:v>
                </c:pt>
                <c:pt idx="83">
                  <c:v>111130082.91151533</c:v>
                </c:pt>
                <c:pt idx="84">
                  <c:v>113450722.55623862</c:v>
                </c:pt>
                <c:pt idx="85">
                  <c:v>100561362.14273721</c:v>
                </c:pt>
                <c:pt idx="86">
                  <c:v>102830699.32084249</c:v>
                </c:pt>
                <c:pt idx="87">
                  <c:v>95155861.16633576</c:v>
                </c:pt>
                <c:pt idx="88">
                  <c:v>94438859.93865699</c:v>
                </c:pt>
                <c:pt idx="89">
                  <c:v>100214665.07988475</c:v>
                </c:pt>
                <c:pt idx="90">
                  <c:v>105905042.96929216</c:v>
                </c:pt>
                <c:pt idx="91">
                  <c:v>118400635.72920346</c:v>
                </c:pt>
                <c:pt idx="92">
                  <c:v>93327097.25279525</c:v>
                </c:pt>
                <c:pt idx="93">
                  <c:v>94656494.62038231</c:v>
                </c:pt>
                <c:pt idx="94">
                  <c:v>93692190.25064775</c:v>
                </c:pt>
                <c:pt idx="95">
                  <c:v>107185346.46429144</c:v>
                </c:pt>
                <c:pt idx="96">
                  <c:v>109371256.17179047</c:v>
                </c:pt>
                <c:pt idx="97">
                  <c:v>98952070.79445106</c:v>
                </c:pt>
                <c:pt idx="98">
                  <c:v>99438877.36831395</c:v>
                </c:pt>
                <c:pt idx="99">
                  <c:v>92454068.99056208</c:v>
                </c:pt>
                <c:pt idx="100">
                  <c:v>96835148.33552285</c:v>
                </c:pt>
                <c:pt idx="101">
                  <c:v>104177177.623109</c:v>
                </c:pt>
                <c:pt idx="102">
                  <c:v>129954780.62556235</c:v>
                </c:pt>
                <c:pt idx="103">
                  <c:v>124211856.5827511</c:v>
                </c:pt>
                <c:pt idx="104">
                  <c:v>96582273.44592066</c:v>
                </c:pt>
                <c:pt idx="105">
                  <c:v>95362010.83659059</c:v>
                </c:pt>
                <c:pt idx="106">
                  <c:v>95884446.20421955</c:v>
                </c:pt>
                <c:pt idx="107">
                  <c:v>109861626.41908112</c:v>
                </c:pt>
                <c:pt idx="108">
                  <c:v>111749632.5958758</c:v>
                </c:pt>
                <c:pt idx="109">
                  <c:v>101219397.55575052</c:v>
                </c:pt>
                <c:pt idx="110">
                  <c:v>103122396.33076033</c:v>
                </c:pt>
                <c:pt idx="111">
                  <c:v>95889037.41501318</c:v>
                </c:pt>
                <c:pt idx="112">
                  <c:v>95582811.92284368</c:v>
                </c:pt>
                <c:pt idx="113">
                  <c:v>101398210.64104456</c:v>
                </c:pt>
                <c:pt idx="114">
                  <c:v>135163218.25796863</c:v>
                </c:pt>
                <c:pt idx="115">
                  <c:v>124830315.38867168</c:v>
                </c:pt>
                <c:pt idx="116">
                  <c:v>96199013.5780038</c:v>
                </c:pt>
                <c:pt idx="117">
                  <c:v>95474646.4106662</c:v>
                </c:pt>
                <c:pt idx="118">
                  <c:v>94367933.27745616</c:v>
                </c:pt>
                <c:pt idx="119">
                  <c:v>106323783.81322974</c:v>
                </c:pt>
                <c:pt idx="120">
                  <c:v>108511723.03126246</c:v>
                </c:pt>
                <c:pt idx="121">
                  <c:v>101323283.14244506</c:v>
                </c:pt>
                <c:pt idx="122">
                  <c:v>98935012.6297459</c:v>
                </c:pt>
                <c:pt idx="123">
                  <c:v>94476602.50900568</c:v>
                </c:pt>
                <c:pt idx="124">
                  <c:v>96863738.83846967</c:v>
                </c:pt>
                <c:pt idx="125">
                  <c:v>114010245.87221877</c:v>
                </c:pt>
                <c:pt idx="126">
                  <c:v>136160917.90547282</c:v>
                </c:pt>
                <c:pt idx="127">
                  <c:v>124947404.49168098</c:v>
                </c:pt>
                <c:pt idx="128">
                  <c:v>98193321.10200404</c:v>
                </c:pt>
                <c:pt idx="129">
                  <c:v>94899607.48809794</c:v>
                </c:pt>
                <c:pt idx="130">
                  <c:v>96304814.40085734</c:v>
                </c:pt>
                <c:pt idx="131">
                  <c:v>105842500.31971246</c:v>
                </c:pt>
                <c:pt idx="132">
                  <c:v>108207866.85906246</c:v>
                </c:pt>
                <c:pt idx="133">
                  <c:v>100445854.97739165</c:v>
                </c:pt>
                <c:pt idx="134">
                  <c:v>102300764.34183522</c:v>
                </c:pt>
                <c:pt idx="135">
                  <c:v>95576685.63467416</c:v>
                </c:pt>
                <c:pt idx="136">
                  <c:v>96658975.13120845</c:v>
                </c:pt>
                <c:pt idx="137">
                  <c:v>103013819.68367198</c:v>
                </c:pt>
                <c:pt idx="138">
                  <c:v>123489865.92316869</c:v>
                </c:pt>
                <c:pt idx="139">
                  <c:v>116781224.19514138</c:v>
                </c:pt>
                <c:pt idx="140">
                  <c:v>95862871.69360289</c:v>
                </c:pt>
                <c:pt idx="141">
                  <c:v>95290750.66807583</c:v>
                </c:pt>
                <c:pt idx="142">
                  <c:v>97873446.352694</c:v>
                </c:pt>
                <c:pt idx="143">
                  <c:v>110159334.88472754</c:v>
                </c:pt>
                <c:pt idx="144">
                  <c:v>113311433.20407566</c:v>
                </c:pt>
                <c:pt idx="145">
                  <c:v>103330776.82996942</c:v>
                </c:pt>
                <c:pt idx="146">
                  <c:v>106269518.07977426</c:v>
                </c:pt>
                <c:pt idx="147">
                  <c:v>96762059.14271063</c:v>
                </c:pt>
                <c:pt idx="148">
                  <c:v>95646725.85373259</c:v>
                </c:pt>
                <c:pt idx="149">
                  <c:v>101628968.94806015</c:v>
                </c:pt>
                <c:pt idx="150">
                  <c:v>111631823.84267196</c:v>
                </c:pt>
                <c:pt idx="151">
                  <c:v>113380174.56204274</c:v>
                </c:pt>
                <c:pt idx="152">
                  <c:v>97922697.37602322</c:v>
                </c:pt>
                <c:pt idx="153">
                  <c:v>96415272.76476574</c:v>
                </c:pt>
                <c:pt idx="154">
                  <c:v>98560100.52139346</c:v>
                </c:pt>
                <c:pt idx="155">
                  <c:v>108491071.37216786</c:v>
                </c:pt>
                <c:pt idx="156">
                  <c:v>112991875.84592134</c:v>
                </c:pt>
                <c:pt idx="157">
                  <c:v>106809159.96588753</c:v>
                </c:pt>
                <c:pt idx="158">
                  <c:v>105505723.56917338</c:v>
                </c:pt>
                <c:pt idx="159">
                  <c:v>96090950.18195939</c:v>
                </c:pt>
                <c:pt idx="160">
                  <c:v>95917004.55694571</c:v>
                </c:pt>
                <c:pt idx="161">
                  <c:v>98292261.00782704</c:v>
                </c:pt>
                <c:pt idx="162">
                  <c:v>120203637.39213495</c:v>
                </c:pt>
                <c:pt idx="163">
                  <c:v>116669221.34148741</c:v>
                </c:pt>
                <c:pt idx="164">
                  <c:v>105236621.56173226</c:v>
                </c:pt>
                <c:pt idx="165">
                  <c:v>95235607.62582192</c:v>
                </c:pt>
                <c:pt idx="166">
                  <c:v>94515441.57840382</c:v>
                </c:pt>
                <c:pt idx="167">
                  <c:v>104190532.47734559</c:v>
                </c:pt>
                <c:pt idx="168">
                  <c:v>109607022.41021383</c:v>
                </c:pt>
                <c:pt idx="169">
                  <c:v>102663118.7069112</c:v>
                </c:pt>
                <c:pt idx="170">
                  <c:v>100784319.10178204</c:v>
                </c:pt>
                <c:pt idx="171">
                  <c:v>95541398.43798067</c:v>
                </c:pt>
                <c:pt idx="172">
                  <c:v>99883507.74146193</c:v>
                </c:pt>
                <c:pt idx="173">
                  <c:v>105779520.48902178</c:v>
                </c:pt>
                <c:pt idx="174">
                  <c:v>128361863.39382553</c:v>
                </c:pt>
                <c:pt idx="175">
                  <c:v>134846162.61070484</c:v>
                </c:pt>
                <c:pt idx="176">
                  <c:v>105086671.3231421</c:v>
                </c:pt>
                <c:pt idx="177">
                  <c:v>95092726.74827681</c:v>
                </c:pt>
                <c:pt idx="178">
                  <c:v>93083624.55925786</c:v>
                </c:pt>
                <c:pt idx="179">
                  <c:v>107211610.9320749</c:v>
                </c:pt>
                <c:pt idx="180">
                  <c:v>107298825.2223656</c:v>
                </c:pt>
                <c:pt idx="181">
                  <c:v>96603076.5616193</c:v>
                </c:pt>
                <c:pt idx="182">
                  <c:v>101602524.44307351</c:v>
                </c:pt>
                <c:pt idx="183">
                  <c:v>92504533.94876088</c:v>
                </c:pt>
                <c:pt idx="184">
                  <c:v>93388254.03335549</c:v>
                </c:pt>
                <c:pt idx="185">
                  <c:v>103883725.6539636</c:v>
                </c:pt>
                <c:pt idx="186">
                  <c:v>115725018.33349475</c:v>
                </c:pt>
                <c:pt idx="187">
                  <c:v>113630001.7183108</c:v>
                </c:pt>
                <c:pt idx="188">
                  <c:v>97861995.95170107</c:v>
                </c:pt>
                <c:pt idx="189">
                  <c:v>93007611.06865017</c:v>
                </c:pt>
                <c:pt idx="190">
                  <c:v>94202764.11861263</c:v>
                </c:pt>
                <c:pt idx="191">
                  <c:v>107435632.53707822</c:v>
                </c:pt>
                <c:pt idx="192">
                  <c:v>108266412.9271847</c:v>
                </c:pt>
                <c:pt idx="193">
                  <c:v>96632300.01771091</c:v>
                </c:pt>
                <c:pt idx="194">
                  <c:v>100397511.23146032</c:v>
                </c:pt>
                <c:pt idx="195">
                  <c:v>95718779.87604287</c:v>
                </c:pt>
                <c:pt idx="196">
                  <c:v>93877233.39845194</c:v>
                </c:pt>
                <c:pt idx="197">
                  <c:v>100615395.08503313</c:v>
                </c:pt>
                <c:pt idx="198">
                  <c:v>130425858.83912265</c:v>
                </c:pt>
                <c:pt idx="199">
                  <c:v>130453942.76792982</c:v>
                </c:pt>
                <c:pt idx="200">
                  <c:v>102138623.4350182</c:v>
                </c:pt>
                <c:pt idx="201">
                  <c:v>95307109.24747424</c:v>
                </c:pt>
                <c:pt idx="202">
                  <c:v>96346039.94040574</c:v>
                </c:pt>
                <c:pt idx="203">
                  <c:v>105648672.38795403</c:v>
                </c:pt>
                <c:pt idx="204">
                  <c:v>109823678.85901794</c:v>
                </c:pt>
                <c:pt idx="205">
                  <c:v>99107883.73216462</c:v>
                </c:pt>
                <c:pt idx="206">
                  <c:v>102180688.1903674</c:v>
                </c:pt>
                <c:pt idx="207">
                  <c:v>94995029.60119386</c:v>
                </c:pt>
                <c:pt idx="208">
                  <c:v>94936628.6600884</c:v>
                </c:pt>
                <c:pt idx="209">
                  <c:v>99484746.34164551</c:v>
                </c:pt>
                <c:pt idx="210">
                  <c:v>126420186.48837842</c:v>
                </c:pt>
                <c:pt idx="211">
                  <c:v>117795424.55708107</c:v>
                </c:pt>
                <c:pt idx="212">
                  <c:v>97432835.55381058</c:v>
                </c:pt>
                <c:pt idx="213">
                  <c:v>94924904.18267182</c:v>
                </c:pt>
                <c:pt idx="214">
                  <c:v>98561429.43546195</c:v>
                </c:pt>
                <c:pt idx="215">
                  <c:v>108170991.8455033</c:v>
                </c:pt>
                <c:pt idx="216">
                  <c:v>111346625.76872057</c:v>
                </c:pt>
                <c:pt idx="217">
                  <c:v>104549274.10904533</c:v>
                </c:pt>
                <c:pt idx="218">
                  <c:v>103997054.14784488</c:v>
                </c:pt>
                <c:pt idx="219">
                  <c:v>97199568.97459292</c:v>
                </c:pt>
                <c:pt idx="220">
                  <c:v>98412991.02959703</c:v>
                </c:pt>
                <c:pt idx="221">
                  <c:v>105937729.09853488</c:v>
                </c:pt>
                <c:pt idx="222">
                  <c:v>128718372.84574175</c:v>
                </c:pt>
                <c:pt idx="223">
                  <c:v>124974562.34872822</c:v>
                </c:pt>
                <c:pt idx="224">
                  <c:v>102727015.81083024</c:v>
                </c:pt>
                <c:pt idx="225">
                  <c:v>98831681.79442987</c:v>
                </c:pt>
                <c:pt idx="226">
                  <c:v>99955994.9107834</c:v>
                </c:pt>
                <c:pt idx="227">
                  <c:v>111574900.35238098</c:v>
                </c:pt>
                <c:pt idx="228">
                  <c:v>114743453.38718209</c:v>
                </c:pt>
                <c:pt idx="229">
                  <c:v>105350666.07993463</c:v>
                </c:pt>
                <c:pt idx="230">
                  <c:v>107584498.07862519</c:v>
                </c:pt>
                <c:pt idx="231">
                  <c:v>100882321.06153263</c:v>
                </c:pt>
                <c:pt idx="232">
                  <c:v>102191051.27269612</c:v>
                </c:pt>
                <c:pt idx="233">
                  <c:v>109811097.49779339</c:v>
                </c:pt>
                <c:pt idx="234">
                  <c:v>132687049.40115966</c:v>
                </c:pt>
                <c:pt idx="235">
                  <c:v>129038547.06030554</c:v>
                </c:pt>
                <c:pt idx="236">
                  <c:v>106886308.67856696</c:v>
                </c:pt>
                <c:pt idx="237">
                  <c:v>103086282.81832601</c:v>
                </c:pt>
                <c:pt idx="238">
                  <c:v>104305904.0908389</c:v>
                </c:pt>
                <c:pt idx="239">
                  <c:v>116020117.688596</c:v>
                </c:pt>
              </c:numCache>
            </c:numRef>
          </c:val>
          <c:smooth val="0"/>
        </c:ser>
        <c:axId val="32177557"/>
        <c:axId val="21162558"/>
      </c:lineChart>
      <c:dateAx>
        <c:axId val="32177557"/>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1162558"/>
        <c:crosses val="autoZero"/>
        <c:auto val="0"/>
        <c:baseTimeUnit val="months"/>
        <c:majorUnit val="4"/>
        <c:majorTimeUnit val="months"/>
        <c:minorUnit val="1"/>
        <c:minorTimeUnit val="months"/>
        <c:noMultiLvlLbl val="0"/>
      </c:dateAx>
      <c:valAx>
        <c:axId val="21162558"/>
        <c:scaling>
          <c:orientation val="minMax"/>
          <c:min val="80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77557"/>
        <c:crossesAt val="1"/>
        <c:crossBetween val="between"/>
        <c:dispUnits/>
      </c:valAx>
      <c:spPr>
        <a:solidFill>
          <a:srgbClr val="FFFFFF"/>
        </a:solidFill>
        <a:ln w="3175">
          <a:noFill/>
        </a:ln>
      </c:spPr>
    </c:plotArea>
    <c:legend>
      <c:legendPos val="r"/>
      <c:layout>
        <c:manualLayout>
          <c:xMode val="edge"/>
          <c:yMode val="edge"/>
          <c:x val="0.96475"/>
          <c:y val="0.482"/>
          <c:w val="0.03175"/>
          <c:h val="0.0325"/>
        </c:manualLayout>
      </c:layout>
      <c:overlay val="0"/>
      <c:spPr>
        <a:noFill/>
        <a:ln w="3175">
          <a:noFill/>
        </a:ln>
      </c:spPr>
      <c:txPr>
        <a:bodyPr vert="horz" rot="0"/>
        <a:lstStyle/>
        <a:p>
          <a:pPr>
            <a:defRPr lang="en-US" cap="none" sz="1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9</xdr:col>
      <xdr:colOff>304800</xdr:colOff>
      <xdr:row>18</xdr:row>
      <xdr:rowOff>152400</xdr:rowOff>
    </xdr:to>
    <xdr:graphicFrame>
      <xdr:nvGraphicFramePr>
        <xdr:cNvPr id="1" name="Chart 2"/>
        <xdr:cNvGraphicFramePr/>
      </xdr:nvGraphicFramePr>
      <xdr:xfrm>
        <a:off x="1219200" y="323850"/>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23</xdr:row>
      <xdr:rowOff>0</xdr:rowOff>
    </xdr:from>
    <xdr:to>
      <xdr:col>9</xdr:col>
      <xdr:colOff>304800</xdr:colOff>
      <xdr:row>39</xdr:row>
      <xdr:rowOff>152400</xdr:rowOff>
    </xdr:to>
    <xdr:graphicFrame>
      <xdr:nvGraphicFramePr>
        <xdr:cNvPr id="2" name="Chart 3"/>
        <xdr:cNvGraphicFramePr/>
      </xdr:nvGraphicFramePr>
      <xdr:xfrm>
        <a:off x="1219200" y="3724275"/>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43</xdr:row>
      <xdr:rowOff>0</xdr:rowOff>
    </xdr:from>
    <xdr:to>
      <xdr:col>9</xdr:col>
      <xdr:colOff>304800</xdr:colOff>
      <xdr:row>59</xdr:row>
      <xdr:rowOff>152400</xdr:rowOff>
    </xdr:to>
    <xdr:graphicFrame>
      <xdr:nvGraphicFramePr>
        <xdr:cNvPr id="3" name="Chart 4"/>
        <xdr:cNvGraphicFramePr/>
      </xdr:nvGraphicFramePr>
      <xdr:xfrm>
        <a:off x="1219200" y="6962775"/>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104775</xdr:rowOff>
    </xdr:from>
    <xdr:ext cx="5076825" cy="361950"/>
    <xdr:sp>
      <xdr:nvSpPr>
        <xdr:cNvPr id="1" name="TextBox 1"/>
        <xdr:cNvSpPr txBox="1">
          <a:spLocks noChangeArrowheads="1"/>
        </xdr:cNvSpPr>
      </xdr:nvSpPr>
      <xdr:spPr>
        <a:xfrm>
          <a:off x="0" y="266700"/>
          <a:ext cx="507682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MAPE=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100%</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t>
          </a:r>
          <a:r>
            <a:rPr lang="en-US" cap="none" sz="1100" b="0" i="0" u="none" baseline="0">
              <a:solidFill>
                <a:srgbClr val="000000"/>
              </a:solidFill>
              <a:latin typeface="Cambria Math"/>
              <a:ea typeface="Cambria Math"/>
              <a:cs typeface="Cambria Math"/>
            </a:rPr>
            <a:t> ∑_(</a:t>
          </a:r>
          <a:r>
            <a:rPr lang="en-US" cap="none" sz="1100" b="0" i="0" u="none" baseline="0">
              <a:solidFill>
                <a:srgbClr val="000000"/>
              </a:solidFill>
              <a:latin typeface="Cambria Math"/>
              <a:ea typeface="Cambria Math"/>
              <a:cs typeface="Cambria Math"/>
            </a:rPr>
            <a:t>t=1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  - F</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  where A</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t=actual and F</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t=predicted.</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771525</xdr:colOff>
      <xdr:row>0</xdr:row>
      <xdr:rowOff>152400</xdr:rowOff>
    </xdr:from>
    <xdr:ext cx="857250" cy="266700"/>
    <xdr:sp>
      <xdr:nvSpPr>
        <xdr:cNvPr id="1" name="TextBox 1"/>
        <xdr:cNvSpPr txBox="1">
          <a:spLocks noChangeArrowheads="1"/>
        </xdr:cNvSpPr>
      </xdr:nvSpPr>
      <xdr:spPr>
        <a:xfrm>
          <a:off x="3019425" y="152400"/>
          <a:ext cx="857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e</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  - e</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t-1</a:t>
          </a:r>
          <a:r>
            <a:rPr lang="en-US" cap="none" sz="1100" b="0" i="0" u="none" baseline="0">
              <a:solidFill>
                <a:srgbClr val="000000"/>
              </a:solidFill>
              <a:latin typeface="Cambria Math"/>
              <a:ea typeface="Cambria Math"/>
              <a:cs typeface="Cambria Math"/>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0</xdr:rowOff>
    </xdr:from>
    <xdr:to>
      <xdr:col>15</xdr:col>
      <xdr:colOff>123825</xdr:colOff>
      <xdr:row>41</xdr:row>
      <xdr:rowOff>133350</xdr:rowOff>
    </xdr:to>
    <xdr:graphicFrame>
      <xdr:nvGraphicFramePr>
        <xdr:cNvPr id="1" name="Chart 2"/>
        <xdr:cNvGraphicFramePr/>
      </xdr:nvGraphicFramePr>
      <xdr:xfrm>
        <a:off x="609600" y="485775"/>
        <a:ext cx="8658225" cy="6286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23</xdr:col>
      <xdr:colOff>190500</xdr:colOff>
      <xdr:row>37</xdr:row>
      <xdr:rowOff>133350</xdr:rowOff>
    </xdr:to>
    <xdr:graphicFrame>
      <xdr:nvGraphicFramePr>
        <xdr:cNvPr id="1" name="Chart 1"/>
        <xdr:cNvGraphicFramePr/>
      </xdr:nvGraphicFramePr>
      <xdr:xfrm>
        <a:off x="609600" y="485775"/>
        <a:ext cx="13601700" cy="5638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uzanne\My%20Documents\Unzipped\2011%20Rate%20Appl%20#%202\2011%20Rate%20Appl%20#%202\Dummy%20Fil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nance\2021%20COS%20rate%20application\EXHIBIT%203%20-%20Operating%20Revenue\2018%20Power%20Billed.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nance\2018\RRR%20Filings\2018%20Year%20End%20Filed%20in%20April%202019\Power%20Sales%20Files\2018%20Power%20Billed.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nance\2019\RRR%20Filings\2019%20Quarter%204\Average%20Number%20of%20Customers%20Q4%202019.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nance\2021%20COS%20rate%20application\EXHIBIT%203%20-%20Operating%20Revenue\2019%20Power%20Billed.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OEB%20Appendix%202-Z%20Commodity%20Expense_2021%20Vers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y%20of%20Participation%20and%20Cost%20Report%20-%20Niagara%20Peninsula%20Energy%20Inc.%20-%202019%200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py%20of%202017%20Final%20Verified%20Annual%20LDC%20CDM%20Program%20Results_Niagara%20Peninsula%20Energy%20Inc._Report_2018062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ustomer%20Coun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nance\2021%20COS%20rate%20application\Application%20filer\Models\RateMaker\NPEI_APPL_2021EDR_RateMaker.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lass%20A%20Data%20for%20Load%20Forecas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nance\2021%20COS%20rate%20application\EXHIBIT%203%20-%20Operating%20Revenue\2015%20Power%20Billed.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nance\2021%20COS%20rate%20application\EXHIBIT%203%20-%20Operating%20Revenue\2016%20Power%20Billed.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nance\2021%20COS%20rate%20application\EXHIBIT%203%20-%20Operating%20Revenue\2017%20Power%20Bill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ummy Fil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Summary before Victoria PME adj"/>
      <sheetName val="Reconcile to GL"/>
      <sheetName val="Pivot"/>
      <sheetName val="2018 Power Billed Data"/>
      <sheetName val="Dec 2018 Unbilled"/>
      <sheetName val="Reverse Dec 2017 Unbilled"/>
      <sheetName val="Lookup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1.5 Demand and Revenue"/>
      <sheetName val="2.1.5 Supply and Delivery"/>
      <sheetName val="Summary"/>
      <sheetName val="Reconcile to GL"/>
      <sheetName val="Pivot"/>
      <sheetName val="Retailer Pivot"/>
      <sheetName val="Non-RPP Cost per kWh"/>
      <sheetName val="2018 Power Billed Data"/>
      <sheetName val="Dec 2018 Unbilled"/>
      <sheetName val="Reverse Dec 2017 Unbilled"/>
      <sheetName val="Billed Volumetric Dist Rev"/>
      <sheetName val="Lookup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1.2 Summary"/>
      <sheetName val="2019 Counts"/>
      <sheetName val="Billed Fixed Dist Rev"/>
      <sheetName val="Customer Counts"/>
      <sheetName val="Multi Unit"/>
      <sheetName val="Pivot Retailers"/>
      <sheetName val="Retailer Customers Dec 2019"/>
      <sheetName val="pivot GL Res"/>
      <sheetName val="pivot GS&gt;50 kW"/>
      <sheetName val="Pivot GS &lt; 50 kW"/>
      <sheetName val="Account Transactions - 4080-11 "/>
      <sheetName val="Account Transactions - 4080-51"/>
      <sheetName val="Account Transactions - 4080-41 "/>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Pivot"/>
      <sheetName val="2019 Power Billed Data"/>
      <sheetName val="Rev 2018 Unbilled"/>
      <sheetName val="2019 Unbilled"/>
      <sheetName val="Lookups"/>
      <sheetName val="Billed Volumetric Dist Rev"/>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0 Commodity Expense Forecast"/>
      <sheetName val="2020 Cost of Power"/>
      <sheetName val="2021 Commodity Expense Forecast"/>
      <sheetName val="2021 Cost of Pow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Letter"/>
      <sheetName val="Table of Contents"/>
      <sheetName val="How to Use This Report"/>
      <sheetName val="LDC Summary"/>
      <sheetName val="Graphs Savings"/>
      <sheetName val="LDC Progress"/>
      <sheetName val="Province Wide Summary"/>
      <sheetName val="Quick Summary Graphs"/>
      <sheetName val="Province-Wide Progress"/>
      <sheetName val="IESO VAS and CD Costs"/>
      <sheetName val="Retrofit Multi-Site App's"/>
      <sheetName val="Methodology"/>
      <sheetName val="Reference Tables"/>
      <sheetName val="Glossary"/>
      <sheetName val="% of Budget"/>
      <sheetName val="% of Target"/>
      <sheetName val="Graphs LDC Rank"/>
      <sheetName val="LDC List"/>
      <sheetName val="Cost Effectiveness"/>
      <sheetName val="Forecast Budget"/>
      <sheetName val="Forecast Target"/>
      <sheetName val="Graphs Program"/>
      <sheetName val="PSUI Large Projects"/>
      <sheetName val="MTI &amp; ATI Calculation"/>
      <sheetName val="Pipeline by LDC"/>
      <sheetName val="Forecast Grap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tter from the Vice-President"/>
      <sheetName val="Table of Contents"/>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4"/>
      <sheetName val="2015"/>
      <sheetName val="2016"/>
      <sheetName val="2017"/>
      <sheetName val="2018"/>
      <sheetName val="Summar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CapitalAmortization"/>
      <sheetName val="B3.ContGrossCapital"/>
      <sheetName val="B4.ContCapitalAmort"/>
      <sheetName val="B5.NetCapital"/>
      <sheetName val="B6.OMA"/>
      <sheetName val="C1.LossFactors"/>
      <sheetName val="C2.LoadForecast"/>
      <sheetName val="C3.DistRevenue"/>
      <sheetName val="C4.CommodityPrice"/>
      <sheetName val="C5.PassthruRates"/>
      <sheetName val="C6.LowVoltage"/>
      <sheetName val="C7.ServiceRevenues"/>
      <sheetName val="C8.RevenueOffsets"/>
      <sheetName val="D1.RateBase"/>
      <sheetName val="D2.Debt"/>
      <sheetName val="D3.CapitalStructure"/>
      <sheetName val="E1.BridgeYrPL"/>
      <sheetName val="E2.TestYrPL"/>
      <sheetName val="E3.CapitalInfo"/>
      <sheetName val="E4.PILsResults"/>
      <sheetName val="F1.RevRequirement"/>
      <sheetName val="F2.CostAllocation"/>
      <sheetName val="F3.RevenueAllocation"/>
      <sheetName val="F4.RateDesign"/>
      <sheetName val="F5.FixedVarRevenue"/>
      <sheetName val="H1.RatesCheck"/>
      <sheetName val="H5.BillImpacts"/>
      <sheetName val="H2.FinalRates"/>
      <sheetName val="H3.FinalRateRiders"/>
      <sheetName val="H4.ImpactSummary"/>
      <sheetName val="BlankImpact"/>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8 Class A Data"/>
      <sheetName val="2019 Class A Customer List"/>
      <sheetName val="Pivot 2018 Data 2019 Class A"/>
      <sheetName val="2018 Data for 2019 Class 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Summary before Victoria PME adj"/>
      <sheetName val="Pivot"/>
      <sheetName val="2015 Power Billed Data"/>
      <sheetName val="Dec 2015"/>
      <sheetName val="Rev Dec 2014"/>
      <sheetName val="Rate Class Looku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Summary before Victoria PME adj"/>
      <sheetName val="Reconcile to GL"/>
      <sheetName val="Pivot"/>
      <sheetName val="2016 Power Billed data"/>
      <sheetName val="Rev 2015 unbilled"/>
      <sheetName val="2016 Unbilled Revenue"/>
      <sheetName val="Rate Class Lookup"/>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1.5 Demand and Revenue"/>
      <sheetName val="2.1.5 Supply and Delivery"/>
      <sheetName val="Summary"/>
      <sheetName val="Summary before Victoria PME adj"/>
      <sheetName val="Reconcile to GL"/>
      <sheetName val="Pivot"/>
      <sheetName val="Retailer Pivot"/>
      <sheetName val="Pivot by Month"/>
      <sheetName val="2017 Power Billed data"/>
      <sheetName val="Rev Dec 2016 unbilled"/>
      <sheetName val="Dec 2017 unbilled"/>
      <sheetName val="Rate Class Lookup"/>
      <sheetName val="RPP or NON Lookup"/>
      <sheetName val="Billed Volumetric Dist Re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1">
      <pane xSplit="1" ySplit="3" topLeftCell="P40" activePane="bottomRight" state="frozen"/>
      <selection pane="topLeft" activeCell="A1" sqref="A1"/>
      <selection pane="topRight" activeCell="B1" sqref="B1"/>
      <selection pane="bottomLeft" activeCell="A4" sqref="A4"/>
      <selection pane="bottomRight" activeCell="V33" sqref="V33"/>
    </sheetView>
  </sheetViews>
  <sheetFormatPr defaultColWidth="9.140625" defaultRowHeight="12.75" outlineLevelCol="1"/>
  <cols>
    <col min="1" max="1" width="42.00390625" style="0" customWidth="1"/>
    <col min="2" max="2" width="13.00390625" style="1" customWidth="1"/>
    <col min="3" max="3" width="12.57421875" style="1" customWidth="1"/>
    <col min="4" max="4" width="12.7109375" style="1" bestFit="1" customWidth="1"/>
    <col min="5" max="5" width="13.57421875" style="1" customWidth="1"/>
    <col min="6" max="6" width="12.7109375" style="1" customWidth="1"/>
    <col min="7" max="7" width="13.00390625" style="1" customWidth="1" outlineLevel="1"/>
    <col min="8" max="8" width="12.7109375" style="1" customWidth="1" outlineLevel="1"/>
    <col min="9" max="9" width="12.8515625" style="1" customWidth="1" outlineLevel="1"/>
    <col min="10" max="10" width="12.7109375" style="22" customWidth="1" outlineLevel="1"/>
    <col min="11" max="14" width="12.7109375" style="32" customWidth="1" outlineLevel="1"/>
    <col min="15" max="19" width="12.7109375" style="32" customWidth="1"/>
    <col min="20" max="20" width="16.421875" style="32" bestFit="1" customWidth="1"/>
    <col min="21" max="21" width="14.7109375" style="32" customWidth="1"/>
    <col min="22" max="22" width="12.7109375" style="0" bestFit="1" customWidth="1"/>
  </cols>
  <sheetData>
    <row r="1" ht="15.75">
      <c r="A1" s="41" t="s">
        <v>197</v>
      </c>
    </row>
    <row r="3" spans="2:21" ht="25.5">
      <c r="B3" s="43" t="s">
        <v>54</v>
      </c>
      <c r="C3" s="43" t="s">
        <v>55</v>
      </c>
      <c r="D3" s="43" t="s">
        <v>56</v>
      </c>
      <c r="E3" s="43" t="s">
        <v>57</v>
      </c>
      <c r="F3" s="43" t="s">
        <v>58</v>
      </c>
      <c r="G3" s="43" t="s">
        <v>59</v>
      </c>
      <c r="H3" s="43" t="s">
        <v>66</v>
      </c>
      <c r="I3" s="43" t="s">
        <v>73</v>
      </c>
      <c r="J3" s="43" t="s">
        <v>90</v>
      </c>
      <c r="K3" s="43" t="s">
        <v>91</v>
      </c>
      <c r="L3" s="43" t="s">
        <v>92</v>
      </c>
      <c r="M3" s="43" t="s">
        <v>93</v>
      </c>
      <c r="N3" s="43" t="s">
        <v>198</v>
      </c>
      <c r="O3" s="43" t="s">
        <v>199</v>
      </c>
      <c r="P3" s="43" t="s">
        <v>200</v>
      </c>
      <c r="Q3" s="43" t="s">
        <v>201</v>
      </c>
      <c r="R3" s="43" t="s">
        <v>202</v>
      </c>
      <c r="S3" s="43" t="s">
        <v>310</v>
      </c>
      <c r="T3" s="53" t="s">
        <v>203</v>
      </c>
      <c r="U3" s="53" t="s">
        <v>204</v>
      </c>
    </row>
    <row r="4" spans="1:19" ht="12.75">
      <c r="A4" s="19" t="s">
        <v>62</v>
      </c>
      <c r="B4" s="5">
        <f>'Purchased Power Model'!E325</f>
        <v>1162710673.7803967</v>
      </c>
      <c r="C4" s="28">
        <f>'Purchased Power Model'!E326</f>
        <v>1152043160.1684203</v>
      </c>
      <c r="D4" s="28">
        <f>'Purchased Power Model'!E327</f>
        <v>1205241073.8281755</v>
      </c>
      <c r="E4" s="28">
        <f>'Purchased Power Model'!E328</f>
        <v>1272191338.9746144</v>
      </c>
      <c r="F4" s="28">
        <f>'Purchased Power Model'!E329</f>
        <v>1248057839.7212546</v>
      </c>
      <c r="G4" s="28">
        <f>'Purchased Power Model'!E330</f>
        <v>1283916366.3514185</v>
      </c>
      <c r="H4" s="28">
        <f>'Purchased Power Model'!E331</f>
        <v>1247360138.218019</v>
      </c>
      <c r="I4" s="28">
        <f>'Purchased Power Model'!E332</f>
        <v>1216807819.4732933</v>
      </c>
      <c r="J4" s="55">
        <f>'Purchased Power Model'!E333</f>
        <v>1264714636.949239</v>
      </c>
      <c r="K4" s="55">
        <f>'Purchased Power Model'!E334</f>
        <v>1266311662.4232736</v>
      </c>
      <c r="L4" s="55">
        <f>'Purchased Power Model'!E335</f>
        <v>1260789450.8992722</v>
      </c>
      <c r="M4" s="55">
        <f>'Purchased Power Model'!E336</f>
        <v>1250108324.0952835</v>
      </c>
      <c r="N4" s="55">
        <f>'Purchased Power Model'!E337</f>
        <v>1236354090.939988</v>
      </c>
      <c r="O4" s="55">
        <f>'Purchased Power Model'!E338</f>
        <v>1243499330.0142834</v>
      </c>
      <c r="P4" s="55">
        <f>'Purchased Power Model'!E339</f>
        <v>1257831314.4022517</v>
      </c>
      <c r="Q4" s="55">
        <f>'Purchased Power Model'!E340</f>
        <v>1212201215.887123</v>
      </c>
      <c r="R4" s="55">
        <f>'Purchased Power Model'!E341</f>
        <v>1270822506.539402</v>
      </c>
      <c r="S4" s="55">
        <f>'Purchased Power Model'!E342</f>
        <v>1252366737.669762</v>
      </c>
    </row>
    <row r="5" spans="1:21" ht="12.75">
      <c r="A5" s="19" t="s">
        <v>174</v>
      </c>
      <c r="B5" s="28">
        <f>'Purchased Power Model'!O325</f>
        <v>1167166906.3030279</v>
      </c>
      <c r="C5" s="28">
        <f>'Purchased Power Model'!O326</f>
        <v>1167605461.2558465</v>
      </c>
      <c r="D5" s="28">
        <f>'Purchased Power Model'!O327</f>
        <v>1179573774.9575324</v>
      </c>
      <c r="E5" s="28">
        <f>'Purchased Power Model'!O328</f>
        <v>1271724175.9971578</v>
      </c>
      <c r="F5" s="28">
        <f>'Purchased Power Model'!O329</f>
        <v>1247989476.515609</v>
      </c>
      <c r="G5" s="28">
        <f>'Purchased Power Model'!O330</f>
        <v>1273169231.3492475</v>
      </c>
      <c r="H5" s="28">
        <f>'Purchased Power Model'!O331</f>
        <v>1255986577.555526</v>
      </c>
      <c r="I5" s="28">
        <f>'Purchased Power Model'!O332</f>
        <v>1219818977.491308</v>
      </c>
      <c r="J5" s="55">
        <f>'Purchased Power Model'!O333</f>
        <v>1253085593.3978748</v>
      </c>
      <c r="K5" s="55">
        <f>'Purchased Power Model'!O334</f>
        <v>1261320397.1872842</v>
      </c>
      <c r="L5" s="55">
        <f>'Purchased Power Model'!O335</f>
        <v>1270469171.730973</v>
      </c>
      <c r="M5" s="55">
        <f>'Purchased Power Model'!O336</f>
        <v>1245661460.345254</v>
      </c>
      <c r="N5" s="55">
        <f>'Purchased Power Model'!O337</f>
        <v>1243350622.4973876</v>
      </c>
      <c r="O5" s="55">
        <f>'Purchased Power Model'!O338</f>
        <v>1251658037.1046405</v>
      </c>
      <c r="P5" s="55">
        <f>'Purchased Power Model'!O339</f>
        <v>1277941546.4546533</v>
      </c>
      <c r="Q5" s="55">
        <f>'Purchased Power Model'!O340</f>
        <v>1217143963.5909858</v>
      </c>
      <c r="R5" s="55">
        <f>'Purchased Power Model'!O341</f>
        <v>1255827879.1537886</v>
      </c>
      <c r="S5" s="55">
        <f>'Purchased Power Model'!O342</f>
        <v>1243834427.4473848</v>
      </c>
      <c r="T5" s="55">
        <f>'Purchased Power Model'!O343</f>
        <v>1288225771.19123</v>
      </c>
      <c r="U5" s="55">
        <f>'Purchased Power Model'!O344</f>
        <v>1332587297.1155572</v>
      </c>
    </row>
    <row r="6" spans="1:22" ht="12.75">
      <c r="A6" s="19" t="s">
        <v>10</v>
      </c>
      <c r="B6" s="42">
        <f aca="true" t="shared" si="0" ref="B6:S6">(B5-B4)/B4</f>
        <v>0.0038326237327316608</v>
      </c>
      <c r="C6" s="42">
        <f t="shared" si="0"/>
        <v>0.013508435816893432</v>
      </c>
      <c r="D6" s="42">
        <f t="shared" si="0"/>
        <v>-0.0212964023779216</v>
      </c>
      <c r="E6" s="42">
        <f t="shared" si="0"/>
        <v>-0.0003672112544274219</v>
      </c>
      <c r="F6" s="42">
        <f t="shared" si="0"/>
        <v>-5.477567102245012E-05</v>
      </c>
      <c r="G6" s="42">
        <f t="shared" si="0"/>
        <v>-0.008370588056846578</v>
      </c>
      <c r="H6" s="42">
        <f t="shared" si="0"/>
        <v>0.006915756783626865</v>
      </c>
      <c r="I6" s="42">
        <f t="shared" si="0"/>
        <v>0.0024746373008336497</v>
      </c>
      <c r="J6" s="42">
        <f t="shared" si="0"/>
        <v>-0.009194994041830584</v>
      </c>
      <c r="K6" s="42">
        <f t="shared" si="0"/>
        <v>-0.003941577246819169</v>
      </c>
      <c r="L6" s="42">
        <f t="shared" si="0"/>
        <v>0.007677507790691485</v>
      </c>
      <c r="M6" s="42">
        <f t="shared" si="0"/>
        <v>-0.003557182737142244</v>
      </c>
      <c r="N6" s="42">
        <f t="shared" si="0"/>
        <v>0.00565900303858772</v>
      </c>
      <c r="O6" s="42">
        <f t="shared" si="0"/>
        <v>0.0065610868405239515</v>
      </c>
      <c r="P6" s="42">
        <f t="shared" si="0"/>
        <v>0.015988019873681036</v>
      </c>
      <c r="Q6" s="42">
        <f t="shared" si="0"/>
        <v>0.004077497728168359</v>
      </c>
      <c r="R6" s="42">
        <f t="shared" si="0"/>
        <v>-0.011799151579747797</v>
      </c>
      <c r="S6" s="42">
        <f t="shared" si="0"/>
        <v>-0.006812948608211086</v>
      </c>
      <c r="T6" s="42"/>
      <c r="U6" s="42"/>
      <c r="V6" s="46"/>
    </row>
    <row r="7" spans="1:22" ht="12.75">
      <c r="A7" s="19" t="s">
        <v>173</v>
      </c>
      <c r="B7" s="42"/>
      <c r="C7" s="42"/>
      <c r="D7" s="42"/>
      <c r="E7" s="42"/>
      <c r="F7" s="42"/>
      <c r="G7" s="42"/>
      <c r="H7" s="42"/>
      <c r="I7" s="42"/>
      <c r="J7" s="42"/>
      <c r="K7" s="55"/>
      <c r="L7" s="55"/>
      <c r="M7" s="55"/>
      <c r="N7" s="55"/>
      <c r="O7" s="55"/>
      <c r="P7" s="55"/>
      <c r="Q7" s="55"/>
      <c r="R7" s="55"/>
      <c r="S7" s="55">
        <f>'Rate Class Energy Model'!G30</f>
        <v>1210020079.43717</v>
      </c>
      <c r="T7" s="55">
        <f>'Rate Class Energy Model'!G31</f>
        <v>1241549745.2111354</v>
      </c>
      <c r="U7" s="55">
        <f>'Rate Class Energy Model'!G32</f>
        <v>1284303928.8645144</v>
      </c>
      <c r="V7" s="46"/>
    </row>
    <row r="8" spans="1:22" ht="12.75">
      <c r="A8" s="19" t="s">
        <v>172</v>
      </c>
      <c r="B8" s="42"/>
      <c r="C8" s="42"/>
      <c r="D8" s="42"/>
      <c r="E8" s="42"/>
      <c r="F8" s="42"/>
      <c r="G8" s="42"/>
      <c r="H8" s="42"/>
      <c r="I8" s="42"/>
      <c r="J8" s="42"/>
      <c r="K8" s="55"/>
      <c r="L8" s="55"/>
      <c r="M8" s="55"/>
      <c r="N8" s="55"/>
      <c r="O8" s="55"/>
      <c r="P8" s="55"/>
      <c r="Q8" s="55"/>
      <c r="R8" s="55"/>
      <c r="S8" s="55">
        <f>S5-S7</f>
        <v>33814348.010214806</v>
      </c>
      <c r="T8" s="55">
        <f>T5-T7</f>
        <v>46676025.98009467</v>
      </c>
      <c r="U8" s="55">
        <f>U5-U7</f>
        <v>48283368.25104284</v>
      </c>
      <c r="V8" s="46"/>
    </row>
    <row r="9" spans="1:21" ht="12.75">
      <c r="A9" s="19" t="s">
        <v>175</v>
      </c>
      <c r="B9" s="39"/>
      <c r="C9" s="39"/>
      <c r="D9" s="39"/>
      <c r="E9" s="39"/>
      <c r="F9" s="39"/>
      <c r="G9" s="39"/>
      <c r="H9" s="39"/>
      <c r="I9" s="39"/>
      <c r="J9" s="54"/>
      <c r="S9" s="226"/>
      <c r="T9" s="226"/>
      <c r="U9" s="226"/>
    </row>
    <row r="10" spans="1:20" ht="12.75">
      <c r="A10" s="19"/>
      <c r="B10" s="39"/>
      <c r="C10" s="39"/>
      <c r="D10" s="39"/>
      <c r="E10" s="39"/>
      <c r="F10" s="39"/>
      <c r="G10" s="39"/>
      <c r="H10" s="39"/>
      <c r="I10" s="39"/>
      <c r="J10" s="54"/>
      <c r="M10" s="70"/>
      <c r="N10" s="70"/>
      <c r="O10" s="70"/>
      <c r="P10" s="70"/>
      <c r="Q10" s="70"/>
      <c r="R10" s="70"/>
      <c r="S10" s="70"/>
      <c r="T10" s="70"/>
    </row>
    <row r="11" spans="1:21" ht="12.75">
      <c r="A11" s="19"/>
      <c r="B11" s="39"/>
      <c r="C11" s="39"/>
      <c r="D11" s="39"/>
      <c r="E11" s="39"/>
      <c r="F11" s="39"/>
      <c r="G11" s="39"/>
      <c r="H11" s="39"/>
      <c r="I11" s="39"/>
      <c r="J11" s="54"/>
      <c r="U11" s="70"/>
    </row>
    <row r="12" spans="1:22" ht="12.75">
      <c r="A12" s="19" t="s">
        <v>170</v>
      </c>
      <c r="B12" s="28">
        <f>'Rate Class Energy Model'!G13</f>
        <v>0</v>
      </c>
      <c r="C12" s="28">
        <f>'Rate Class Energy Model'!G14</f>
        <v>1108347420.2106147</v>
      </c>
      <c r="D12" s="28">
        <f>'Rate Class Energy Model'!G15</f>
        <v>1135405804.1076436</v>
      </c>
      <c r="E12" s="28">
        <f>'Rate Class Energy Model'!G16</f>
        <v>1208894249.45057</v>
      </c>
      <c r="F12" s="28">
        <f>'Rate Class Energy Model'!G17</f>
        <v>1184184646.7743611</v>
      </c>
      <c r="G12" s="28">
        <f>'Rate Class Energy Model'!G18</f>
        <v>1220452819.8678427</v>
      </c>
      <c r="H12" s="28">
        <f>'Rate Class Energy Model'!G19</f>
        <v>1188897732</v>
      </c>
      <c r="I12" s="28">
        <f>'Rate Class Energy Model'!G20</f>
        <v>1161778118</v>
      </c>
      <c r="J12" s="55">
        <f>'Rate Class Energy Model'!G21</f>
        <v>1193712076.182653</v>
      </c>
      <c r="K12" s="55">
        <f>'Rate Class Energy Model'!G22</f>
        <v>1232998827</v>
      </c>
      <c r="L12" s="55">
        <f>'Rate Class Energy Model'!G23</f>
        <v>1214015314.2602541</v>
      </c>
      <c r="M12" s="55">
        <f>'Rate Class Energy Model'!G24</f>
        <v>1202305265</v>
      </c>
      <c r="N12" s="55">
        <f>'Rate Class Energy Model'!G25</f>
        <v>1195394887</v>
      </c>
      <c r="O12" s="55">
        <f>'Rate Class Energy Model'!G26</f>
        <v>1195656486.8494906</v>
      </c>
      <c r="P12" s="55">
        <f>'Rate Class Energy Model'!G27</f>
        <v>1212742876.9017253</v>
      </c>
      <c r="Q12" s="55">
        <f>'Rate Class Energy Model'!G28</f>
        <v>1168010031.0215473</v>
      </c>
      <c r="R12" s="55">
        <f>'Rate Class Energy Model'!G29</f>
        <v>1224357127.1282399</v>
      </c>
      <c r="S12" s="55">
        <f>'Rate Class Energy Model'!O129</f>
        <v>1210020079.43717</v>
      </c>
      <c r="T12" s="55">
        <f>'Rate Class Energy Model'!O130</f>
        <v>1241549745.0368776</v>
      </c>
      <c r="U12" s="55">
        <f>'Rate Class Energy Model'!O131</f>
        <v>1284303928.6916</v>
      </c>
      <c r="V12" s="32"/>
    </row>
    <row r="13" spans="1:22" ht="12.75">
      <c r="A13" s="19" t="s">
        <v>1</v>
      </c>
      <c r="B13" s="28"/>
      <c r="C13" s="28"/>
      <c r="D13" s="28"/>
      <c r="E13" s="28"/>
      <c r="F13" s="28"/>
      <c r="G13" s="28"/>
      <c r="H13" s="28"/>
      <c r="I13" s="28"/>
      <c r="J13" s="55"/>
      <c r="K13" s="200"/>
      <c r="L13" s="200"/>
      <c r="M13" s="200"/>
      <c r="N13" s="200"/>
      <c r="O13" s="200"/>
      <c r="P13" s="200"/>
      <c r="Q13" s="200"/>
      <c r="R13" s="200"/>
      <c r="S13" s="200"/>
      <c r="T13" s="258">
        <f>T5/T7</f>
        <v>1.0375949704473235</v>
      </c>
      <c r="U13" s="258">
        <f>U5/U7</f>
        <v>1.0375949704473235</v>
      </c>
      <c r="V13" s="32"/>
    </row>
    <row r="14" spans="1:22" ht="12.75">
      <c r="A14" s="19" t="s">
        <v>172</v>
      </c>
      <c r="B14" s="28"/>
      <c r="C14" s="28"/>
      <c r="D14" s="28"/>
      <c r="E14" s="28"/>
      <c r="F14" s="28"/>
      <c r="G14" s="28"/>
      <c r="H14" s="28"/>
      <c r="I14" s="28"/>
      <c r="J14" s="55"/>
      <c r="K14" s="55"/>
      <c r="L14" s="55"/>
      <c r="M14" s="55"/>
      <c r="N14" s="55"/>
      <c r="O14" s="55"/>
      <c r="P14" s="55"/>
      <c r="Q14" s="55"/>
      <c r="R14" s="55"/>
      <c r="S14" s="55"/>
      <c r="T14" s="55">
        <f>T8</f>
        <v>46676025.98009467</v>
      </c>
      <c r="U14" s="55">
        <f>U8</f>
        <v>48283368.25104284</v>
      </c>
      <c r="V14" s="32"/>
    </row>
    <row r="15" spans="1:22" ht="12.75">
      <c r="A15" s="19" t="s">
        <v>171</v>
      </c>
      <c r="B15" s="28"/>
      <c r="C15" s="28"/>
      <c r="D15" s="28"/>
      <c r="E15" s="28"/>
      <c r="F15" s="28"/>
      <c r="G15" s="28"/>
      <c r="H15" s="28"/>
      <c r="I15" s="28"/>
      <c r="J15" s="55"/>
      <c r="K15" s="55"/>
      <c r="L15" s="55"/>
      <c r="M15" s="55"/>
      <c r="N15" s="55"/>
      <c r="O15" s="55"/>
      <c r="P15" s="55"/>
      <c r="Q15" s="55"/>
      <c r="R15" s="55"/>
      <c r="S15" s="55"/>
      <c r="T15" s="55">
        <f>T5-T12-T14</f>
        <v>0.17425775527954102</v>
      </c>
      <c r="U15" s="55">
        <f>U5-U12-U14</f>
        <v>0.1729142665863037</v>
      </c>
      <c r="V15" s="32"/>
    </row>
    <row r="16" spans="1:22" ht="12.75">
      <c r="A16" s="19"/>
      <c r="B16" s="39"/>
      <c r="C16" s="39"/>
      <c r="D16" s="39"/>
      <c r="E16" s="39"/>
      <c r="F16" s="39"/>
      <c r="G16" s="39"/>
      <c r="I16" s="22"/>
      <c r="V16" s="32"/>
    </row>
    <row r="17" spans="1:22" ht="15.75">
      <c r="A17" s="41" t="s">
        <v>63</v>
      </c>
      <c r="J17" s="22" t="s">
        <v>81</v>
      </c>
      <c r="V17" s="32"/>
    </row>
    <row r="18" spans="1:22" ht="12.75">
      <c r="A18" s="40" t="str">
        <f>'Rate Class Energy Model'!H2</f>
        <v>Residential</v>
      </c>
      <c r="V18" s="32"/>
    </row>
    <row r="19" spans="1:22" ht="12.75">
      <c r="A19" t="s">
        <v>51</v>
      </c>
      <c r="B19" s="5">
        <f>'Rate Class Customer Model '!B5</f>
        <v>40624</v>
      </c>
      <c r="C19" s="5">
        <f>'Rate Class Customer Model '!B6</f>
        <v>42507</v>
      </c>
      <c r="D19" s="5">
        <f>'Rate Class Customer Model '!B7</f>
        <v>42859</v>
      </c>
      <c r="E19" s="5">
        <f>'Rate Class Customer Model '!B8</f>
        <v>43068</v>
      </c>
      <c r="F19" s="5">
        <f>'Rate Class Customer Model '!B9</f>
        <v>43724</v>
      </c>
      <c r="G19" s="5">
        <f>'Rate Class Customer Model '!B10</f>
        <v>44325</v>
      </c>
      <c r="H19" s="5">
        <f>'Rate Class Customer Model '!B11</f>
        <v>44955</v>
      </c>
      <c r="I19" s="5">
        <f>'Rate Class Customer Model '!B12</f>
        <v>45760.79707338067</v>
      </c>
      <c r="J19" s="26">
        <f>'Rate Class Customer Model '!B13</f>
        <v>45839.79707338067</v>
      </c>
      <c r="K19" s="26">
        <f>'Rate Class Customer Model '!B14</f>
        <v>45996.46201451132</v>
      </c>
      <c r="L19" s="26">
        <f>'Rate Class Customer Model '!B15</f>
        <v>45871.000740270734</v>
      </c>
      <c r="M19" s="26">
        <f>'Rate Class Customer Model '!B16</f>
        <v>46274.01146885522</v>
      </c>
      <c r="N19" s="26">
        <f>'Rate Class Customer Model '!B17</f>
        <v>46773.387126833404</v>
      </c>
      <c r="O19" s="26">
        <f>'Rate Class Customer Model '!B18</f>
        <v>47555</v>
      </c>
      <c r="P19" s="26">
        <f>'Rate Class Customer Model '!B19</f>
        <v>48401</v>
      </c>
      <c r="Q19" s="26">
        <f>'Rate Class Customer Model '!B20</f>
        <v>49606</v>
      </c>
      <c r="R19" s="26">
        <f>'Rate Class Customer Model '!B21</f>
        <v>50324</v>
      </c>
      <c r="S19" s="26">
        <f>'Rate Class Customer Model '!B22</f>
        <v>50792</v>
      </c>
      <c r="T19" s="26">
        <f>'Rate Class Customer Model '!B23</f>
        <v>51360.44084210928</v>
      </c>
      <c r="U19" s="26">
        <f>ROUND('Rate Class Customer Model '!B24,0)</f>
        <v>51935</v>
      </c>
      <c r="V19" s="32"/>
    </row>
    <row r="20" spans="1:22" ht="12.75">
      <c r="A20" t="s">
        <v>52</v>
      </c>
      <c r="B20" s="5">
        <f>'Rate Class Energy Model'!H13</f>
        <v>0</v>
      </c>
      <c r="C20" s="5">
        <f>'Rate Class Energy Model'!H14</f>
        <v>418838011.97364974</v>
      </c>
      <c r="D20" s="5">
        <f>'Rate Class Energy Model'!H15</f>
        <v>404285804.09904695</v>
      </c>
      <c r="E20" s="5">
        <f>'Rate Class Energy Model'!H16</f>
        <v>463562202.4870118</v>
      </c>
      <c r="F20" s="5">
        <f>'Rate Class Energy Model'!H17</f>
        <v>450017939.3266673</v>
      </c>
      <c r="G20" s="5">
        <f>'Rate Class Energy Model'!H18</f>
        <v>462721167.95736253</v>
      </c>
      <c r="H20" s="5">
        <f>'Rate Class Energy Model'!H19</f>
        <v>450470689.5</v>
      </c>
      <c r="I20" s="5">
        <f>'Rate Class Energy Model'!H20</f>
        <v>438952917.5</v>
      </c>
      <c r="J20" s="26">
        <f>'Rate Class Energy Model'!H21</f>
        <v>451343387.28237766</v>
      </c>
      <c r="K20" s="26">
        <f>'Rate Class Energy Model'!H22</f>
        <v>418849931</v>
      </c>
      <c r="L20" s="26">
        <f>'Rate Class Energy Model'!H23</f>
        <v>414592237</v>
      </c>
      <c r="M20" s="26">
        <f>'Rate Class Energy Model'!H24</f>
        <v>412298278</v>
      </c>
      <c r="N20" s="26">
        <f>'Rate Class Energy Model'!H25</f>
        <v>416585049</v>
      </c>
      <c r="O20" s="26">
        <f>'Rate Class Energy Model'!H26</f>
        <v>415749081.703583</v>
      </c>
      <c r="P20" s="26">
        <f>'Rate Class Energy Model'!H27</f>
        <v>433305471.2442201</v>
      </c>
      <c r="Q20" s="26">
        <f>'Rate Class Energy Model'!H28</f>
        <v>410629996.25715286</v>
      </c>
      <c r="R20" s="26">
        <f>'Rate Class Energy Model'!H29</f>
        <v>451047288.217218</v>
      </c>
      <c r="S20" s="26">
        <f>'Rate Class Energy Model'!H129</f>
        <v>434759151.88758326</v>
      </c>
      <c r="T20" s="26">
        <f>'Rate Class Energy Model'!H130</f>
        <v>442258807</v>
      </c>
      <c r="U20" s="26">
        <f>'Rate Class Energy Model'!H131</f>
        <v>453679525</v>
      </c>
      <c r="V20" s="32"/>
    </row>
    <row r="21" spans="5:21" ht="12.75">
      <c r="E21" s="64"/>
      <c r="F21" s="64"/>
      <c r="G21" s="64"/>
      <c r="H21" s="64"/>
      <c r="I21" s="64"/>
      <c r="J21" s="64"/>
      <c r="K21" s="68"/>
      <c r="L21" s="68"/>
      <c r="M21" s="68"/>
      <c r="N21" s="68"/>
      <c r="O21" s="68"/>
      <c r="P21" s="68"/>
      <c r="Q21" s="68"/>
      <c r="R21" s="68"/>
      <c r="S21" s="68"/>
      <c r="T21" s="68"/>
      <c r="U21" s="68"/>
    </row>
    <row r="22" ht="12.75">
      <c r="A22" s="40" t="str">
        <f>'Rate Class Energy Model'!I2</f>
        <v>GS&lt;50</v>
      </c>
    </row>
    <row r="23" spans="1:22" ht="12.75">
      <c r="A23" t="s">
        <v>51</v>
      </c>
      <c r="B23" s="5">
        <f>'Rate Class Customer Model '!C5</f>
        <v>4171</v>
      </c>
      <c r="C23" s="5">
        <f>'Rate Class Customer Model '!C6</f>
        <v>3982</v>
      </c>
      <c r="D23" s="5">
        <f>'Rate Class Customer Model '!C7</f>
        <v>4033</v>
      </c>
      <c r="E23" s="5">
        <f>'Rate Class Customer Model '!C8</f>
        <v>4437</v>
      </c>
      <c r="F23" s="5">
        <f>'Rate Class Customer Model '!C9</f>
        <v>4438</v>
      </c>
      <c r="G23" s="5">
        <f>'Rate Class Customer Model '!C10</f>
        <v>4339</v>
      </c>
      <c r="H23" s="5">
        <f>'Rate Class Customer Model '!C11</f>
        <v>4260</v>
      </c>
      <c r="I23" s="5">
        <f>'Rate Class Customer Model '!C12</f>
        <v>4256.622973925299</v>
      </c>
      <c r="J23" s="26">
        <f>'Rate Class Customer Model '!C13</f>
        <v>4356.78562277591</v>
      </c>
      <c r="K23" s="26">
        <f>'Rate Class Customer Model '!C14</f>
        <v>4306.726634031365</v>
      </c>
      <c r="L23" s="26">
        <f>'Rate Class Customer Model '!C15</f>
        <v>4259.889817560887</v>
      </c>
      <c r="M23" s="26">
        <f>'Rate Class Customer Model '!C16</f>
        <v>4315.45546015562</v>
      </c>
      <c r="N23" s="26">
        <f>'Rate Class Customer Model '!C17</f>
        <v>4377.185400904917</v>
      </c>
      <c r="O23" s="26">
        <f>'Rate Class Customer Model '!C18</f>
        <v>4434</v>
      </c>
      <c r="P23" s="26">
        <f>'Rate Class Customer Model '!C19</f>
        <v>4457</v>
      </c>
      <c r="Q23" s="26">
        <f>'Rate Class Customer Model '!C20</f>
        <v>4505</v>
      </c>
      <c r="R23" s="26">
        <f>'Rate Class Customer Model '!C21</f>
        <v>4479</v>
      </c>
      <c r="S23" s="26">
        <f>'Rate Class Customer Model '!C22</f>
        <v>4475</v>
      </c>
      <c r="T23" s="26">
        <f>'Rate Class Customer Model '!C23</f>
        <v>4507.765092796188</v>
      </c>
      <c r="U23" s="26">
        <f>ROUND('Rate Class Customer Model '!C24,0)</f>
        <v>4541</v>
      </c>
      <c r="V23" s="48"/>
    </row>
    <row r="24" spans="1:21" ht="12.75">
      <c r="A24" t="s">
        <v>52</v>
      </c>
      <c r="B24" s="5">
        <f>'Rate Class Energy Model'!I13</f>
        <v>0</v>
      </c>
      <c r="C24" s="5">
        <f>'Rate Class Energy Model'!I14</f>
        <v>126366945.1775369</v>
      </c>
      <c r="D24" s="5">
        <f>'Rate Class Energy Model'!I15</f>
        <v>122937632.96654831</v>
      </c>
      <c r="E24" s="5">
        <f>'Rate Class Energy Model'!I16</f>
        <v>125194926.23883386</v>
      </c>
      <c r="F24" s="5">
        <f>'Rate Class Energy Model'!I17</f>
        <v>122020708.4166588</v>
      </c>
      <c r="G24" s="5">
        <f>'Rate Class Energy Model'!I18</f>
        <v>125994115.17781341</v>
      </c>
      <c r="H24" s="5">
        <f>'Rate Class Energy Model'!I19</f>
        <v>122663803.5</v>
      </c>
      <c r="I24" s="5">
        <f>'Rate Class Energy Model'!I20</f>
        <v>119930975.5</v>
      </c>
      <c r="J24" s="26">
        <f>'Rate Class Energy Model'!I21</f>
        <v>121294613.50873116</v>
      </c>
      <c r="K24" s="26">
        <f>'Rate Class Energy Model'!I22</f>
        <v>129680926</v>
      </c>
      <c r="L24" s="26">
        <f>'Rate Class Energy Model'!I23</f>
        <v>125465897</v>
      </c>
      <c r="M24" s="26">
        <f>'Rate Class Energy Model'!I24</f>
        <v>124179905</v>
      </c>
      <c r="N24" s="26">
        <f>'Rate Class Energy Model'!I25</f>
        <v>129969466</v>
      </c>
      <c r="O24" s="26">
        <f>'Rate Class Energy Model'!I26</f>
        <v>126134211.13171774</v>
      </c>
      <c r="P24" s="26">
        <f>'Rate Class Energy Model'!I27</f>
        <v>130328461.56604409</v>
      </c>
      <c r="Q24" s="26">
        <f>'Rate Class Energy Model'!I28</f>
        <v>127052977.96148536</v>
      </c>
      <c r="R24" s="26">
        <f>'Rate Class Energy Model'!I29</f>
        <v>131255411.09935738</v>
      </c>
      <c r="S24" s="26">
        <f>'Rate Class Energy Model'!I129</f>
        <v>126741415.76743771</v>
      </c>
      <c r="T24" s="26">
        <f>'Rate Class Energy Model'!I130</f>
        <v>128651236</v>
      </c>
      <c r="U24" s="26">
        <f>'Rate Class Energy Model'!I131</f>
        <v>131690457</v>
      </c>
    </row>
    <row r="25" spans="5:21" ht="12.75">
      <c r="E25" s="64"/>
      <c r="F25" s="64"/>
      <c r="G25" s="64"/>
      <c r="H25" s="64"/>
      <c r="I25" s="64"/>
      <c r="J25" s="64"/>
      <c r="K25" s="68"/>
      <c r="L25" s="68"/>
      <c r="M25" s="68"/>
      <c r="N25" s="68"/>
      <c r="O25" s="68"/>
      <c r="P25" s="68"/>
      <c r="Q25" s="68"/>
      <c r="R25" s="68"/>
      <c r="S25" s="68"/>
      <c r="T25" s="68"/>
      <c r="U25" s="68"/>
    </row>
    <row r="26" spans="1:21" ht="12.75">
      <c r="A26" s="40" t="str">
        <f>'Rate Class Energy Model'!J2</f>
        <v>GS&gt;50</v>
      </c>
      <c r="K26" s="26"/>
      <c r="L26" s="26"/>
      <c r="M26" s="26"/>
      <c r="N26" s="26"/>
      <c r="O26" s="26"/>
      <c r="P26" s="26"/>
      <c r="Q26" s="26"/>
      <c r="R26" s="26"/>
      <c r="S26" s="26"/>
      <c r="T26" s="26"/>
      <c r="U26" s="26"/>
    </row>
    <row r="27" spans="1:21" ht="12.75">
      <c r="A27" t="s">
        <v>51</v>
      </c>
      <c r="B27" s="5">
        <f>'Rate Class Customer Model '!D5</f>
        <v>796</v>
      </c>
      <c r="C27" s="5">
        <f>'Rate Class Customer Model '!D6</f>
        <v>864</v>
      </c>
      <c r="D27" s="5">
        <f>'Rate Class Customer Model '!D7</f>
        <v>819</v>
      </c>
      <c r="E27" s="5">
        <f>'Rate Class Customer Model '!D8</f>
        <v>802</v>
      </c>
      <c r="F27" s="5">
        <f>'Rate Class Customer Model '!D9</f>
        <v>871</v>
      </c>
      <c r="G27" s="5">
        <f>'Rate Class Customer Model '!D10</f>
        <v>853</v>
      </c>
      <c r="H27" s="5">
        <f>'Rate Class Customer Model '!D11</f>
        <v>847</v>
      </c>
      <c r="I27" s="5">
        <f>'Rate Class Customer Model '!D12</f>
        <v>852.2248952132718</v>
      </c>
      <c r="J27" s="26">
        <f>'Rate Class Customer Model '!D13</f>
        <v>851</v>
      </c>
      <c r="K27" s="26">
        <f>'Rate Class Customer Model '!D14</f>
        <v>858.5122693032016</v>
      </c>
      <c r="L27" s="26">
        <f>'Rate Class Customer Model '!D15</f>
        <v>855.1844795189778</v>
      </c>
      <c r="M27" s="26">
        <f>'Rate Class Customer Model '!D16</f>
        <v>862.7339356295879</v>
      </c>
      <c r="N27" s="26">
        <f>'Rate Class Customer Model '!D17</f>
        <v>822.6920212463459</v>
      </c>
      <c r="O27" s="26">
        <f>'Rate Class Customer Model '!D18</f>
        <v>781</v>
      </c>
      <c r="P27" s="26">
        <f>'Rate Class Customer Model '!D19</f>
        <v>759</v>
      </c>
      <c r="Q27" s="26">
        <f>'Rate Class Customer Model '!D20</f>
        <v>808</v>
      </c>
      <c r="R27" s="26">
        <f>'Rate Class Customer Model '!D21</f>
        <v>790</v>
      </c>
      <c r="S27" s="26">
        <f>'Rate Class Customer Model '!D22</f>
        <v>800</v>
      </c>
      <c r="T27" s="26">
        <f>'Rate Class Customer Model '!D23</f>
        <v>805</v>
      </c>
      <c r="U27" s="26">
        <f>ROUND('Rate Class Customer Model '!D24,0)</f>
        <v>808</v>
      </c>
    </row>
    <row r="28" spans="1:21" ht="12.75">
      <c r="A28" t="s">
        <v>52</v>
      </c>
      <c r="B28" s="5">
        <f>'Rate Class Energy Model'!J13</f>
        <v>0</v>
      </c>
      <c r="C28" s="5">
        <f>'Rate Class Energy Model'!J14</f>
        <v>553710684.7088394</v>
      </c>
      <c r="D28" s="5">
        <f>'Rate Class Energy Model'!J15</f>
        <v>598431000.7987292</v>
      </c>
      <c r="E28" s="5">
        <f>'Rate Class Energy Model'!J16</f>
        <v>609950002.1268922</v>
      </c>
      <c r="F28" s="5">
        <f>'Rate Class Energy Model'!J17</f>
        <v>601216533.3462881</v>
      </c>
      <c r="G28" s="5">
        <f>'Rate Class Energy Model'!J18</f>
        <v>622092059.276955</v>
      </c>
      <c r="H28" s="5">
        <f>'Rate Class Energy Model'!J19</f>
        <v>605669659</v>
      </c>
      <c r="I28" s="5">
        <f>'Rate Class Energy Model'!J20</f>
        <v>592972281</v>
      </c>
      <c r="J28" s="26">
        <f>'Rate Class Energy Model'!J21</f>
        <v>611065861.6086929</v>
      </c>
      <c r="K28" s="26">
        <f>'Rate Class Energy Model'!J22</f>
        <v>675128624</v>
      </c>
      <c r="L28" s="26">
        <f>'Rate Class Energy Model'!J23</f>
        <v>664095955</v>
      </c>
      <c r="M28" s="26">
        <f>'Rate Class Energy Model'!J24</f>
        <v>655968805</v>
      </c>
      <c r="N28" s="26">
        <f>'Rate Class Energy Model'!J25</f>
        <v>639303434</v>
      </c>
      <c r="O28" s="26">
        <f>'Rate Class Energy Model'!J26</f>
        <v>645074724.8906074</v>
      </c>
      <c r="P28" s="26">
        <f>'Rate Class Energy Model'!J27</f>
        <v>642382592.3132877</v>
      </c>
      <c r="Q28" s="26">
        <f>'Rate Class Energy Model'!J28</f>
        <v>624101454.8927417</v>
      </c>
      <c r="R28" s="26">
        <f>'Rate Class Energy Model'!J29</f>
        <v>635816200.6741188</v>
      </c>
      <c r="S28" s="26">
        <f>'Rate Class Energy Model'!J129</f>
        <v>642357413.4713719</v>
      </c>
      <c r="T28" s="26">
        <f>'Rate Class Energy Model'!J130</f>
        <v>664474782</v>
      </c>
      <c r="U28" s="26">
        <f>'Rate Class Energy Model'!J131</f>
        <v>689956286.42</v>
      </c>
    </row>
    <row r="29" spans="1:21" ht="12.75">
      <c r="A29" t="s">
        <v>53</v>
      </c>
      <c r="B29" s="5">
        <f>'Rate Class Load Model'!B8</f>
        <v>1529263</v>
      </c>
      <c r="C29" s="5">
        <f>'Rate Class Load Model'!B9</f>
        <v>1573551</v>
      </c>
      <c r="D29" s="5">
        <f>'Rate Class Load Model'!B10</f>
        <v>1673046</v>
      </c>
      <c r="E29" s="5">
        <f>'Rate Class Load Model'!B11</f>
        <v>1719941</v>
      </c>
      <c r="F29" s="5">
        <f>'Rate Class Load Model'!B12</f>
        <v>1777691</v>
      </c>
      <c r="G29" s="5">
        <f>'Rate Class Load Model'!B13</f>
        <v>1884479</v>
      </c>
      <c r="H29" s="5">
        <f>'Rate Class Load Model'!B14</f>
        <v>1735816</v>
      </c>
      <c r="I29" s="5">
        <f>'Rate Class Load Model'!B15</f>
        <v>1753191</v>
      </c>
      <c r="J29" s="26">
        <f>'Rate Class Load Model'!B16</f>
        <v>1769836</v>
      </c>
      <c r="K29" s="26">
        <f>'Rate Class Load Model'!B17</f>
        <v>1793543.418758744</v>
      </c>
      <c r="L29" s="26">
        <f>'Rate Class Load Model'!B18</f>
        <v>1761221.4536881603</v>
      </c>
      <c r="M29" s="26">
        <f>'Rate Class Load Model'!B19</f>
        <v>1721553.9692533722</v>
      </c>
      <c r="N29" s="26">
        <f>'Rate Class Load Model'!B20</f>
        <v>1662695</v>
      </c>
      <c r="O29" s="26">
        <f>'Rate Class Load Model'!B21</f>
        <v>1643856</v>
      </c>
      <c r="P29" s="26">
        <f>'Rate Class Load Model'!B22</f>
        <v>1616038.3</v>
      </c>
      <c r="Q29" s="26">
        <f>'Rate Class Load Model'!B23</f>
        <v>1603354.5</v>
      </c>
      <c r="R29" s="26">
        <f>'Rate Class Load Model'!B24</f>
        <v>1621855</v>
      </c>
      <c r="S29" s="26">
        <f>'Rate Class Load Model'!B25</f>
        <v>1639986.5553022167</v>
      </c>
      <c r="T29" s="26">
        <f>'Rate Class Load Model'!B26</f>
        <v>1699495.96</v>
      </c>
      <c r="U29" s="26">
        <f>'Rate Class Load Model'!B27</f>
        <v>1765045.8398735856</v>
      </c>
    </row>
    <row r="30" spans="5:21" ht="12.75">
      <c r="E30" s="64"/>
      <c r="F30" s="64"/>
      <c r="G30" s="64"/>
      <c r="H30" s="64"/>
      <c r="I30" s="64"/>
      <c r="J30" s="64"/>
      <c r="K30" s="68"/>
      <c r="L30" s="68"/>
      <c r="M30" s="68"/>
      <c r="N30" s="68"/>
      <c r="O30" s="68"/>
      <c r="P30" s="68"/>
      <c r="Q30" s="68"/>
      <c r="R30" s="68"/>
      <c r="S30" s="68"/>
      <c r="T30" s="68"/>
      <c r="U30" s="68"/>
    </row>
    <row r="31" spans="1:21" ht="12.75">
      <c r="A31" s="40" t="s">
        <v>318</v>
      </c>
      <c r="K31" s="26"/>
      <c r="L31" s="26"/>
      <c r="M31" s="26"/>
      <c r="N31" s="26"/>
      <c r="O31" s="26"/>
      <c r="P31" s="26"/>
      <c r="Q31" s="26"/>
      <c r="R31" s="26"/>
      <c r="S31" s="26"/>
      <c r="T31" s="26"/>
      <c r="U31" s="26"/>
    </row>
    <row r="32" spans="1:21" ht="12.75">
      <c r="A32" t="s">
        <v>51</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f>'Rate Class Customer Model '!E23</f>
        <v>2</v>
      </c>
      <c r="U32" s="5">
        <f>'Rate Class Customer Model '!E24</f>
        <v>2</v>
      </c>
    </row>
    <row r="33" spans="1:21" ht="12.75">
      <c r="A33" t="s">
        <v>52</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f>'Rate Class Energy Model'!K130</f>
        <v>0</v>
      </c>
      <c r="U33" s="5">
        <f>'Rate Class Energy Model'!K131</f>
        <v>2808332.58</v>
      </c>
    </row>
    <row r="34" spans="1:21" ht="12.75">
      <c r="A34" t="s">
        <v>53</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f>'Rate Class Load Model'!C26</f>
        <v>0</v>
      </c>
      <c r="U34" s="5">
        <f>'Rate Class Load Model'!C27</f>
        <v>6805.700126414409</v>
      </c>
    </row>
    <row r="35" spans="8:21" ht="12.75">
      <c r="H35" s="46"/>
      <c r="I35" s="22"/>
      <c r="K35" s="69"/>
      <c r="L35" s="69"/>
      <c r="M35" s="69"/>
      <c r="N35" s="69"/>
      <c r="O35" s="69"/>
      <c r="P35" s="69"/>
      <c r="Q35" s="69"/>
      <c r="R35" s="69"/>
      <c r="S35" s="69"/>
      <c r="T35" s="69"/>
      <c r="U35" s="69"/>
    </row>
    <row r="36" spans="1:21" ht="12.75">
      <c r="A36" s="40" t="str">
        <f>'Rate Class Energy Model'!L2</f>
        <v>Sentinels</v>
      </c>
      <c r="K36" s="26"/>
      <c r="L36" s="26"/>
      <c r="M36" s="26"/>
      <c r="N36" s="26"/>
      <c r="O36" s="26"/>
      <c r="P36" s="26"/>
      <c r="Q36" s="26"/>
      <c r="R36" s="26"/>
      <c r="S36" s="26"/>
      <c r="T36" s="26"/>
      <c r="U36" s="26"/>
    </row>
    <row r="37" spans="1:21" ht="12.75">
      <c r="A37" t="s">
        <v>74</v>
      </c>
      <c r="B37" s="5">
        <f>'Rate Class Customer Model '!F5</f>
        <v>582</v>
      </c>
      <c r="C37" s="5">
        <f>'Rate Class Customer Model '!F6</f>
        <v>582</v>
      </c>
      <c r="D37" s="5">
        <f>'Rate Class Customer Model '!F7</f>
        <v>602</v>
      </c>
      <c r="E37" s="5">
        <f>'Rate Class Customer Model '!F8</f>
        <v>522</v>
      </c>
      <c r="F37" s="5">
        <f>'Rate Class Customer Model '!F9</f>
        <v>594</v>
      </c>
      <c r="G37" s="5">
        <f>'Rate Class Customer Model '!F10</f>
        <v>569</v>
      </c>
      <c r="H37" s="5">
        <f>'Rate Class Customer Model '!F11</f>
        <v>564.2573529716507</v>
      </c>
      <c r="I37" s="5">
        <f>'Rate Class Customer Model '!F12</f>
        <v>565.5176609647879</v>
      </c>
      <c r="J37" s="26">
        <f>'Rate Class Customer Model '!F13</f>
        <v>417</v>
      </c>
      <c r="K37" s="26">
        <f>'Rate Class Customer Model '!F14</f>
        <v>369.070802919708</v>
      </c>
      <c r="L37" s="26">
        <f>'Rate Class Customer Model '!F15</f>
        <v>343.21635928961746</v>
      </c>
      <c r="M37" s="26">
        <f>'Rate Class Customer Model '!F16</f>
        <v>337.45847123719466</v>
      </c>
      <c r="N37" s="26">
        <f>'Rate Class Customer Model '!F17</f>
        <v>329.8436749748806</v>
      </c>
      <c r="O37" s="26">
        <f>'Rate Class Customer Model '!F18</f>
        <v>334.02420472022243</v>
      </c>
      <c r="P37" s="26">
        <f>'Rate Class Customer Model '!F19</f>
        <v>310.55261321144985</v>
      </c>
      <c r="Q37" s="26">
        <f>'Rate Class Customer Model '!F20</f>
        <v>324.0029199575034</v>
      </c>
      <c r="R37" s="26">
        <f>'Rate Class Customer Model '!F21</f>
        <v>311.62438056309577</v>
      </c>
      <c r="S37" s="26">
        <f>'Rate Class Customer Model '!F22</f>
        <v>296</v>
      </c>
      <c r="T37" s="26">
        <f>'Rate Class Customer Model '!F23</f>
        <v>289.65992984752455</v>
      </c>
      <c r="U37" s="26">
        <f>'Rate Class Customer Model '!F24</f>
        <v>283.45565864619203</v>
      </c>
    </row>
    <row r="38" spans="1:21" ht="12.75">
      <c r="A38" t="s">
        <v>52</v>
      </c>
      <c r="B38" s="5">
        <f>'Rate Class Energy Model'!L13</f>
        <v>0</v>
      </c>
      <c r="C38" s="5">
        <f>'Rate Class Energy Model'!L14</f>
        <v>298684.57708839467</v>
      </c>
      <c r="D38" s="5">
        <f>'Rate Class Energy Model'!L15</f>
        <v>299221.7421042796</v>
      </c>
      <c r="E38" s="5">
        <f>'Rate Class Energy Model'!L16</f>
        <v>336742.5535413941</v>
      </c>
      <c r="F38" s="5">
        <f>'Rate Class Energy Model'!L17</f>
        <v>317191.4570323554</v>
      </c>
      <c r="G38" s="5">
        <f>'Rate Class Energy Model'!L18</f>
        <v>295242.58428450144</v>
      </c>
      <c r="H38" s="5">
        <f>'Rate Class Energy Model'!L19</f>
        <v>286832</v>
      </c>
      <c r="I38" s="5">
        <f>'Rate Class Energy Model'!L20</f>
        <v>294273</v>
      </c>
      <c r="J38" s="26">
        <f>'Rate Class Energy Model'!L21</f>
        <v>293544.0982307384</v>
      </c>
      <c r="K38" s="26">
        <f>'Rate Class Energy Model'!L22</f>
        <v>246192</v>
      </c>
      <c r="L38" s="26">
        <f>'Rate Class Energy Model'!L23</f>
        <v>267435.260254046</v>
      </c>
      <c r="M38" s="26">
        <f>'Rate Class Energy Model'!L24</f>
        <v>265619</v>
      </c>
      <c r="N38" s="26">
        <f>'Rate Class Energy Model'!L25</f>
        <v>256092</v>
      </c>
      <c r="O38" s="26">
        <f>'Rate Class Energy Model'!L26</f>
        <v>223690.32693141061</v>
      </c>
      <c r="P38" s="26">
        <f>'Rate Class Energy Model'!L27</f>
        <v>213769.7111510164</v>
      </c>
      <c r="Q38" s="26">
        <f>'Rate Class Energy Model'!L28</f>
        <v>210488.54353129055</v>
      </c>
      <c r="R38" s="26">
        <f>'Rate Class Energy Model'!L29</f>
        <v>220523.9470129878</v>
      </c>
      <c r="S38" s="26">
        <f>'Rate Class Energy Model'!L129</f>
        <v>218186.4443473388</v>
      </c>
      <c r="T38" s="26">
        <f>'Rate Class Energy Model'!L130</f>
        <v>218399.86473544672</v>
      </c>
      <c r="U38" s="26">
        <f>'Rate Class Energy Model'!L131</f>
        <v>218613.49388199602</v>
      </c>
    </row>
    <row r="39" spans="1:21" ht="12.75">
      <c r="A39" t="s">
        <v>53</v>
      </c>
      <c r="B39" s="5">
        <f>'Rate Class Load Model'!D8</f>
        <v>956</v>
      </c>
      <c r="C39" s="5">
        <f>'Rate Class Load Model'!D9</f>
        <v>968</v>
      </c>
      <c r="D39" s="5">
        <f>'Rate Class Load Model'!D10</f>
        <v>933</v>
      </c>
      <c r="E39" s="5">
        <f>'Rate Class Load Model'!D11</f>
        <v>892</v>
      </c>
      <c r="F39" s="5">
        <f>'Rate Class Load Model'!D12</f>
        <v>831</v>
      </c>
      <c r="G39" s="5">
        <f>'Rate Class Load Model'!D13</f>
        <v>825</v>
      </c>
      <c r="H39" s="5">
        <f>'Rate Class Load Model'!D14</f>
        <v>733</v>
      </c>
      <c r="I39" s="5">
        <f>'Rate Class Load Model'!D15</f>
        <v>695</v>
      </c>
      <c r="J39" s="26">
        <f>'Rate Class Load Model'!D16</f>
        <v>653</v>
      </c>
      <c r="K39" s="26">
        <f>'Rate Class Load Model'!D17</f>
        <v>679.4790862967899</v>
      </c>
      <c r="L39" s="26">
        <f>'Rate Class Load Model'!D18</f>
        <v>720.8667013447761</v>
      </c>
      <c r="M39" s="26">
        <f>'Rate Class Load Model'!D19</f>
        <v>716.2304064927831</v>
      </c>
      <c r="N39" s="26">
        <f>'Rate Class Load Model'!D20</f>
        <v>676</v>
      </c>
      <c r="O39" s="26">
        <f>'Rate Class Load Model'!D21</f>
        <v>672</v>
      </c>
      <c r="P39" s="26">
        <f>'Rate Class Load Model'!D22</f>
        <v>642.6</v>
      </c>
      <c r="Q39" s="26">
        <f>'Rate Class Load Model'!D23</f>
        <v>645.5</v>
      </c>
      <c r="R39" s="26">
        <f>'Rate Class Load Model'!D24</f>
        <v>650</v>
      </c>
      <c r="S39" s="26">
        <f>'Rate Class Load Model'!D25</f>
        <v>643</v>
      </c>
      <c r="T39" s="26">
        <f>'Rate Class Load Model'!D26</f>
        <v>652.3765399724094</v>
      </c>
      <c r="U39" s="26">
        <f>'Rate Class Load Model'!D27</f>
        <v>653.0146660245107</v>
      </c>
    </row>
    <row r="40" spans="2:21" ht="12.75">
      <c r="B40" s="5"/>
      <c r="C40" s="5"/>
      <c r="D40" s="5"/>
      <c r="E40" s="5"/>
      <c r="F40" s="5"/>
      <c r="G40" s="5"/>
      <c r="H40" s="5"/>
      <c r="I40" s="5"/>
      <c r="J40" s="26"/>
      <c r="K40" s="26"/>
      <c r="L40" s="26"/>
      <c r="M40" s="26"/>
      <c r="N40" s="26"/>
      <c r="O40" s="26"/>
      <c r="P40" s="26"/>
      <c r="Q40" s="26"/>
      <c r="R40" s="26"/>
      <c r="S40" s="26"/>
      <c r="T40" s="26"/>
      <c r="U40" s="26"/>
    </row>
    <row r="41" spans="1:21" ht="12.75">
      <c r="A41" s="40" t="str">
        <f>'Rate Class Energy Model'!M2</f>
        <v>Streetlights</v>
      </c>
      <c r="K41" s="26"/>
      <c r="L41" s="26"/>
      <c r="M41" s="26"/>
      <c r="N41" s="26"/>
      <c r="O41" s="26"/>
      <c r="P41" s="26"/>
      <c r="Q41" s="26"/>
      <c r="R41" s="26"/>
      <c r="S41" s="26"/>
      <c r="T41" s="26"/>
      <c r="U41" s="26"/>
    </row>
    <row r="42" spans="1:21" ht="12.75">
      <c r="A42" t="s">
        <v>74</v>
      </c>
      <c r="B42" s="5">
        <f>'Rate Class Customer Model '!G5</f>
        <v>11157</v>
      </c>
      <c r="C42" s="5">
        <f>'Rate Class Customer Model '!G6</f>
        <v>11358</v>
      </c>
      <c r="D42" s="5">
        <f>'Rate Class Customer Model '!G7</f>
        <v>11588</v>
      </c>
      <c r="E42" s="5">
        <f>'Rate Class Customer Model '!G8</f>
        <v>11752</v>
      </c>
      <c r="F42" s="5">
        <f>'Rate Class Customer Model '!G9</f>
        <v>11807</v>
      </c>
      <c r="G42" s="5">
        <f>'Rate Class Customer Model '!G10</f>
        <v>11933</v>
      </c>
      <c r="H42" s="5">
        <f>'Rate Class Customer Model '!G11</f>
        <v>11986</v>
      </c>
      <c r="I42" s="5">
        <f>'Rate Class Customer Model '!G12</f>
        <v>12136.49957017356</v>
      </c>
      <c r="J42" s="26">
        <f>'Rate Class Customer Model '!G13</f>
        <v>12334.46038510101</v>
      </c>
      <c r="K42" s="26">
        <f>'Rate Class Customer Model '!G14</f>
        <v>12539.666666666666</v>
      </c>
      <c r="L42" s="26">
        <f>'Rate Class Customer Model '!G15</f>
        <v>12507.166666666666</v>
      </c>
      <c r="M42" s="26">
        <f>'Rate Class Customer Model '!G16</f>
        <v>12702</v>
      </c>
      <c r="N42" s="26">
        <f>'Rate Class Customer Model '!G17</f>
        <v>12745.32883801462</v>
      </c>
      <c r="O42" s="26">
        <f>'Rate Class Customer Model '!G18</f>
        <v>12897.455922865012</v>
      </c>
      <c r="P42" s="26">
        <f>'Rate Class Customer Model '!G19</f>
        <v>13176.916666666666</v>
      </c>
      <c r="Q42" s="26">
        <f>'Rate Class Customer Model '!G20</f>
        <v>13307.770868328518</v>
      </c>
      <c r="R42" s="26">
        <f>'Rate Class Customer Model '!G21</f>
        <v>13309.90555337005</v>
      </c>
      <c r="S42" s="26">
        <f>'Rate Class Customer Model '!G22</f>
        <v>13360</v>
      </c>
      <c r="T42" s="26">
        <f>'Rate Class Customer Model '!G23</f>
        <v>13496.246297913207</v>
      </c>
      <c r="U42" s="26">
        <f>'Rate Class Customer Model '!G24</f>
        <v>13633.882045953289</v>
      </c>
    </row>
    <row r="43" spans="1:21" ht="12.75">
      <c r="A43" t="s">
        <v>52</v>
      </c>
      <c r="B43" s="5">
        <f>'Rate Class Energy Model'!M13</f>
        <v>0</v>
      </c>
      <c r="C43" s="5">
        <f>'Rate Class Energy Model'!M14</f>
        <v>6713622.350962437</v>
      </c>
      <c r="D43" s="5">
        <f>'Rate Class Energy Model'!M15</f>
        <v>7027057.958512427</v>
      </c>
      <c r="E43" s="5">
        <f>'Rate Class Energy Model'!M16</f>
        <v>7458446.34965427</v>
      </c>
      <c r="F43" s="5">
        <f>'Rate Class Energy Model'!M17</f>
        <v>8236753.763607207</v>
      </c>
      <c r="G43" s="5">
        <f>'Rate Class Energy Model'!M18</f>
        <v>7023291.297802094</v>
      </c>
      <c r="H43" s="5">
        <f>'Rate Class Energy Model'!M19</f>
        <v>7504236</v>
      </c>
      <c r="I43" s="5">
        <f>'Rate Class Energy Model'!M20</f>
        <v>7271510</v>
      </c>
      <c r="J43" s="26">
        <f>'Rate Class Energy Model'!M21</f>
        <v>7368898.173868341</v>
      </c>
      <c r="K43" s="26">
        <f>'Rate Class Energy Model'!M22</f>
        <v>7294838</v>
      </c>
      <c r="L43" s="26">
        <f>'Rate Class Energy Model'!M23</f>
        <v>7329519</v>
      </c>
      <c r="M43" s="26">
        <f>'Rate Class Energy Model'!M24</f>
        <v>7344781</v>
      </c>
      <c r="N43" s="26">
        <f>'Rate Class Energy Model'!M25</f>
        <v>7429625</v>
      </c>
      <c r="O43" s="26">
        <f>'Rate Class Energy Model'!M26</f>
        <v>6899420.485289188</v>
      </c>
      <c r="P43" s="26">
        <f>'Rate Class Energy Model'!M27</f>
        <v>4950219.91095238</v>
      </c>
      <c r="Q43" s="26">
        <f>'Rate Class Energy Model'!M28</f>
        <v>4481098.81904762</v>
      </c>
      <c r="R43" s="26">
        <f>'Rate Class Energy Model'!M29</f>
        <v>4494761.78962963</v>
      </c>
      <c r="S43" s="26">
        <f>'Rate Class Energy Model'!M129</f>
        <v>4379323.827272728</v>
      </c>
      <c r="T43" s="26">
        <f>'Rate Class Energy Model'!M130</f>
        <v>4423984.505328791</v>
      </c>
      <c r="U43" s="26">
        <f>'Rate Class Energy Model'!M131</f>
        <v>4469100.636382417</v>
      </c>
    </row>
    <row r="44" spans="1:21" ht="12.75">
      <c r="A44" t="s">
        <v>53</v>
      </c>
      <c r="B44" s="5">
        <f>'Rate Class Load Model'!E8</f>
        <v>17456</v>
      </c>
      <c r="C44" s="5">
        <f>'Rate Class Load Model'!E9</f>
        <v>17588</v>
      </c>
      <c r="D44" s="5">
        <f>'Rate Class Load Model'!E10</f>
        <v>19480</v>
      </c>
      <c r="E44" s="5">
        <f>'Rate Class Load Model'!E11</f>
        <v>19789</v>
      </c>
      <c r="F44" s="5">
        <f>'Rate Class Load Model'!E12</f>
        <v>19932</v>
      </c>
      <c r="G44" s="5">
        <f>'Rate Class Load Model'!E13</f>
        <v>20188</v>
      </c>
      <c r="H44" s="5">
        <f>'Rate Class Load Model'!E14</f>
        <v>20371</v>
      </c>
      <c r="I44" s="5">
        <f>'Rate Class Load Model'!E15</f>
        <v>20319</v>
      </c>
      <c r="J44" s="26">
        <f>'Rate Class Load Model'!E16</f>
        <v>19656</v>
      </c>
      <c r="K44" s="26">
        <f>'Rate Class Load Model'!E17</f>
        <v>20391.457990632443</v>
      </c>
      <c r="L44" s="26">
        <f>'Rate Class Load Model'!E18</f>
        <v>21037.358958435376</v>
      </c>
      <c r="M44" s="26">
        <f>'Rate Class Load Model'!E19</f>
        <v>20808.575811577328</v>
      </c>
      <c r="N44" s="26">
        <f>'Rate Class Load Model'!E20</f>
        <v>20750</v>
      </c>
      <c r="O44" s="26">
        <f>'Rate Class Load Model'!E21</f>
        <v>20270</v>
      </c>
      <c r="P44" s="26">
        <f>'Rate Class Load Model'!E22</f>
        <v>13925</v>
      </c>
      <c r="Q44" s="26">
        <f>'Rate Class Load Model'!E23</f>
        <v>12517</v>
      </c>
      <c r="R44" s="26">
        <f>'Rate Class Load Model'!E24</f>
        <v>12519</v>
      </c>
      <c r="S44" s="26">
        <f>'Rate Class Load Model'!E25</f>
        <v>12447.416456305193</v>
      </c>
      <c r="T44" s="26">
        <f>'Rate Class Load Model'!E26</f>
        <v>12417.895849764438</v>
      </c>
      <c r="U44" s="26">
        <f>'Rate Class Load Model'!E27</f>
        <v>12544.534497773584</v>
      </c>
    </row>
    <row r="46" ht="12.75">
      <c r="A46" s="40" t="str">
        <f>'Rate Class Energy Model'!N2</f>
        <v>USL</v>
      </c>
    </row>
    <row r="47" spans="1:21" ht="12.75">
      <c r="A47" t="s">
        <v>74</v>
      </c>
      <c r="B47" s="5">
        <f>'Rate Class Customer Model '!H5</f>
        <v>419</v>
      </c>
      <c r="C47" s="5">
        <f>'Rate Class Customer Model '!H6</f>
        <v>422</v>
      </c>
      <c r="D47" s="5">
        <f>'Rate Class Customer Model '!H7</f>
        <v>422</v>
      </c>
      <c r="E47" s="5">
        <f>'Rate Class Customer Model '!H8</f>
        <v>422</v>
      </c>
      <c r="F47" s="5">
        <f>'Rate Class Customer Model '!H9</f>
        <v>422</v>
      </c>
      <c r="G47" s="5">
        <f>'Rate Class Customer Model '!H10</f>
        <v>440</v>
      </c>
      <c r="H47" s="5">
        <f>'Rate Class Customer Model '!H11</f>
        <v>444.9505245808019</v>
      </c>
      <c r="I47" s="5">
        <f>'Rate Class Customer Model '!H12</f>
        <v>454</v>
      </c>
      <c r="J47" s="26">
        <f>'Rate Class Customer Model '!H13</f>
        <v>465</v>
      </c>
      <c r="K47" s="26">
        <f>'Rate Class Customer Model '!H14</f>
        <v>424.05552631578945</v>
      </c>
      <c r="L47" s="26">
        <f>'Rate Class Customer Model '!H15</f>
        <v>383.5414710485133</v>
      </c>
      <c r="M47" s="26">
        <f>'Rate Class Customer Model '!H16</f>
        <v>421.60581516095533</v>
      </c>
      <c r="N47" s="26">
        <f>'Rate Class Customer Model '!H17</f>
        <v>420.76679379754455</v>
      </c>
      <c r="O47" s="26">
        <f>'Rate Class Customer Model '!H18</f>
        <v>358.4419696193889</v>
      </c>
      <c r="P47" s="26">
        <f>'Rate Class Customer Model '!H19</f>
        <v>388.5967096357271</v>
      </c>
      <c r="Q47" s="26">
        <f>'Rate Class Customer Model '!H20</f>
        <v>372.87823390631985</v>
      </c>
      <c r="R47" s="26">
        <f>'Rate Class Customer Model '!H21</f>
        <v>356.2799732201907</v>
      </c>
      <c r="S47" s="26">
        <f>'Rate Class Customer Model '!H22</f>
        <v>335</v>
      </c>
      <c r="T47" s="26">
        <f>'Rate Class Customer Model '!H23</f>
        <v>330.2007681949658</v>
      </c>
      <c r="U47" s="26">
        <f>'Rate Class Customer Model '!H24</f>
        <v>325.47029049715087</v>
      </c>
    </row>
    <row r="48" spans="1:21" ht="12.75">
      <c r="A48" t="s">
        <v>52</v>
      </c>
      <c r="B48" s="5">
        <f>'Rate Class Energy Model'!N13</f>
        <v>0</v>
      </c>
      <c r="C48" s="5">
        <f>'Rate Class Energy Model'!N14</f>
        <v>2419471.422537843</v>
      </c>
      <c r="D48" s="5">
        <f>'Rate Class Energy Model'!N15</f>
        <v>2425086.5427022986</v>
      </c>
      <c r="E48" s="5">
        <f>'Rate Class Energy Model'!N16</f>
        <v>2391929.6946365163</v>
      </c>
      <c r="F48" s="5">
        <f>'Rate Class Energy Model'!N17</f>
        <v>2375520.4641071595</v>
      </c>
      <c r="G48" s="5">
        <f>'Rate Class Energy Model'!N18</f>
        <v>2326943.5736251296</v>
      </c>
      <c r="H48" s="5">
        <f>'Rate Class Energy Model'!N19</f>
        <v>2302512</v>
      </c>
      <c r="I48" s="5">
        <f>'Rate Class Energy Model'!N20</f>
        <v>2356161</v>
      </c>
      <c r="J48" s="26">
        <f>'Rate Class Energy Model'!N21</f>
        <v>2345771.5107520283</v>
      </c>
      <c r="K48" s="26">
        <f>'Rate Class Energy Model'!N22</f>
        <v>1798316</v>
      </c>
      <c r="L48" s="26">
        <f>'Rate Class Energy Model'!N23</f>
        <v>2264271</v>
      </c>
      <c r="M48" s="26">
        <f>'Rate Class Energy Model'!N24</f>
        <v>2247877</v>
      </c>
      <c r="N48" s="26">
        <f>'Rate Class Energy Model'!N25</f>
        <v>1851221</v>
      </c>
      <c r="O48" s="26">
        <f>'Rate Class Energy Model'!N26</f>
        <v>1575358.3113620847</v>
      </c>
      <c r="P48" s="26">
        <f>'Rate Class Energy Model'!N27</f>
        <v>1562362.1560700946</v>
      </c>
      <c r="Q48" s="26">
        <f>'Rate Class Energy Model'!N28</f>
        <v>1534014.5475886853</v>
      </c>
      <c r="R48" s="26">
        <f>'Rate Class Energy Model'!N29</f>
        <v>1522941.4009031758</v>
      </c>
      <c r="S48" s="26">
        <f>'Rate Class Energy Model'!N129</f>
        <v>1564588.039157044</v>
      </c>
      <c r="T48" s="26">
        <f>'Rate Class Energy Model'!N130</f>
        <v>1522535.666813397</v>
      </c>
      <c r="U48" s="26">
        <f>'Rate Class Energy Model'!N131</f>
        <v>1481613.5613358333</v>
      </c>
    </row>
    <row r="49" spans="11:21" ht="12.75">
      <c r="K49" s="26"/>
      <c r="L49" s="26"/>
      <c r="M49" s="26"/>
      <c r="N49" s="26"/>
      <c r="O49" s="26"/>
      <c r="P49" s="26"/>
      <c r="Q49" s="26"/>
      <c r="R49" s="26"/>
      <c r="S49" s="26"/>
      <c r="T49" s="26"/>
      <c r="U49" s="26"/>
    </row>
    <row r="50" spans="1:10" ht="12.75">
      <c r="A50" s="40" t="s">
        <v>75</v>
      </c>
      <c r="B50" s="5"/>
      <c r="C50" s="5"/>
      <c r="D50" s="5"/>
      <c r="E50" s="5"/>
      <c r="F50" s="5"/>
      <c r="H50" s="5"/>
      <c r="I50" s="5"/>
      <c r="J50" s="26"/>
    </row>
    <row r="51" spans="1:21" ht="12.75">
      <c r="A51" t="s">
        <v>61</v>
      </c>
      <c r="B51" s="5">
        <f>'Rate Class Customer Model '!I5</f>
        <v>57749</v>
      </c>
      <c r="C51" s="5">
        <f>C19+C23+C27+C32+C37+C42+C47</f>
        <v>59715</v>
      </c>
      <c r="D51" s="5">
        <f aca="true" t="shared" si="1" ref="D51:U51">D19+D23+D27+D32+D37+D42+D47</f>
        <v>60323</v>
      </c>
      <c r="E51" s="5">
        <f t="shared" si="1"/>
        <v>61003</v>
      </c>
      <c r="F51" s="5">
        <f t="shared" si="1"/>
        <v>61856</v>
      </c>
      <c r="G51" s="5">
        <f t="shared" si="1"/>
        <v>62459</v>
      </c>
      <c r="H51" s="5">
        <f t="shared" si="1"/>
        <v>63057.20787755246</v>
      </c>
      <c r="I51" s="5">
        <f t="shared" si="1"/>
        <v>64025.6621736576</v>
      </c>
      <c r="J51" s="5">
        <f t="shared" si="1"/>
        <v>64264.043081257594</v>
      </c>
      <c r="K51" s="26">
        <f t="shared" si="1"/>
        <v>64494.49391374805</v>
      </c>
      <c r="L51" s="26">
        <f t="shared" si="1"/>
        <v>64219.99953435539</v>
      </c>
      <c r="M51" s="26">
        <f t="shared" si="1"/>
        <v>64913.26515103858</v>
      </c>
      <c r="N51" s="26">
        <f aca="true" t="shared" si="2" ref="N51:S51">N19+N23+N27+N32+N37+N42+N47</f>
        <v>65469.2038557717</v>
      </c>
      <c r="O51" s="26">
        <f t="shared" si="2"/>
        <v>66359.92209720463</v>
      </c>
      <c r="P51" s="26">
        <f t="shared" si="2"/>
        <v>67493.06598951384</v>
      </c>
      <c r="Q51" s="26">
        <f t="shared" si="2"/>
        <v>68923.65202219234</v>
      </c>
      <c r="R51" s="26">
        <f t="shared" si="2"/>
        <v>69570.80990715334</v>
      </c>
      <c r="S51" s="26">
        <f t="shared" si="2"/>
        <v>70058</v>
      </c>
      <c r="T51" s="26">
        <f t="shared" si="1"/>
        <v>70791.31293086117</v>
      </c>
      <c r="U51" s="26">
        <f t="shared" si="1"/>
        <v>71528.80799509663</v>
      </c>
    </row>
    <row r="52" spans="1:21" ht="12.75">
      <c r="A52" t="s">
        <v>52</v>
      </c>
      <c r="B52" s="5">
        <f>'Rate Class Energy Model'!G13</f>
        <v>0</v>
      </c>
      <c r="C52" s="5">
        <f>C20+C24+C28+C33+C38+C43+C48</f>
        <v>1108347420.2106147</v>
      </c>
      <c r="D52" s="5">
        <f aca="true" t="shared" si="3" ref="D52:M52">D20+D24+D28+D33+D38+D43+D48</f>
        <v>1135405804.1076436</v>
      </c>
      <c r="E52" s="5">
        <f t="shared" si="3"/>
        <v>1208894249.45057</v>
      </c>
      <c r="F52" s="5">
        <f t="shared" si="3"/>
        <v>1184184646.7743611</v>
      </c>
      <c r="G52" s="5">
        <f t="shared" si="3"/>
        <v>1220452819.8678427</v>
      </c>
      <c r="H52" s="5">
        <f t="shared" si="3"/>
        <v>1188897732</v>
      </c>
      <c r="I52" s="5">
        <f t="shared" si="3"/>
        <v>1161778118</v>
      </c>
      <c r="J52" s="5">
        <f t="shared" si="3"/>
        <v>1193712076.182653</v>
      </c>
      <c r="K52" s="26">
        <f t="shared" si="3"/>
        <v>1232998827</v>
      </c>
      <c r="L52" s="26">
        <f t="shared" si="3"/>
        <v>1214015314.2602541</v>
      </c>
      <c r="M52" s="26">
        <f t="shared" si="3"/>
        <v>1202305265</v>
      </c>
      <c r="N52" s="26">
        <f aca="true" t="shared" si="4" ref="N52:S52">N20+N24+N28+N33+N38+N43+N48</f>
        <v>1195394887</v>
      </c>
      <c r="O52" s="26">
        <f t="shared" si="4"/>
        <v>1195656486.8494906</v>
      </c>
      <c r="P52" s="26">
        <f t="shared" si="4"/>
        <v>1212742876.9017253</v>
      </c>
      <c r="Q52" s="26">
        <f t="shared" si="4"/>
        <v>1168010031.0215473</v>
      </c>
      <c r="R52" s="26">
        <f t="shared" si="4"/>
        <v>1224357127.1282399</v>
      </c>
      <c r="S52" s="26">
        <f t="shared" si="4"/>
        <v>1210020079.43717</v>
      </c>
      <c r="T52" s="26">
        <f>T20+T24+T28+T33+T38+T43+T48</f>
        <v>1241549745.0368776</v>
      </c>
      <c r="U52" s="26">
        <f>U20+U24+U28+U33+U38+U43+U48</f>
        <v>1284303928.6916</v>
      </c>
    </row>
    <row r="53" spans="1:21" ht="12.75">
      <c r="A53" t="s">
        <v>60</v>
      </c>
      <c r="B53" s="5">
        <f>'Rate Class Load Model'!F8</f>
        <v>1547675</v>
      </c>
      <c r="C53" s="5">
        <f>C29+C34+C39+C44</f>
        <v>1592107</v>
      </c>
      <c r="D53" s="5">
        <f aca="true" t="shared" si="5" ref="D53:U53">D29+D34+D39+D44</f>
        <v>1693459</v>
      </c>
      <c r="E53" s="5">
        <f t="shared" si="5"/>
        <v>1740622</v>
      </c>
      <c r="F53" s="5">
        <f t="shared" si="5"/>
        <v>1798454</v>
      </c>
      <c r="G53" s="5">
        <f t="shared" si="5"/>
        <v>1905492</v>
      </c>
      <c r="H53" s="5">
        <f t="shared" si="5"/>
        <v>1756920</v>
      </c>
      <c r="I53" s="5">
        <f t="shared" si="5"/>
        <v>1774205</v>
      </c>
      <c r="J53" s="5">
        <f t="shared" si="5"/>
        <v>1790145</v>
      </c>
      <c r="K53" s="26">
        <f t="shared" si="5"/>
        <v>1814614.3558356732</v>
      </c>
      <c r="L53" s="26">
        <f t="shared" si="5"/>
        <v>1782979.6793479405</v>
      </c>
      <c r="M53" s="26">
        <f t="shared" si="5"/>
        <v>1743078.7754714421</v>
      </c>
      <c r="N53" s="26">
        <f aca="true" t="shared" si="6" ref="N53:S53">N29+N34+N39+N44</f>
        <v>1684121</v>
      </c>
      <c r="O53" s="26">
        <f t="shared" si="6"/>
        <v>1664798</v>
      </c>
      <c r="P53" s="26">
        <f t="shared" si="6"/>
        <v>1630605.9000000001</v>
      </c>
      <c r="Q53" s="26">
        <f t="shared" si="6"/>
        <v>1616517</v>
      </c>
      <c r="R53" s="26">
        <f t="shared" si="6"/>
        <v>1635024</v>
      </c>
      <c r="S53" s="26">
        <f t="shared" si="6"/>
        <v>1653076.9717585219</v>
      </c>
      <c r="T53" s="26">
        <f t="shared" si="5"/>
        <v>1712566.2323897367</v>
      </c>
      <c r="U53" s="26">
        <f t="shared" si="5"/>
        <v>1785049.0891637981</v>
      </c>
    </row>
    <row r="55" spans="1:21" ht="12.75">
      <c r="A55" s="40" t="s">
        <v>76</v>
      </c>
      <c r="K55" s="70"/>
      <c r="L55" s="70"/>
      <c r="M55" s="70"/>
      <c r="N55" s="70"/>
      <c r="O55" s="70"/>
      <c r="P55" s="70"/>
      <c r="Q55" s="70"/>
      <c r="R55" s="70"/>
      <c r="S55" s="70"/>
      <c r="T55" s="70"/>
      <c r="U55" s="70"/>
    </row>
    <row r="56" spans="1:21" ht="12.75">
      <c r="A56" t="s">
        <v>61</v>
      </c>
      <c r="B56" s="5"/>
      <c r="C56" s="5">
        <f>'Rate Class Customer Model '!I6</f>
        <v>59715.0000002</v>
      </c>
      <c r="D56" s="5">
        <f>'Rate Class Customer Model '!I7</f>
        <v>60323.0000002</v>
      </c>
      <c r="E56" s="5">
        <f>'Rate Class Customer Model '!I8</f>
        <v>61003.0000002</v>
      </c>
      <c r="F56" s="5">
        <f>'Rate Class Customer Model '!I9</f>
        <v>61856.0000002</v>
      </c>
      <c r="G56" s="5">
        <f>'Rate Class Customer Model '!I10</f>
        <v>62459.0000002</v>
      </c>
      <c r="H56" s="5">
        <f>'Rate Class Customer Model '!I11</f>
        <v>63057.20787755246</v>
      </c>
      <c r="I56" s="5">
        <f>'Rate Class Customer Model '!I12</f>
        <v>64025.6621736576</v>
      </c>
      <c r="J56" s="5">
        <f>'Rate Class Customer Model '!I13</f>
        <v>64264.043081257594</v>
      </c>
      <c r="K56" s="26">
        <f>'Rate Class Customer Model '!I14</f>
        <v>64494.49391374805</v>
      </c>
      <c r="L56" s="26">
        <f>'Rate Class Customer Model '!I15</f>
        <v>64219.99953435539</v>
      </c>
      <c r="M56" s="26">
        <f>'Rate Class Customer Model '!I16</f>
        <v>64913.26515103858</v>
      </c>
      <c r="N56" s="26">
        <f>'Rate Class Customer Model '!I17</f>
        <v>65469.2038557717</v>
      </c>
      <c r="O56" s="26">
        <f>'Rate Class Customer Model '!I18</f>
        <v>66359.92209720463</v>
      </c>
      <c r="P56" s="26">
        <f>'Rate Class Customer Model '!I19</f>
        <v>67493.06598951384</v>
      </c>
      <c r="Q56" s="26">
        <f>'Rate Class Customer Model '!I20</f>
        <v>68923.65202219234</v>
      </c>
      <c r="R56" s="26">
        <f>'Rate Class Customer Model '!I21</f>
        <v>69570.80990715334</v>
      </c>
      <c r="S56" s="26">
        <f>'Rate Class Customer Model '!I22</f>
        <v>70058</v>
      </c>
      <c r="T56" s="26">
        <f>'Rate Class Customer Model '!I23</f>
        <v>70791.31293086117</v>
      </c>
      <c r="U56" s="26">
        <f>'Rate Class Customer Model '!I24</f>
        <v>71528.82149465683</v>
      </c>
    </row>
    <row r="57" spans="1:21" ht="12.75">
      <c r="A57" t="s">
        <v>52</v>
      </c>
      <c r="B57" s="5"/>
      <c r="C57" s="5">
        <f>'Rate Class Energy Model'!G14</f>
        <v>1108347420.2106147</v>
      </c>
      <c r="D57" s="5">
        <f>'Rate Class Energy Model'!G15</f>
        <v>1135405804.1076436</v>
      </c>
      <c r="E57" s="5">
        <f>'Rate Class Energy Model'!G16</f>
        <v>1208894249.45057</v>
      </c>
      <c r="F57" s="5">
        <f>'Rate Class Energy Model'!G17</f>
        <v>1184184646.7743611</v>
      </c>
      <c r="G57" s="5">
        <f>'Rate Class Energy Model'!G18</f>
        <v>1220452819.8678427</v>
      </c>
      <c r="H57" s="5">
        <f>'Rate Class Energy Model'!G19</f>
        <v>1188897732</v>
      </c>
      <c r="I57" s="5">
        <f>'Rate Class Energy Model'!G20</f>
        <v>1161778118</v>
      </c>
      <c r="J57" s="26">
        <f>'Rate Class Energy Model'!G21</f>
        <v>1193712076.182653</v>
      </c>
      <c r="K57" s="26">
        <f>'Rate Class Energy Model'!G22</f>
        <v>1232998827</v>
      </c>
      <c r="L57" s="26">
        <f>'Rate Class Energy Model'!G23</f>
        <v>1214015314.2602541</v>
      </c>
      <c r="M57" s="26">
        <f>'Rate Class Energy Model'!G24</f>
        <v>1202305265</v>
      </c>
      <c r="N57" s="26">
        <f>'Rate Class Energy Model'!G25</f>
        <v>1195394887</v>
      </c>
      <c r="O57" s="26">
        <f>'Rate Class Energy Model'!G26</f>
        <v>1195656486.8494906</v>
      </c>
      <c r="P57" s="26">
        <f>'Rate Class Energy Model'!G27</f>
        <v>1212742876.9017253</v>
      </c>
      <c r="Q57" s="26">
        <f>'Rate Class Energy Model'!G28</f>
        <v>1168010031.0215473</v>
      </c>
      <c r="R57" s="26">
        <f>'Rate Class Energy Model'!G29</f>
        <v>1224357127.1282399</v>
      </c>
      <c r="S57" s="26">
        <f>'Rate Class Energy Model'!O129</f>
        <v>1210020079.43717</v>
      </c>
      <c r="T57" s="26">
        <f>'Rate Class Energy Model'!O130</f>
        <v>1241549745.0368776</v>
      </c>
      <c r="U57" s="26">
        <f>'Rate Class Energy Model'!O131</f>
        <v>1284303928.6916</v>
      </c>
    </row>
    <row r="58" spans="1:21" ht="12.75">
      <c r="A58" t="s">
        <v>60</v>
      </c>
      <c r="B58" s="5"/>
      <c r="C58" s="5">
        <f>'Rate Class Load Model'!F9</f>
        <v>1592107</v>
      </c>
      <c r="D58" s="5">
        <f>'Rate Class Load Model'!F10</f>
        <v>1693459</v>
      </c>
      <c r="E58" s="5">
        <f>'Rate Class Load Model'!F11</f>
        <v>1740622</v>
      </c>
      <c r="F58" s="5">
        <f>'Rate Class Load Model'!F12</f>
        <v>1798454</v>
      </c>
      <c r="G58" s="5">
        <f>'Rate Class Load Model'!F13</f>
        <v>1905492</v>
      </c>
      <c r="H58" s="5">
        <f>'Rate Class Load Model'!F14</f>
        <v>1756920</v>
      </c>
      <c r="I58" s="5">
        <f>'Rate Class Load Model'!F15</f>
        <v>1774205</v>
      </c>
      <c r="J58" s="26">
        <f>'Rate Class Load Model'!F16</f>
        <v>1790145</v>
      </c>
      <c r="K58" s="26">
        <f>'Rate Class Load Model'!F17</f>
        <v>1814614.3558356732</v>
      </c>
      <c r="L58" s="26">
        <f>'Rate Class Load Model'!F18</f>
        <v>1782979.6793479405</v>
      </c>
      <c r="M58" s="26">
        <f>'Rate Class Load Model'!F19</f>
        <v>1743078.7754714421</v>
      </c>
      <c r="N58" s="26">
        <f>'Rate Class Load Model'!F20</f>
        <v>1684121</v>
      </c>
      <c r="O58" s="26">
        <f>'Rate Class Load Model'!F21</f>
        <v>1664798</v>
      </c>
      <c r="P58" s="26">
        <f>'Rate Class Load Model'!F22</f>
        <v>1630605.9000000001</v>
      </c>
      <c r="Q58" s="26">
        <f>'Rate Class Load Model'!F23</f>
        <v>1616517</v>
      </c>
      <c r="R58" s="26">
        <f>'Rate Class Load Model'!F24</f>
        <v>1635024</v>
      </c>
      <c r="S58" s="26">
        <f>'Rate Class Load Model'!F25</f>
        <v>1653076.9717585219</v>
      </c>
      <c r="T58" s="26">
        <f>'Rate Class Load Model'!F26</f>
        <v>1712566.2323897367</v>
      </c>
      <c r="U58" s="26">
        <f>'Rate Class Load Model'!F27</f>
        <v>1785049.0891637981</v>
      </c>
    </row>
    <row r="60" spans="1:21" ht="12.75">
      <c r="A60" s="40" t="s">
        <v>77</v>
      </c>
      <c r="C60" s="5"/>
      <c r="D60" s="5"/>
      <c r="E60" s="5"/>
      <c r="F60" s="5"/>
      <c r="G60" s="5"/>
      <c r="H60" s="5"/>
      <c r="I60" s="5"/>
      <c r="J60" s="5"/>
      <c r="K60" s="26"/>
      <c r="L60" s="26"/>
      <c r="M60" s="26"/>
      <c r="N60" s="26"/>
      <c r="O60" s="26"/>
      <c r="P60" s="26"/>
      <c r="Q60" s="26"/>
      <c r="R60" s="26"/>
      <c r="S60" s="26"/>
      <c r="T60" s="26"/>
      <c r="U60" s="26"/>
    </row>
    <row r="61" spans="1:21" ht="12.75">
      <c r="A61" t="s">
        <v>61</v>
      </c>
      <c r="B61" s="5"/>
      <c r="C61" s="5">
        <f>C51-C56</f>
        <v>-2.00001522898674E-07</v>
      </c>
      <c r="D61" s="5">
        <f aca="true" t="shared" si="7" ref="D61:K61">D51-D56</f>
        <v>-2.00001522898674E-07</v>
      </c>
      <c r="E61" s="5">
        <f t="shared" si="7"/>
        <v>-2.00001522898674E-07</v>
      </c>
      <c r="F61" s="5">
        <f t="shared" si="7"/>
        <v>-2.00001522898674E-07</v>
      </c>
      <c r="G61" s="5">
        <f t="shared" si="7"/>
        <v>-2.00001522898674E-07</v>
      </c>
      <c r="H61" s="5">
        <f t="shared" si="7"/>
        <v>0</v>
      </c>
      <c r="I61" s="5">
        <f t="shared" si="7"/>
        <v>0</v>
      </c>
      <c r="J61" s="5">
        <f t="shared" si="7"/>
        <v>0</v>
      </c>
      <c r="K61" s="26">
        <f t="shared" si="7"/>
        <v>0</v>
      </c>
      <c r="L61" s="26">
        <f aca="true" t="shared" si="8" ref="L61:M63">L51-L56</f>
        <v>0</v>
      </c>
      <c r="M61" s="26">
        <f t="shared" si="8"/>
        <v>0</v>
      </c>
      <c r="N61" s="26">
        <f aca="true" t="shared" si="9" ref="N61:S61">N51-N56</f>
        <v>0</v>
      </c>
      <c r="O61" s="26">
        <f t="shared" si="9"/>
        <v>0</v>
      </c>
      <c r="P61" s="26">
        <f t="shared" si="9"/>
        <v>0</v>
      </c>
      <c r="Q61" s="26">
        <f t="shared" si="9"/>
        <v>0</v>
      </c>
      <c r="R61" s="26">
        <f t="shared" si="9"/>
        <v>0</v>
      </c>
      <c r="S61" s="26">
        <f t="shared" si="9"/>
        <v>0</v>
      </c>
      <c r="T61" s="26">
        <f aca="true" t="shared" si="10" ref="T61:U63">T51-T56</f>
        <v>0</v>
      </c>
      <c r="U61" s="26">
        <f t="shared" si="10"/>
        <v>-0.013499560198397376</v>
      </c>
    </row>
    <row r="62" spans="1:21" ht="12.75">
      <c r="A62" t="s">
        <v>52</v>
      </c>
      <c r="B62" s="5"/>
      <c r="C62" s="5">
        <f aca="true" t="shared" si="11" ref="C62:K63">C52-C57</f>
        <v>0</v>
      </c>
      <c r="D62" s="5">
        <f t="shared" si="11"/>
        <v>0</v>
      </c>
      <c r="E62" s="5">
        <f t="shared" si="11"/>
        <v>0</v>
      </c>
      <c r="F62" s="5">
        <f t="shared" si="11"/>
        <v>0</v>
      </c>
      <c r="G62" s="5">
        <f t="shared" si="11"/>
        <v>0</v>
      </c>
      <c r="H62" s="5">
        <f t="shared" si="11"/>
        <v>0</v>
      </c>
      <c r="I62" s="5">
        <f t="shared" si="11"/>
        <v>0</v>
      </c>
      <c r="J62" s="5">
        <f t="shared" si="11"/>
        <v>0</v>
      </c>
      <c r="K62" s="26">
        <f t="shared" si="11"/>
        <v>0</v>
      </c>
      <c r="L62" s="26">
        <f t="shared" si="8"/>
        <v>0</v>
      </c>
      <c r="M62" s="26">
        <f t="shared" si="8"/>
        <v>0</v>
      </c>
      <c r="N62" s="26">
        <f aca="true" t="shared" si="12" ref="N62:S62">N52-N57</f>
        <v>0</v>
      </c>
      <c r="O62" s="26">
        <f t="shared" si="12"/>
        <v>0</v>
      </c>
      <c r="P62" s="26">
        <f t="shared" si="12"/>
        <v>0</v>
      </c>
      <c r="Q62" s="26">
        <f t="shared" si="12"/>
        <v>0</v>
      </c>
      <c r="R62" s="26">
        <f t="shared" si="12"/>
        <v>0</v>
      </c>
      <c r="S62" s="26">
        <f t="shared" si="12"/>
        <v>0</v>
      </c>
      <c r="T62" s="26">
        <f t="shared" si="10"/>
        <v>0</v>
      </c>
      <c r="U62" s="26">
        <f t="shared" si="10"/>
        <v>0</v>
      </c>
    </row>
    <row r="63" spans="1:21" ht="12.75">
      <c r="A63" t="s">
        <v>60</v>
      </c>
      <c r="B63" s="5"/>
      <c r="C63" s="5">
        <f t="shared" si="11"/>
        <v>0</v>
      </c>
      <c r="D63" s="5">
        <f t="shared" si="11"/>
        <v>0</v>
      </c>
      <c r="E63" s="5">
        <f t="shared" si="11"/>
        <v>0</v>
      </c>
      <c r="F63" s="5">
        <f t="shared" si="11"/>
        <v>0</v>
      </c>
      <c r="G63" s="5">
        <f t="shared" si="11"/>
        <v>0</v>
      </c>
      <c r="H63" s="5">
        <f t="shared" si="11"/>
        <v>0</v>
      </c>
      <c r="I63" s="5">
        <f t="shared" si="11"/>
        <v>0</v>
      </c>
      <c r="J63" s="5">
        <f t="shared" si="11"/>
        <v>0</v>
      </c>
      <c r="K63" s="26">
        <f t="shared" si="11"/>
        <v>0</v>
      </c>
      <c r="L63" s="26">
        <f t="shared" si="8"/>
        <v>0</v>
      </c>
      <c r="M63" s="26">
        <f t="shared" si="8"/>
        <v>0</v>
      </c>
      <c r="N63" s="26">
        <f aca="true" t="shared" si="13" ref="N63:S63">N53-N58</f>
        <v>0</v>
      </c>
      <c r="O63" s="26">
        <f t="shared" si="13"/>
        <v>0</v>
      </c>
      <c r="P63" s="26">
        <f t="shared" si="13"/>
        <v>0</v>
      </c>
      <c r="Q63" s="26">
        <f t="shared" si="13"/>
        <v>0</v>
      </c>
      <c r="R63" s="26">
        <f t="shared" si="13"/>
        <v>0</v>
      </c>
      <c r="S63" s="26">
        <f t="shared" si="13"/>
        <v>0</v>
      </c>
      <c r="T63" s="26">
        <f t="shared" si="10"/>
        <v>0</v>
      </c>
      <c r="U63" s="26">
        <f t="shared" si="10"/>
        <v>0</v>
      </c>
    </row>
    <row r="66" spans="2:19" ht="12.75">
      <c r="B66" s="1">
        <v>2002</v>
      </c>
      <c r="C66" s="1">
        <v>2003</v>
      </c>
      <c r="D66" s="1">
        <v>2004</v>
      </c>
      <c r="E66" s="1">
        <v>2005</v>
      </c>
      <c r="F66" s="1">
        <v>2006</v>
      </c>
      <c r="G66" s="1">
        <v>2007</v>
      </c>
      <c r="H66" s="1">
        <v>2008</v>
      </c>
      <c r="I66" s="1">
        <v>2009</v>
      </c>
      <c r="J66" s="22">
        <v>2010</v>
      </c>
      <c r="K66" s="22">
        <v>2011</v>
      </c>
      <c r="L66" s="22">
        <v>2012</v>
      </c>
      <c r="M66" s="22">
        <v>2013</v>
      </c>
      <c r="N66" s="22">
        <v>2014</v>
      </c>
      <c r="O66" s="22">
        <v>2015</v>
      </c>
      <c r="P66" s="22">
        <v>2016</v>
      </c>
      <c r="Q66" s="22">
        <v>2017</v>
      </c>
      <c r="R66" s="22">
        <v>2018</v>
      </c>
      <c r="S66" s="22">
        <v>2019</v>
      </c>
    </row>
    <row r="67" spans="1:19" ht="12.75">
      <c r="A67" s="199" t="s">
        <v>195</v>
      </c>
      <c r="B67" s="223">
        <f>B4/1000000</f>
        <v>1162.7106737803967</v>
      </c>
      <c r="C67" s="223">
        <f aca="true" t="shared" si="14" ref="C67:M67">C4/1000000</f>
        <v>1152.0431601684204</v>
      </c>
      <c r="D67" s="223">
        <f t="shared" si="14"/>
        <v>1205.2410738281756</v>
      </c>
      <c r="E67" s="223">
        <f t="shared" si="14"/>
        <v>1272.1913389746144</v>
      </c>
      <c r="F67" s="223">
        <f t="shared" si="14"/>
        <v>1248.0578397212546</v>
      </c>
      <c r="G67" s="223">
        <f t="shared" si="14"/>
        <v>1283.9163663514184</v>
      </c>
      <c r="H67" s="223">
        <f t="shared" si="14"/>
        <v>1247.360138218019</v>
      </c>
      <c r="I67" s="223">
        <f t="shared" si="14"/>
        <v>1216.8078194732932</v>
      </c>
      <c r="J67" s="223">
        <f t="shared" si="14"/>
        <v>1264.714636949239</v>
      </c>
      <c r="K67" s="223">
        <f t="shared" si="14"/>
        <v>1266.3116624232737</v>
      </c>
      <c r="L67" s="223">
        <f t="shared" si="14"/>
        <v>1260.7894508992722</v>
      </c>
      <c r="M67" s="223">
        <f t="shared" si="14"/>
        <v>1250.1083240952835</v>
      </c>
      <c r="N67" s="223">
        <f aca="true" t="shared" si="15" ref="N67:R68">N4/1000000</f>
        <v>1236.3540909399878</v>
      </c>
      <c r="O67" s="223">
        <f t="shared" si="15"/>
        <v>1243.4993300142835</v>
      </c>
      <c r="P67" s="223">
        <f t="shared" si="15"/>
        <v>1257.8313144022518</v>
      </c>
      <c r="Q67" s="223">
        <f t="shared" si="15"/>
        <v>1212.201215887123</v>
      </c>
      <c r="R67" s="223">
        <f t="shared" si="15"/>
        <v>1270.822506539402</v>
      </c>
      <c r="S67" s="223">
        <f>S4/1000000</f>
        <v>1252.366737669762</v>
      </c>
    </row>
    <row r="68" spans="1:19" ht="12.75">
      <c r="A68" s="199" t="s">
        <v>196</v>
      </c>
      <c r="B68" s="223">
        <f>B5/1000000</f>
        <v>1167.1669063030279</v>
      </c>
      <c r="C68" s="223">
        <f aca="true" t="shared" si="16" ref="C68:M68">C5/1000000</f>
        <v>1167.6054612558464</v>
      </c>
      <c r="D68" s="223">
        <f t="shared" si="16"/>
        <v>1179.5737749575324</v>
      </c>
      <c r="E68" s="223">
        <f t="shared" si="16"/>
        <v>1271.7241759971578</v>
      </c>
      <c r="F68" s="223">
        <f t="shared" si="16"/>
        <v>1247.989476515609</v>
      </c>
      <c r="G68" s="223">
        <f t="shared" si="16"/>
        <v>1273.1692313492474</v>
      </c>
      <c r="H68" s="223">
        <f t="shared" si="16"/>
        <v>1255.986577555526</v>
      </c>
      <c r="I68" s="223">
        <f t="shared" si="16"/>
        <v>1219.818977491308</v>
      </c>
      <c r="J68" s="223">
        <f t="shared" si="16"/>
        <v>1253.0855933978748</v>
      </c>
      <c r="K68" s="223">
        <f t="shared" si="16"/>
        <v>1261.3203971872842</v>
      </c>
      <c r="L68" s="223">
        <f t="shared" si="16"/>
        <v>1270.469171730973</v>
      </c>
      <c r="M68" s="223">
        <f t="shared" si="16"/>
        <v>1245.661460345254</v>
      </c>
      <c r="N68" s="223">
        <f t="shared" si="15"/>
        <v>1243.3506224973876</v>
      </c>
      <c r="O68" s="223">
        <f t="shared" si="15"/>
        <v>1251.6580371046405</v>
      </c>
      <c r="P68" s="223">
        <f t="shared" si="15"/>
        <v>1277.9415464546532</v>
      </c>
      <c r="Q68" s="223">
        <f t="shared" si="15"/>
        <v>1217.1439635909858</v>
      </c>
      <c r="R68" s="223">
        <f t="shared" si="15"/>
        <v>1255.8278791537887</v>
      </c>
      <c r="S68" s="223">
        <f>S5/1000000</f>
        <v>1243.8344274473848</v>
      </c>
    </row>
  </sheetData>
  <sheetProtection/>
  <printOptions/>
  <pageMargins left="0.38" right="0.75" top="0.73" bottom="0.74" header="0.5" footer="0.5"/>
  <pageSetup fitToHeight="1" fitToWidth="1" horizontalDpi="600" verticalDpi="600" orientation="landscape" scale="42" r:id="rId1"/>
</worksheet>
</file>

<file path=xl/worksheets/sheet10.xml><?xml version="1.0" encoding="utf-8"?>
<worksheet xmlns="http://schemas.openxmlformats.org/spreadsheetml/2006/main" xmlns:r="http://schemas.openxmlformats.org/officeDocument/2006/relationships">
  <sheetPr>
    <pageSetUpPr fitToPage="1"/>
  </sheetPr>
  <dimension ref="A1:T44"/>
  <sheetViews>
    <sheetView zoomScale="75" zoomScaleNormal="75" zoomScalePageLayoutView="0" workbookViewId="0" topLeftCell="A1">
      <selection activeCell="M17" sqref="M17"/>
    </sheetView>
  </sheetViews>
  <sheetFormatPr defaultColWidth="9.140625" defaultRowHeight="12.75"/>
  <cols>
    <col min="1" max="1" width="9.00390625" style="0" customWidth="1"/>
    <col min="2" max="2" width="17.7109375" style="0" customWidth="1"/>
    <col min="3" max="3" width="17.28125" style="0" bestFit="1" customWidth="1"/>
    <col min="4" max="4" width="3.7109375" style="0" customWidth="1"/>
    <col min="5" max="5" width="8.57421875" style="0" bestFit="1" customWidth="1"/>
    <col min="6" max="7" width="9.7109375" style="0" bestFit="1" customWidth="1"/>
    <col min="8" max="13" width="12.8515625" style="0" bestFit="1" customWidth="1"/>
    <col min="14" max="14" width="12.7109375" style="0" bestFit="1" customWidth="1"/>
  </cols>
  <sheetData>
    <row r="1" spans="1:20" ht="23.25">
      <c r="A1" s="93" t="s">
        <v>108</v>
      </c>
      <c r="B1" s="94"/>
      <c r="C1" s="94"/>
      <c r="D1" s="94"/>
      <c r="E1" s="94"/>
      <c r="F1" s="94"/>
      <c r="G1" s="94"/>
      <c r="H1" s="94"/>
      <c r="I1" s="94"/>
      <c r="J1" s="94"/>
      <c r="K1" s="94"/>
      <c r="L1" s="94"/>
      <c r="M1" s="94"/>
      <c r="N1" s="94"/>
      <c r="O1" s="94"/>
      <c r="P1" s="94"/>
      <c r="Q1" s="94"/>
      <c r="R1" s="94"/>
      <c r="S1" s="94"/>
      <c r="T1" s="94"/>
    </row>
    <row r="2" spans="1:5" ht="15.75">
      <c r="A2" s="95" t="s">
        <v>109</v>
      </c>
      <c r="B2" s="94"/>
      <c r="C2" s="94"/>
      <c r="D2" s="94"/>
      <c r="E2" s="94"/>
    </row>
    <row r="3" spans="1:20" ht="12.75">
      <c r="A3" s="94"/>
      <c r="B3" s="94"/>
      <c r="C3" s="94"/>
      <c r="D3" s="94"/>
      <c r="E3" s="94"/>
      <c r="F3" s="96"/>
      <c r="G3" s="96"/>
      <c r="H3" s="96"/>
      <c r="I3" s="96"/>
      <c r="J3" s="96"/>
      <c r="K3" s="96"/>
      <c r="L3" s="96"/>
      <c r="M3" s="96"/>
      <c r="N3" s="96"/>
      <c r="O3" s="96"/>
      <c r="P3" s="96"/>
      <c r="Q3" s="96"/>
      <c r="R3" s="96"/>
      <c r="S3" s="96"/>
      <c r="T3" s="96"/>
    </row>
    <row r="4" spans="1:20" ht="15.75">
      <c r="A4" s="95" t="s">
        <v>110</v>
      </c>
      <c r="B4" s="95" t="s">
        <v>111</v>
      </c>
      <c r="C4" s="94"/>
      <c r="D4" s="94"/>
      <c r="E4" s="94"/>
      <c r="F4" s="94"/>
      <c r="G4" s="94"/>
      <c r="H4" s="94"/>
      <c r="I4" s="94"/>
      <c r="J4" s="94"/>
      <c r="K4" s="94"/>
      <c r="L4" s="94"/>
      <c r="M4" s="94"/>
      <c r="N4" s="94"/>
      <c r="O4" s="94"/>
      <c r="P4" s="94"/>
      <c r="Q4" s="94"/>
      <c r="R4" s="94"/>
      <c r="S4" s="94"/>
      <c r="T4" s="94"/>
    </row>
    <row r="5" spans="1:20" ht="12.75">
      <c r="A5" s="94"/>
      <c r="B5" s="94"/>
      <c r="C5" s="94"/>
      <c r="D5" s="94"/>
      <c r="E5" s="94"/>
      <c r="F5" s="94"/>
      <c r="G5" s="94"/>
      <c r="H5" s="94"/>
      <c r="I5" s="94"/>
      <c r="J5" s="94"/>
      <c r="K5" s="94"/>
      <c r="L5" s="94"/>
      <c r="M5" s="94"/>
      <c r="N5" s="94"/>
      <c r="O5" s="94"/>
      <c r="P5" s="94"/>
      <c r="Q5" s="94"/>
      <c r="R5" s="94"/>
      <c r="S5" s="94"/>
      <c r="T5" s="94"/>
    </row>
    <row r="6" spans="1:20" ht="15.75">
      <c r="A6" s="97" t="s">
        <v>112</v>
      </c>
      <c r="B6" s="94"/>
      <c r="C6" s="94"/>
      <c r="D6" s="94"/>
      <c r="E6" s="94"/>
      <c r="F6" s="94"/>
      <c r="G6" s="94"/>
      <c r="H6" s="94"/>
      <c r="I6" s="94"/>
      <c r="J6" s="94"/>
      <c r="K6" s="94"/>
      <c r="L6" s="94"/>
      <c r="M6" s="94"/>
      <c r="N6" s="94"/>
      <c r="O6" s="94"/>
      <c r="P6" s="94"/>
      <c r="Q6" s="94"/>
      <c r="R6" s="94"/>
      <c r="S6" s="94"/>
      <c r="T6" s="94"/>
    </row>
    <row r="7" spans="1:20" ht="31.5">
      <c r="A7" s="98" t="s">
        <v>113</v>
      </c>
      <c r="B7" s="98" t="s">
        <v>114</v>
      </c>
      <c r="C7" s="98" t="s">
        <v>115</v>
      </c>
      <c r="D7" s="99"/>
      <c r="E7" s="100">
        <v>2006</v>
      </c>
      <c r="F7" s="100">
        <f>E7+1</f>
        <v>2007</v>
      </c>
      <c r="G7" s="100">
        <f aca="true" t="shared" si="0" ref="G7:T7">F7+1</f>
        <v>2008</v>
      </c>
      <c r="H7" s="100">
        <f t="shared" si="0"/>
        <v>2009</v>
      </c>
      <c r="I7" s="100">
        <f t="shared" si="0"/>
        <v>2010</v>
      </c>
      <c r="J7" s="100">
        <f t="shared" si="0"/>
        <v>2011</v>
      </c>
      <c r="K7" s="100">
        <f t="shared" si="0"/>
        <v>2012</v>
      </c>
      <c r="L7" s="100">
        <f t="shared" si="0"/>
        <v>2013</v>
      </c>
      <c r="M7" s="100">
        <f t="shared" si="0"/>
        <v>2014</v>
      </c>
      <c r="N7" s="100">
        <f t="shared" si="0"/>
        <v>2015</v>
      </c>
      <c r="O7" s="100">
        <f t="shared" si="0"/>
        <v>2016</v>
      </c>
      <c r="P7" s="100">
        <f t="shared" si="0"/>
        <v>2017</v>
      </c>
      <c r="Q7" s="100">
        <f t="shared" si="0"/>
        <v>2018</v>
      </c>
      <c r="R7" s="100">
        <f t="shared" si="0"/>
        <v>2019</v>
      </c>
      <c r="S7" s="100">
        <f t="shared" si="0"/>
        <v>2020</v>
      </c>
      <c r="T7" s="100">
        <f t="shared" si="0"/>
        <v>2021</v>
      </c>
    </row>
    <row r="8" spans="1:20" ht="15">
      <c r="A8" s="101"/>
      <c r="B8" s="101"/>
      <c r="C8" s="101"/>
      <c r="D8" s="101"/>
      <c r="E8" s="102"/>
      <c r="F8" s="102"/>
      <c r="G8" s="102"/>
      <c r="H8" s="102"/>
      <c r="I8" s="102"/>
      <c r="J8" s="102"/>
      <c r="K8" s="102"/>
      <c r="L8" s="102"/>
      <c r="M8" s="102"/>
      <c r="N8" s="102"/>
      <c r="O8" s="102"/>
      <c r="P8" s="102"/>
      <c r="Q8" s="102"/>
      <c r="R8" s="102"/>
      <c r="S8" s="102"/>
      <c r="T8" s="102"/>
    </row>
    <row r="9" spans="1:20" ht="15">
      <c r="A9" s="103">
        <v>1</v>
      </c>
      <c r="B9" s="104" t="s">
        <v>116</v>
      </c>
      <c r="C9" s="105" t="s">
        <v>117</v>
      </c>
      <c r="D9" s="101"/>
      <c r="E9" s="106">
        <v>3.0900596116527574</v>
      </c>
      <c r="F9" s="107">
        <v>0.20394052426837597</v>
      </c>
      <c r="G9" s="107">
        <v>0.20394052426837597</v>
      </c>
      <c r="H9" s="107">
        <v>0.20394052426837597</v>
      </c>
      <c r="I9" s="107">
        <v>0.20394052426837597</v>
      </c>
      <c r="J9" s="107">
        <v>0.20394052426837597</v>
      </c>
      <c r="K9" s="107">
        <v>0.1898036605191311</v>
      </c>
      <c r="L9" s="107">
        <v>0.1898036605191311</v>
      </c>
      <c r="M9" s="107">
        <v>0.14844914543099025</v>
      </c>
      <c r="N9" s="107">
        <v>0.14844914543099025</v>
      </c>
      <c r="O9" s="107">
        <v>0.14844914543099025</v>
      </c>
      <c r="P9" s="107">
        <v>0.14844914543099025</v>
      </c>
      <c r="Q9" s="107">
        <v>0.14844914543099025</v>
      </c>
      <c r="R9" s="107">
        <v>0.14844914543099025</v>
      </c>
      <c r="S9" s="107">
        <v>0.09085378708586256</v>
      </c>
      <c r="T9" s="107">
        <v>0.06201619882504697</v>
      </c>
    </row>
    <row r="10" spans="1:20" ht="15">
      <c r="A10" s="108">
        <f>A9+1</f>
        <v>2</v>
      </c>
      <c r="B10" s="109" t="s">
        <v>118</v>
      </c>
      <c r="C10" s="110" t="s">
        <v>117</v>
      </c>
      <c r="D10" s="101"/>
      <c r="E10" s="111">
        <v>0</v>
      </c>
      <c r="F10" s="112">
        <v>4.76478009197195</v>
      </c>
      <c r="G10" s="112">
        <v>0.5358849521405221</v>
      </c>
      <c r="H10" s="112">
        <v>0.38799770478701384</v>
      </c>
      <c r="I10" s="112">
        <v>0.38799770478701384</v>
      </c>
      <c r="J10" s="112">
        <v>0.3860614040691402</v>
      </c>
      <c r="K10" s="112">
        <v>0.3712251364752022</v>
      </c>
      <c r="L10" s="112">
        <v>0.3712251364752022</v>
      </c>
      <c r="M10" s="112">
        <v>0.3712251364752022</v>
      </c>
      <c r="N10" s="112">
        <v>0.32961677365270603</v>
      </c>
      <c r="O10" s="112">
        <v>0.31470413853936996</v>
      </c>
      <c r="P10" s="112">
        <v>0.2892208939419381</v>
      </c>
      <c r="Q10" s="112">
        <v>0.2892208939419381</v>
      </c>
      <c r="R10" s="112">
        <v>0.2761798939419381</v>
      </c>
      <c r="S10" s="112">
        <v>0.2761798939419381</v>
      </c>
      <c r="T10" s="112">
        <v>0.14009326244284467</v>
      </c>
    </row>
    <row r="11" spans="1:20" ht="15">
      <c r="A11" s="113">
        <f>A10+1</f>
        <v>3</v>
      </c>
      <c r="B11" s="114" t="s">
        <v>119</v>
      </c>
      <c r="C11" s="115" t="s">
        <v>117</v>
      </c>
      <c r="D11" s="101"/>
      <c r="E11" s="116">
        <v>0</v>
      </c>
      <c r="F11" s="117">
        <v>0</v>
      </c>
      <c r="G11" s="117">
        <v>6.67488653334685</v>
      </c>
      <c r="H11" s="117">
        <v>1.009942718771253</v>
      </c>
      <c r="I11" s="117">
        <v>1.009942718771253</v>
      </c>
      <c r="J11" s="117">
        <v>1.009942718771253</v>
      </c>
      <c r="K11" s="117">
        <v>1.0039607739385992</v>
      </c>
      <c r="L11" s="117">
        <v>1.0039607739385992</v>
      </c>
      <c r="M11" s="117">
        <v>0.9911724446055045</v>
      </c>
      <c r="N11" s="117">
        <v>0.9868531366324117</v>
      </c>
      <c r="O11" s="117">
        <v>0.963785444062096</v>
      </c>
      <c r="P11" s="117">
        <v>0.9374440711568831</v>
      </c>
      <c r="Q11" s="117">
        <v>0.9334729997713019</v>
      </c>
      <c r="R11" s="117">
        <v>0.9334729997713019</v>
      </c>
      <c r="S11" s="117">
        <v>0.9232829380510092</v>
      </c>
      <c r="T11" s="117">
        <v>0.3539804642346355</v>
      </c>
    </row>
    <row r="12" spans="1:20" ht="15">
      <c r="A12" s="108">
        <f>A11+1</f>
        <v>4</v>
      </c>
      <c r="B12" s="109" t="s">
        <v>120</v>
      </c>
      <c r="C12" s="110" t="s">
        <v>117</v>
      </c>
      <c r="D12" s="101"/>
      <c r="E12" s="111">
        <v>0</v>
      </c>
      <c r="F12" s="112">
        <v>0</v>
      </c>
      <c r="G12" s="112">
        <v>0</v>
      </c>
      <c r="H12" s="112">
        <v>5.750470900813895</v>
      </c>
      <c r="I12" s="112">
        <v>0.8719660729032233</v>
      </c>
      <c r="J12" s="112">
        <v>0.8719660729032233</v>
      </c>
      <c r="K12" s="112">
        <v>0.8700508516862591</v>
      </c>
      <c r="L12" s="112">
        <v>0.8555701401292055</v>
      </c>
      <c r="M12" s="112">
        <v>0.8256491270411981</v>
      </c>
      <c r="N12" s="112">
        <v>0.8220064261931899</v>
      </c>
      <c r="O12" s="112">
        <v>0.7988485314563476</v>
      </c>
      <c r="P12" s="112">
        <v>0.7879957183897597</v>
      </c>
      <c r="Q12" s="112">
        <v>0.5356357956737785</v>
      </c>
      <c r="R12" s="112">
        <v>0.5287899411604623</v>
      </c>
      <c r="S12" s="112">
        <v>0.3477541856845002</v>
      </c>
      <c r="T12" s="112">
        <v>0.3323718997744888</v>
      </c>
    </row>
    <row r="13" spans="1:20" ht="15">
      <c r="A13" s="113">
        <f>A12+1</f>
        <v>5</v>
      </c>
      <c r="B13" s="114" t="s">
        <v>121</v>
      </c>
      <c r="C13" s="115" t="s">
        <v>117</v>
      </c>
      <c r="D13" s="101"/>
      <c r="E13" s="116">
        <v>0</v>
      </c>
      <c r="F13" s="117">
        <v>0</v>
      </c>
      <c r="G13" s="117">
        <v>0</v>
      </c>
      <c r="H13" s="117">
        <v>0</v>
      </c>
      <c r="I13" s="117">
        <v>4.869320065473639</v>
      </c>
      <c r="J13" s="117">
        <v>1.0759658694929723</v>
      </c>
      <c r="K13" s="117">
        <v>1.0755352872055102</v>
      </c>
      <c r="L13" s="117">
        <v>1.0728164670534277</v>
      </c>
      <c r="M13" s="117">
        <v>1.0544682006671997</v>
      </c>
      <c r="N13" s="117">
        <v>1.0076427480440666</v>
      </c>
      <c r="O13" s="117">
        <v>1.0069468613248718</v>
      </c>
      <c r="P13" s="117">
        <v>1.0069468613248718</v>
      </c>
      <c r="Q13" s="117">
        <v>0.6947947488308883</v>
      </c>
      <c r="R13" s="117">
        <v>0.6882531770781831</v>
      </c>
      <c r="S13" s="117">
        <v>0.40189743791231747</v>
      </c>
      <c r="T13" s="117">
        <v>0.40189743791231747</v>
      </c>
    </row>
    <row r="14" spans="1:20" ht="15.75">
      <c r="A14" s="118" t="s">
        <v>11</v>
      </c>
      <c r="B14" s="119"/>
      <c r="C14" s="120"/>
      <c r="D14" s="99"/>
      <c r="E14" s="121">
        <f>SUM(E9:E13)</f>
        <v>3.0900596116527574</v>
      </c>
      <c r="F14" s="121">
        <f aca="true" t="shared" si="1" ref="F14:N14">SUM(F9:F13)</f>
        <v>4.968720616240326</v>
      </c>
      <c r="G14" s="121">
        <f t="shared" si="1"/>
        <v>7.414712009755748</v>
      </c>
      <c r="H14" s="121">
        <f t="shared" si="1"/>
        <v>7.352351848640538</v>
      </c>
      <c r="I14" s="121">
        <f t="shared" si="1"/>
        <v>7.343167086203505</v>
      </c>
      <c r="J14" s="121">
        <f t="shared" si="1"/>
        <v>3.547876589504965</v>
      </c>
      <c r="K14" s="121">
        <f t="shared" si="1"/>
        <v>3.5105757098247015</v>
      </c>
      <c r="L14" s="121">
        <f t="shared" si="1"/>
        <v>3.4933761781155654</v>
      </c>
      <c r="M14" s="121">
        <f t="shared" si="1"/>
        <v>3.390964054220095</v>
      </c>
      <c r="N14" s="121">
        <f t="shared" si="1"/>
        <v>3.2945682299533647</v>
      </c>
      <c r="O14" s="121">
        <f aca="true" t="shared" si="2" ref="O14:T14">SUM(O9:O13)</f>
        <v>3.2327341208136753</v>
      </c>
      <c r="P14" s="121">
        <f t="shared" si="2"/>
        <v>3.1700566902444427</v>
      </c>
      <c r="Q14" s="121">
        <f t="shared" si="2"/>
        <v>2.6015735836488973</v>
      </c>
      <c r="R14" s="121">
        <f t="shared" si="2"/>
        <v>2.5751451573828756</v>
      </c>
      <c r="S14" s="121">
        <f t="shared" si="2"/>
        <v>2.0399682426756276</v>
      </c>
      <c r="T14" s="121">
        <f t="shared" si="2"/>
        <v>1.2903592631893335</v>
      </c>
    </row>
    <row r="15" spans="1:20" ht="15">
      <c r="A15" s="102"/>
      <c r="B15" s="102"/>
      <c r="C15" s="102"/>
      <c r="D15" s="102"/>
      <c r="E15" s="102"/>
      <c r="F15" s="102"/>
      <c r="G15" s="102"/>
      <c r="H15" s="102"/>
      <c r="I15" s="102"/>
      <c r="J15" s="102"/>
      <c r="K15" s="102"/>
      <c r="L15" s="102"/>
      <c r="M15" s="102"/>
      <c r="N15" s="102"/>
      <c r="O15" s="102"/>
      <c r="P15" s="102"/>
      <c r="Q15" s="102"/>
      <c r="R15" s="102"/>
      <c r="S15" s="102"/>
      <c r="T15" s="102"/>
    </row>
    <row r="16" spans="1:20" ht="15.75">
      <c r="A16" s="97" t="s">
        <v>122</v>
      </c>
      <c r="B16" s="102"/>
      <c r="C16" s="102"/>
      <c r="D16" s="102"/>
      <c r="E16" s="102"/>
      <c r="F16" s="102"/>
      <c r="G16" s="102"/>
      <c r="H16" s="102"/>
      <c r="I16" s="102"/>
      <c r="J16" s="102"/>
      <c r="K16" s="102"/>
      <c r="L16" s="102"/>
      <c r="M16" s="102"/>
      <c r="N16" s="102"/>
      <c r="O16" s="102"/>
      <c r="P16" s="102"/>
      <c r="Q16" s="102"/>
      <c r="R16" s="102"/>
      <c r="S16" s="102"/>
      <c r="T16" s="102"/>
    </row>
    <row r="17" spans="1:20" ht="31.5">
      <c r="A17" s="98" t="s">
        <v>113</v>
      </c>
      <c r="B17" s="98" t="s">
        <v>114</v>
      </c>
      <c r="C17" s="98" t="s">
        <v>115</v>
      </c>
      <c r="D17" s="99"/>
      <c r="E17" s="100">
        <v>2006</v>
      </c>
      <c r="F17" s="100">
        <f>E17+1</f>
        <v>2007</v>
      </c>
      <c r="G17" s="100">
        <f aca="true" t="shared" si="3" ref="G17:T17">F17+1</f>
        <v>2008</v>
      </c>
      <c r="H17" s="100">
        <f t="shared" si="3"/>
        <v>2009</v>
      </c>
      <c r="I17" s="100">
        <f t="shared" si="3"/>
        <v>2010</v>
      </c>
      <c r="J17" s="100">
        <f t="shared" si="3"/>
        <v>2011</v>
      </c>
      <c r="K17" s="100">
        <f t="shared" si="3"/>
        <v>2012</v>
      </c>
      <c r="L17" s="100">
        <f t="shared" si="3"/>
        <v>2013</v>
      </c>
      <c r="M17" s="100">
        <f t="shared" si="3"/>
        <v>2014</v>
      </c>
      <c r="N17" s="100">
        <f t="shared" si="3"/>
        <v>2015</v>
      </c>
      <c r="O17" s="100">
        <f t="shared" si="3"/>
        <v>2016</v>
      </c>
      <c r="P17" s="100">
        <f t="shared" si="3"/>
        <v>2017</v>
      </c>
      <c r="Q17" s="100">
        <f t="shared" si="3"/>
        <v>2018</v>
      </c>
      <c r="R17" s="100">
        <f t="shared" si="3"/>
        <v>2019</v>
      </c>
      <c r="S17" s="100">
        <f t="shared" si="3"/>
        <v>2020</v>
      </c>
      <c r="T17" s="100">
        <f t="shared" si="3"/>
        <v>2021</v>
      </c>
    </row>
    <row r="18" spans="1:20" ht="15">
      <c r="A18" s="101"/>
      <c r="B18" s="101"/>
      <c r="C18" s="101"/>
      <c r="D18" s="101"/>
      <c r="E18" s="102"/>
      <c r="F18" s="102"/>
      <c r="G18" s="102"/>
      <c r="H18" s="102"/>
      <c r="I18" s="102"/>
      <c r="J18" s="102"/>
      <c r="K18" s="102"/>
      <c r="L18" s="102"/>
      <c r="M18" s="102"/>
      <c r="N18" s="102"/>
      <c r="O18" s="102"/>
      <c r="P18" s="102"/>
      <c r="Q18" s="102"/>
      <c r="R18" s="102"/>
      <c r="S18" s="102"/>
      <c r="T18" s="102"/>
    </row>
    <row r="19" spans="1:20" ht="15">
      <c r="A19" s="103">
        <v>1</v>
      </c>
      <c r="B19" s="104" t="s">
        <v>116</v>
      </c>
      <c r="C19" s="105" t="s">
        <v>117</v>
      </c>
      <c r="D19" s="101"/>
      <c r="E19" s="122">
        <v>4211.2711894206695</v>
      </c>
      <c r="F19" s="123">
        <v>4211.2711894206695</v>
      </c>
      <c r="G19" s="123">
        <v>4211.2711894206695</v>
      </c>
      <c r="H19" s="123">
        <v>4211.2711894206695</v>
      </c>
      <c r="I19" s="123">
        <v>731.4045573173712</v>
      </c>
      <c r="J19" s="123">
        <v>731.4045573173712</v>
      </c>
      <c r="K19" s="123">
        <v>669.0360407765852</v>
      </c>
      <c r="L19" s="123">
        <v>669.0360407765852</v>
      </c>
      <c r="M19" s="123">
        <v>628.6624414102115</v>
      </c>
      <c r="N19" s="123">
        <v>628.6624414102115</v>
      </c>
      <c r="O19" s="123">
        <v>593.9473379856239</v>
      </c>
      <c r="P19" s="123">
        <v>593.9473379856239</v>
      </c>
      <c r="Q19" s="123">
        <v>593.9473379856239</v>
      </c>
      <c r="R19" s="123">
        <v>593.9473379856239</v>
      </c>
      <c r="S19" s="123">
        <v>537.6338581405329</v>
      </c>
      <c r="T19" s="123">
        <v>467.31954674944205</v>
      </c>
    </row>
    <row r="20" spans="1:20" ht="15">
      <c r="A20" s="108">
        <f>A19+1</f>
        <v>2</v>
      </c>
      <c r="B20" s="109" t="s">
        <v>118</v>
      </c>
      <c r="C20" s="110" t="s">
        <v>117</v>
      </c>
      <c r="D20" s="101"/>
      <c r="E20" s="124">
        <v>0</v>
      </c>
      <c r="F20" s="125">
        <v>3589.320779253394</v>
      </c>
      <c r="G20" s="125">
        <v>2152.4742848542305</v>
      </c>
      <c r="H20" s="125">
        <v>1973.5278449982538</v>
      </c>
      <c r="I20" s="125">
        <v>1973.5278449982538</v>
      </c>
      <c r="J20" s="125">
        <v>1973.1137881777531</v>
      </c>
      <c r="K20" s="125">
        <v>1907.71332600009</v>
      </c>
      <c r="L20" s="125">
        <v>1907.71332600009</v>
      </c>
      <c r="M20" s="125">
        <v>1907.71332600009</v>
      </c>
      <c r="N20" s="125">
        <v>653.3038005193438</v>
      </c>
      <c r="O20" s="125">
        <v>514.9985425719287</v>
      </c>
      <c r="P20" s="125">
        <v>307.4869940507729</v>
      </c>
      <c r="Q20" s="125">
        <v>307.4869940507729</v>
      </c>
      <c r="R20" s="125">
        <v>307.4869940507729</v>
      </c>
      <c r="S20" s="125">
        <v>307.4869940507729</v>
      </c>
      <c r="T20" s="125">
        <v>238.26839476144647</v>
      </c>
    </row>
    <row r="21" spans="1:20" ht="15">
      <c r="A21" s="113">
        <f>A20+1</f>
        <v>3</v>
      </c>
      <c r="B21" s="114" t="s">
        <v>119</v>
      </c>
      <c r="C21" s="115" t="s">
        <v>117</v>
      </c>
      <c r="D21" s="101"/>
      <c r="E21" s="126">
        <v>0</v>
      </c>
      <c r="F21" s="127">
        <v>0</v>
      </c>
      <c r="G21" s="127">
        <v>3033.0435656290015</v>
      </c>
      <c r="H21" s="127">
        <v>2473.418159643143</v>
      </c>
      <c r="I21" s="127">
        <v>2473.418159643143</v>
      </c>
      <c r="J21" s="127">
        <v>2473.418159643143</v>
      </c>
      <c r="K21" s="127">
        <v>2297.044524208826</v>
      </c>
      <c r="L21" s="127">
        <v>2296.831764208826</v>
      </c>
      <c r="M21" s="127">
        <v>2113.39087686388</v>
      </c>
      <c r="N21" s="127">
        <v>1976.345000255902</v>
      </c>
      <c r="O21" s="127">
        <v>1485.2465276747093</v>
      </c>
      <c r="P21" s="127">
        <v>1275.6955794597147</v>
      </c>
      <c r="Q21" s="127">
        <v>1159.1729287228961</v>
      </c>
      <c r="R21" s="127">
        <v>1159.1729287228961</v>
      </c>
      <c r="S21" s="127">
        <v>1141.6108844201299</v>
      </c>
      <c r="T21" s="127">
        <v>1115.2747817635063</v>
      </c>
    </row>
    <row r="22" spans="1:20" ht="15">
      <c r="A22" s="108">
        <f>A21+1</f>
        <v>4</v>
      </c>
      <c r="B22" s="109" t="s">
        <v>120</v>
      </c>
      <c r="C22" s="110" t="s">
        <v>117</v>
      </c>
      <c r="D22" s="101"/>
      <c r="E22" s="124">
        <v>0</v>
      </c>
      <c r="F22" s="125">
        <v>0</v>
      </c>
      <c r="G22" s="125">
        <v>0</v>
      </c>
      <c r="H22" s="125">
        <v>4448.144458398476</v>
      </c>
      <c r="I22" s="125">
        <v>3612.829404416103</v>
      </c>
      <c r="J22" s="125">
        <v>3612.829404416103</v>
      </c>
      <c r="K22" s="125">
        <v>3610.7595452963487</v>
      </c>
      <c r="L22" s="125">
        <v>3521.857774235653</v>
      </c>
      <c r="M22" s="125">
        <v>3287.2266552771703</v>
      </c>
      <c r="N22" s="125">
        <v>3045.2371893965524</v>
      </c>
      <c r="O22" s="125">
        <v>2940.0484550246683</v>
      </c>
      <c r="P22" s="125">
        <v>2379.052754787747</v>
      </c>
      <c r="Q22" s="125">
        <v>1824.5399201202927</v>
      </c>
      <c r="R22" s="125">
        <v>1522.3074383353273</v>
      </c>
      <c r="S22" s="125">
        <v>533.8895442889487</v>
      </c>
      <c r="T22" s="125">
        <v>483.5629313848459</v>
      </c>
    </row>
    <row r="23" spans="1:20" ht="15">
      <c r="A23" s="113">
        <f>A22+1</f>
        <v>5</v>
      </c>
      <c r="B23" s="114" t="s">
        <v>121</v>
      </c>
      <c r="C23" s="115" t="s">
        <v>117</v>
      </c>
      <c r="D23" s="101"/>
      <c r="E23" s="126">
        <v>0</v>
      </c>
      <c r="F23" s="127">
        <v>0</v>
      </c>
      <c r="G23" s="127">
        <v>0</v>
      </c>
      <c r="H23" s="127">
        <v>0</v>
      </c>
      <c r="I23" s="127">
        <v>5434.688147549854</v>
      </c>
      <c r="J23" s="127">
        <v>4043.1228357173677</v>
      </c>
      <c r="K23" s="127">
        <v>4037.1916313224883</v>
      </c>
      <c r="L23" s="127">
        <v>4034.505680620756</v>
      </c>
      <c r="M23" s="127">
        <v>3930.2869081013723</v>
      </c>
      <c r="N23" s="127">
        <v>3510.8753873762926</v>
      </c>
      <c r="O23" s="127">
        <v>3488.914288737348</v>
      </c>
      <c r="P23" s="127">
        <v>3177.5578880681014</v>
      </c>
      <c r="Q23" s="127">
        <v>2514.932895970261</v>
      </c>
      <c r="R23" s="127">
        <v>993.2583163580408</v>
      </c>
      <c r="S23" s="127">
        <v>629.4705649094994</v>
      </c>
      <c r="T23" s="127">
        <v>629.4705649094994</v>
      </c>
    </row>
    <row r="24" spans="1:20" ht="15.75">
      <c r="A24" s="118" t="s">
        <v>11</v>
      </c>
      <c r="B24" s="119"/>
      <c r="C24" s="120"/>
      <c r="D24" s="99"/>
      <c r="E24" s="128">
        <f>SUM(E19:E23)</f>
        <v>4211.2711894206695</v>
      </c>
      <c r="F24" s="128">
        <f aca="true" t="shared" si="4" ref="F24:N24">SUM(F19:F23)</f>
        <v>7800.5919686740635</v>
      </c>
      <c r="G24" s="128">
        <f t="shared" si="4"/>
        <v>9396.7890399039</v>
      </c>
      <c r="H24" s="128">
        <f t="shared" si="4"/>
        <v>13106.361652460542</v>
      </c>
      <c r="I24" s="128">
        <f t="shared" si="4"/>
        <v>14225.868113924726</v>
      </c>
      <c r="J24" s="128">
        <f t="shared" si="4"/>
        <v>12833.888745271739</v>
      </c>
      <c r="K24" s="128">
        <f t="shared" si="4"/>
        <v>12521.745067604339</v>
      </c>
      <c r="L24" s="128">
        <f t="shared" si="4"/>
        <v>12429.944585841911</v>
      </c>
      <c r="M24" s="128">
        <f t="shared" si="4"/>
        <v>11867.280207652724</v>
      </c>
      <c r="N24" s="128">
        <f t="shared" si="4"/>
        <v>9814.423818958303</v>
      </c>
      <c r="O24" s="128">
        <f aca="true" t="shared" si="5" ref="O24:T24">SUM(O19:O23)</f>
        <v>9023.155151994279</v>
      </c>
      <c r="P24" s="128">
        <f t="shared" si="5"/>
        <v>7733.74055435196</v>
      </c>
      <c r="Q24" s="128">
        <f t="shared" si="5"/>
        <v>6400.080076849847</v>
      </c>
      <c r="R24" s="128">
        <f t="shared" si="5"/>
        <v>4576.173015452661</v>
      </c>
      <c r="S24" s="128">
        <f t="shared" si="5"/>
        <v>3150.091845809884</v>
      </c>
      <c r="T24" s="128">
        <f t="shared" si="5"/>
        <v>2933.89621956874</v>
      </c>
    </row>
    <row r="25" spans="1:20" ht="15">
      <c r="A25" s="102"/>
      <c r="B25" s="102"/>
      <c r="C25" s="102"/>
      <c r="D25" s="102"/>
      <c r="E25" s="102"/>
      <c r="F25" s="102"/>
      <c r="G25" s="102"/>
      <c r="H25" s="102"/>
      <c r="I25" s="102"/>
      <c r="J25" s="102"/>
      <c r="K25" s="102"/>
      <c r="L25" s="102"/>
      <c r="M25" s="102"/>
      <c r="N25" s="102"/>
      <c r="O25" s="102"/>
      <c r="P25" s="102"/>
      <c r="Q25" s="102"/>
      <c r="R25" s="102"/>
      <c r="S25" s="102"/>
      <c r="T25" s="102"/>
    </row>
    <row r="26" spans="1:20" ht="15.75">
      <c r="A26" s="97" t="s">
        <v>123</v>
      </c>
      <c r="B26" s="102"/>
      <c r="C26" s="102"/>
      <c r="D26" s="102"/>
      <c r="E26" s="102"/>
      <c r="F26" s="102"/>
      <c r="G26" s="102"/>
      <c r="H26" s="102"/>
      <c r="I26" s="102"/>
      <c r="J26" s="102"/>
      <c r="K26" s="102"/>
      <c r="L26" s="102"/>
      <c r="M26" s="102"/>
      <c r="N26" s="102"/>
      <c r="O26" s="102"/>
      <c r="P26" s="102"/>
      <c r="Q26" s="102"/>
      <c r="R26" s="102"/>
      <c r="S26" s="102"/>
      <c r="T26" s="102"/>
    </row>
    <row r="27" spans="1:20" ht="15.75">
      <c r="A27" s="98" t="s">
        <v>113</v>
      </c>
      <c r="B27" s="98" t="s">
        <v>114</v>
      </c>
      <c r="C27" s="98" t="s">
        <v>115</v>
      </c>
      <c r="D27" s="99"/>
      <c r="E27" s="100">
        <v>2006</v>
      </c>
      <c r="F27" s="100">
        <f>E27+1</f>
        <v>2007</v>
      </c>
      <c r="G27" s="100">
        <f aca="true" t="shared" si="6" ref="G27:T27">F27+1</f>
        <v>2008</v>
      </c>
      <c r="H27" s="100">
        <f t="shared" si="6"/>
        <v>2009</v>
      </c>
      <c r="I27" s="100">
        <f t="shared" si="6"/>
        <v>2010</v>
      </c>
      <c r="J27" s="100">
        <f t="shared" si="6"/>
        <v>2011</v>
      </c>
      <c r="K27" s="100">
        <f t="shared" si="6"/>
        <v>2012</v>
      </c>
      <c r="L27" s="100">
        <f t="shared" si="6"/>
        <v>2013</v>
      </c>
      <c r="M27" s="100">
        <f t="shared" si="6"/>
        <v>2014</v>
      </c>
      <c r="N27" s="100">
        <f t="shared" si="6"/>
        <v>2015</v>
      </c>
      <c r="O27" s="100">
        <f t="shared" si="6"/>
        <v>2016</v>
      </c>
      <c r="P27" s="100">
        <f t="shared" si="6"/>
        <v>2017</v>
      </c>
      <c r="Q27" s="100">
        <f t="shared" si="6"/>
        <v>2018</v>
      </c>
      <c r="R27" s="100">
        <f t="shared" si="6"/>
        <v>2019</v>
      </c>
      <c r="S27" s="100">
        <f t="shared" si="6"/>
        <v>2020</v>
      </c>
      <c r="T27" s="100">
        <f t="shared" si="6"/>
        <v>2021</v>
      </c>
    </row>
    <row r="28" spans="1:20" ht="15">
      <c r="A28" s="101"/>
      <c r="B28" s="101"/>
      <c r="C28" s="101"/>
      <c r="D28" s="101"/>
      <c r="E28" s="102"/>
      <c r="F28" s="102"/>
      <c r="G28" s="102"/>
      <c r="H28" s="102"/>
      <c r="I28" s="102"/>
      <c r="J28" s="102"/>
      <c r="K28" s="102"/>
      <c r="L28" s="102"/>
      <c r="M28" s="102"/>
      <c r="N28" s="102"/>
      <c r="O28" s="102"/>
      <c r="P28" s="102"/>
      <c r="Q28" s="102"/>
      <c r="R28" s="102"/>
      <c r="S28" s="102"/>
      <c r="T28" s="102"/>
    </row>
    <row r="29" spans="1:20" ht="15">
      <c r="A29" s="103">
        <v>1</v>
      </c>
      <c r="B29" s="104" t="s">
        <v>116</v>
      </c>
      <c r="C29" s="105" t="s">
        <v>117</v>
      </c>
      <c r="D29" s="101"/>
      <c r="E29" s="106">
        <v>3.1276734439643987</v>
      </c>
      <c r="F29" s="107">
        <v>0.2415543565800175</v>
      </c>
      <c r="G29" s="107">
        <v>0.2415543565800175</v>
      </c>
      <c r="H29" s="107">
        <v>0.2415543565800175</v>
      </c>
      <c r="I29" s="107">
        <v>0.2415543565800175</v>
      </c>
      <c r="J29" s="107">
        <v>0.2415543565800175</v>
      </c>
      <c r="K29" s="107">
        <v>0.22584673019196766</v>
      </c>
      <c r="L29" s="107">
        <v>0.22584673019196766</v>
      </c>
      <c r="M29" s="107">
        <v>0.1798972689829223</v>
      </c>
      <c r="N29" s="107">
        <v>0.1798972689829223</v>
      </c>
      <c r="O29" s="107">
        <v>0.1798972689829223</v>
      </c>
      <c r="P29" s="107">
        <v>0.1798972689829223</v>
      </c>
      <c r="Q29" s="107">
        <v>0.1798972689829223</v>
      </c>
      <c r="R29" s="107">
        <v>0.1798972689829223</v>
      </c>
      <c r="S29" s="107">
        <v>0.11590242637722482</v>
      </c>
      <c r="T29" s="107">
        <v>0.07092441781289077</v>
      </c>
    </row>
    <row r="30" spans="1:20" ht="15">
      <c r="A30" s="108">
        <f>A29+1</f>
        <v>2</v>
      </c>
      <c r="B30" s="109" t="s">
        <v>118</v>
      </c>
      <c r="C30" s="110" t="s">
        <v>117</v>
      </c>
      <c r="D30" s="101"/>
      <c r="E30" s="111">
        <v>0</v>
      </c>
      <c r="F30" s="112">
        <v>11.999230125710756</v>
      </c>
      <c r="G30" s="112">
        <v>2.844590665531029</v>
      </c>
      <c r="H30" s="112">
        <v>1.6121969375851266</v>
      </c>
      <c r="I30" s="112">
        <v>1.6121969375851266</v>
      </c>
      <c r="J30" s="112">
        <v>1.607704360513494</v>
      </c>
      <c r="K30" s="112">
        <v>1.529909120482723</v>
      </c>
      <c r="L30" s="112">
        <v>1.529909120482723</v>
      </c>
      <c r="M30" s="112">
        <v>1.529909120482723</v>
      </c>
      <c r="N30" s="112">
        <v>1.46350304523968</v>
      </c>
      <c r="O30" s="112">
        <v>1.4257283546970554</v>
      </c>
      <c r="P30" s="112">
        <v>1.39142047390862</v>
      </c>
      <c r="Q30" s="112">
        <v>1.39142047390862</v>
      </c>
      <c r="R30" s="112">
        <v>1.3769304739086201</v>
      </c>
      <c r="S30" s="112">
        <v>1.3769304739086201</v>
      </c>
      <c r="T30" s="112">
        <v>0.24287521141617535</v>
      </c>
    </row>
    <row r="31" spans="1:20" ht="15">
      <c r="A31" s="113">
        <f>A30+1</f>
        <v>3</v>
      </c>
      <c r="B31" s="114" t="s">
        <v>119</v>
      </c>
      <c r="C31" s="115" t="s">
        <v>117</v>
      </c>
      <c r="D31" s="101"/>
      <c r="E31" s="116">
        <v>0</v>
      </c>
      <c r="F31" s="117">
        <v>0</v>
      </c>
      <c r="G31" s="117">
        <v>7.082528300327852</v>
      </c>
      <c r="H31" s="117">
        <v>1.3852931002942819</v>
      </c>
      <c r="I31" s="117">
        <v>1.3852931002942819</v>
      </c>
      <c r="J31" s="117">
        <v>1.3852931002942819</v>
      </c>
      <c r="K31" s="117">
        <v>1.3697032856210434</v>
      </c>
      <c r="L31" s="117">
        <v>1.3697032856210434</v>
      </c>
      <c r="M31" s="117">
        <v>1.3418073675003992</v>
      </c>
      <c r="N31" s="117">
        <v>1.3302793101858497</v>
      </c>
      <c r="O31" s="117">
        <v>1.2889817166385178</v>
      </c>
      <c r="P31" s="117">
        <v>1.2386027888780018</v>
      </c>
      <c r="Q31" s="117">
        <v>1.230321302315532</v>
      </c>
      <c r="R31" s="117">
        <v>1.230321302315532</v>
      </c>
      <c r="S31" s="117">
        <v>1.2070083788148498</v>
      </c>
      <c r="T31" s="117">
        <v>0.5741783406425333</v>
      </c>
    </row>
    <row r="32" spans="1:20" ht="15">
      <c r="A32" s="108">
        <f>A31+1</f>
        <v>4</v>
      </c>
      <c r="B32" s="109" t="s">
        <v>120</v>
      </c>
      <c r="C32" s="110" t="s">
        <v>117</v>
      </c>
      <c r="D32" s="101"/>
      <c r="E32" s="111">
        <v>0</v>
      </c>
      <c r="F32" s="112">
        <v>0</v>
      </c>
      <c r="G32" s="112">
        <v>0</v>
      </c>
      <c r="H32" s="112">
        <v>6.2763009014400595</v>
      </c>
      <c r="I32" s="112">
        <v>1.3930183612528009</v>
      </c>
      <c r="J32" s="112">
        <v>1.3930183612528009</v>
      </c>
      <c r="K32" s="112">
        <v>1.3892434699785279</v>
      </c>
      <c r="L32" s="112">
        <v>1.3590150422880136</v>
      </c>
      <c r="M32" s="112">
        <v>1.303889133255778</v>
      </c>
      <c r="N32" s="112">
        <v>1.2961905003274308</v>
      </c>
      <c r="O32" s="112">
        <v>1.2677694476958519</v>
      </c>
      <c r="P32" s="112">
        <v>1.2434664105491717</v>
      </c>
      <c r="Q32" s="112">
        <v>0.9778243866376125</v>
      </c>
      <c r="R32" s="112">
        <v>0.9624057934854163</v>
      </c>
      <c r="S32" s="112">
        <v>0.6760164887259451</v>
      </c>
      <c r="T32" s="112">
        <v>0.6464859103781998</v>
      </c>
    </row>
    <row r="33" spans="1:20" ht="15">
      <c r="A33" s="113">
        <f>A32+1</f>
        <v>5</v>
      </c>
      <c r="B33" s="114" t="s">
        <v>121</v>
      </c>
      <c r="C33" s="115" t="s">
        <v>117</v>
      </c>
      <c r="D33" s="101"/>
      <c r="E33" s="116">
        <v>0</v>
      </c>
      <c r="F33" s="117">
        <v>0</v>
      </c>
      <c r="G33" s="117">
        <v>0</v>
      </c>
      <c r="H33" s="117">
        <v>0</v>
      </c>
      <c r="I33" s="117">
        <v>5.501935320577731</v>
      </c>
      <c r="J33" s="117">
        <v>1.7094314552773957</v>
      </c>
      <c r="K33" s="117">
        <v>1.7094097505161328</v>
      </c>
      <c r="L33" s="117">
        <v>1.701857472315904</v>
      </c>
      <c r="M33" s="117">
        <v>1.662767428342426</v>
      </c>
      <c r="N33" s="117">
        <v>1.575422417104481</v>
      </c>
      <c r="O33" s="117">
        <v>1.5742225662718676</v>
      </c>
      <c r="P33" s="117">
        <v>1.5742225662718676</v>
      </c>
      <c r="Q33" s="117">
        <v>1.2589741172150182</v>
      </c>
      <c r="R33" s="117">
        <v>1.2472083471659539</v>
      </c>
      <c r="S33" s="117">
        <v>0.7197997306952388</v>
      </c>
      <c r="T33" s="117">
        <v>0.7197997306952388</v>
      </c>
    </row>
    <row r="34" spans="1:20" ht="15.75">
      <c r="A34" s="118" t="s">
        <v>11</v>
      </c>
      <c r="B34" s="119"/>
      <c r="C34" s="120"/>
      <c r="D34" s="99"/>
      <c r="E34" s="121">
        <f>SUM(E29:E33)</f>
        <v>3.1276734439643987</v>
      </c>
      <c r="F34" s="121">
        <f aca="true" t="shared" si="7" ref="F34:N34">SUM(F29:F33)</f>
        <v>12.240784482290774</v>
      </c>
      <c r="G34" s="121">
        <f t="shared" si="7"/>
        <v>10.168673322438899</v>
      </c>
      <c r="H34" s="121">
        <f t="shared" si="7"/>
        <v>9.515345295899486</v>
      </c>
      <c r="I34" s="121">
        <f t="shared" si="7"/>
        <v>10.133998076289958</v>
      </c>
      <c r="J34" s="121">
        <f t="shared" si="7"/>
        <v>6.33700163391799</v>
      </c>
      <c r="K34" s="121">
        <f t="shared" si="7"/>
        <v>6.224112356790394</v>
      </c>
      <c r="L34" s="121">
        <f t="shared" si="7"/>
        <v>6.1863316508996515</v>
      </c>
      <c r="M34" s="121">
        <f t="shared" si="7"/>
        <v>6.018270318564249</v>
      </c>
      <c r="N34" s="121">
        <f t="shared" si="7"/>
        <v>5.845292541840364</v>
      </c>
      <c r="O34" s="121">
        <f aca="true" t="shared" si="8" ref="O34:T34">SUM(O29:O33)</f>
        <v>5.736599354286215</v>
      </c>
      <c r="P34" s="121">
        <f t="shared" si="8"/>
        <v>5.627609508590583</v>
      </c>
      <c r="Q34" s="121">
        <f t="shared" si="8"/>
        <v>5.038437549059705</v>
      </c>
      <c r="R34" s="121">
        <f t="shared" si="8"/>
        <v>4.996763185858445</v>
      </c>
      <c r="S34" s="121">
        <f t="shared" si="8"/>
        <v>4.095657498521879</v>
      </c>
      <c r="T34" s="121">
        <f t="shared" si="8"/>
        <v>2.254263610945038</v>
      </c>
    </row>
    <row r="35" spans="1:20" ht="15">
      <c r="A35" s="102"/>
      <c r="B35" s="102"/>
      <c r="C35" s="102"/>
      <c r="D35" s="102"/>
      <c r="E35" s="102"/>
      <c r="F35" s="102"/>
      <c r="G35" s="102"/>
      <c r="H35" s="102"/>
      <c r="I35" s="102"/>
      <c r="J35" s="102"/>
      <c r="K35" s="102"/>
      <c r="L35" s="102"/>
      <c r="M35" s="102"/>
      <c r="N35" s="102"/>
      <c r="O35" s="102"/>
      <c r="P35" s="102"/>
      <c r="Q35" s="102"/>
      <c r="R35" s="102"/>
      <c r="S35" s="102"/>
      <c r="T35" s="102"/>
    </row>
    <row r="36" spans="1:20" ht="15.75">
      <c r="A36" s="97" t="s">
        <v>124</v>
      </c>
      <c r="B36" s="102"/>
      <c r="C36" s="102"/>
      <c r="D36" s="102"/>
      <c r="E36" s="102"/>
      <c r="F36" s="102"/>
      <c r="G36" s="102"/>
      <c r="H36" s="102"/>
      <c r="I36" s="102"/>
      <c r="J36" s="102"/>
      <c r="K36" s="102"/>
      <c r="L36" s="102"/>
      <c r="M36" s="102"/>
      <c r="N36" s="102"/>
      <c r="O36" s="102"/>
      <c r="P36" s="102"/>
      <c r="Q36" s="102"/>
      <c r="R36" s="102"/>
      <c r="S36" s="102"/>
      <c r="T36" s="102"/>
    </row>
    <row r="37" spans="1:20" ht="15.75">
      <c r="A37" s="98" t="s">
        <v>113</v>
      </c>
      <c r="B37" s="98" t="s">
        <v>114</v>
      </c>
      <c r="C37" s="98" t="s">
        <v>115</v>
      </c>
      <c r="D37" s="99"/>
      <c r="E37" s="100">
        <v>2006</v>
      </c>
      <c r="F37" s="100">
        <f>E37+1</f>
        <v>2007</v>
      </c>
      <c r="G37" s="100">
        <f aca="true" t="shared" si="9" ref="G37:T37">F37+1</f>
        <v>2008</v>
      </c>
      <c r="H37" s="100">
        <f t="shared" si="9"/>
        <v>2009</v>
      </c>
      <c r="I37" s="100">
        <f t="shared" si="9"/>
        <v>2010</v>
      </c>
      <c r="J37" s="100">
        <f t="shared" si="9"/>
        <v>2011</v>
      </c>
      <c r="K37" s="100">
        <f t="shared" si="9"/>
        <v>2012</v>
      </c>
      <c r="L37" s="100">
        <f t="shared" si="9"/>
        <v>2013</v>
      </c>
      <c r="M37" s="100">
        <f t="shared" si="9"/>
        <v>2014</v>
      </c>
      <c r="N37" s="100">
        <f t="shared" si="9"/>
        <v>2015</v>
      </c>
      <c r="O37" s="100">
        <f t="shared" si="9"/>
        <v>2016</v>
      </c>
      <c r="P37" s="100">
        <f t="shared" si="9"/>
        <v>2017</v>
      </c>
      <c r="Q37" s="100">
        <f t="shared" si="9"/>
        <v>2018</v>
      </c>
      <c r="R37" s="100">
        <f t="shared" si="9"/>
        <v>2019</v>
      </c>
      <c r="S37" s="100">
        <f t="shared" si="9"/>
        <v>2020</v>
      </c>
      <c r="T37" s="100">
        <f t="shared" si="9"/>
        <v>2021</v>
      </c>
    </row>
    <row r="38" spans="1:20" ht="15">
      <c r="A38" s="101"/>
      <c r="B38" s="101"/>
      <c r="C38" s="101"/>
      <c r="D38" s="101"/>
      <c r="E38" s="102"/>
      <c r="F38" s="102"/>
      <c r="G38" s="102"/>
      <c r="H38" s="102"/>
      <c r="I38" s="102"/>
      <c r="J38" s="102"/>
      <c r="K38" s="102"/>
      <c r="L38" s="102"/>
      <c r="M38" s="102"/>
      <c r="N38" s="102"/>
      <c r="O38" s="102"/>
      <c r="P38" s="102"/>
      <c r="Q38" s="102"/>
      <c r="R38" s="102"/>
      <c r="S38" s="102"/>
      <c r="T38" s="102"/>
    </row>
    <row r="39" spans="1:20" ht="15">
      <c r="A39" s="103">
        <v>1</v>
      </c>
      <c r="B39" s="104" t="s">
        <v>116</v>
      </c>
      <c r="C39" s="105" t="s">
        <v>117</v>
      </c>
      <c r="D39" s="101"/>
      <c r="E39" s="122">
        <v>4703.16315962058</v>
      </c>
      <c r="F39" s="123">
        <v>4703.16315962058</v>
      </c>
      <c r="G39" s="123">
        <v>4703.16315962058</v>
      </c>
      <c r="H39" s="123">
        <v>4703.16315962058</v>
      </c>
      <c r="I39" s="123">
        <v>836.644679505803</v>
      </c>
      <c r="J39" s="123">
        <v>836.644679505803</v>
      </c>
      <c r="K39" s="123">
        <v>767.3463277938183</v>
      </c>
      <c r="L39" s="123">
        <v>767.3463277938183</v>
      </c>
      <c r="M39" s="123">
        <v>722.4867729422921</v>
      </c>
      <c r="N39" s="123">
        <v>722.4867729422921</v>
      </c>
      <c r="O39" s="123">
        <v>683.9144358038614</v>
      </c>
      <c r="P39" s="123">
        <v>683.9144358038614</v>
      </c>
      <c r="Q39" s="123">
        <v>683.9144358038614</v>
      </c>
      <c r="R39" s="123">
        <v>683.9144358038614</v>
      </c>
      <c r="S39" s="123">
        <v>621.3439026426491</v>
      </c>
      <c r="T39" s="123">
        <v>521.0889602011687</v>
      </c>
    </row>
    <row r="40" spans="1:20" ht="15">
      <c r="A40" s="108">
        <f>A39+1</f>
        <v>2</v>
      </c>
      <c r="B40" s="109" t="s">
        <v>118</v>
      </c>
      <c r="C40" s="110" t="s">
        <v>117</v>
      </c>
      <c r="D40" s="101"/>
      <c r="E40" s="124">
        <v>0</v>
      </c>
      <c r="F40" s="125">
        <v>17077.594774085905</v>
      </c>
      <c r="G40" s="125">
        <v>5211.401088791144</v>
      </c>
      <c r="H40" s="125">
        <v>3720.1807566580046</v>
      </c>
      <c r="I40" s="125">
        <v>3720.1807566580046</v>
      </c>
      <c r="J40" s="125">
        <v>3719.2200679793486</v>
      </c>
      <c r="K40" s="125">
        <v>3536.5523754785245</v>
      </c>
      <c r="L40" s="125">
        <v>3536.5523754785245</v>
      </c>
      <c r="M40" s="125">
        <v>3536.5523754785245</v>
      </c>
      <c r="N40" s="125">
        <v>1613.024902325561</v>
      </c>
      <c r="O40" s="125">
        <v>1262.6455621310424</v>
      </c>
      <c r="P40" s="125">
        <v>988.2228712531353</v>
      </c>
      <c r="Q40" s="125">
        <v>988.2228712531353</v>
      </c>
      <c r="R40" s="125">
        <v>988.2228712531353</v>
      </c>
      <c r="S40" s="125">
        <v>988.2228712531353</v>
      </c>
      <c r="T40" s="125">
        <v>411.40121050874797</v>
      </c>
    </row>
    <row r="41" spans="1:20" ht="15">
      <c r="A41" s="113">
        <f>A40+1</f>
        <v>3</v>
      </c>
      <c r="B41" s="114" t="s">
        <v>119</v>
      </c>
      <c r="C41" s="115" t="s">
        <v>117</v>
      </c>
      <c r="D41" s="101"/>
      <c r="E41" s="126">
        <v>0</v>
      </c>
      <c r="F41" s="127">
        <v>0</v>
      </c>
      <c r="G41" s="127">
        <v>5841.94072785956</v>
      </c>
      <c r="H41" s="127">
        <v>5112.696903771956</v>
      </c>
      <c r="I41" s="127">
        <v>5112.696903771956</v>
      </c>
      <c r="J41" s="127">
        <v>5112.696903771956</v>
      </c>
      <c r="K41" s="127">
        <v>4655.34591961012</v>
      </c>
      <c r="L41" s="127">
        <v>4654.75491961012</v>
      </c>
      <c r="M41" s="127">
        <v>4244.452335433012</v>
      </c>
      <c r="N41" s="127">
        <v>3878.6824644024487</v>
      </c>
      <c r="O41" s="127">
        <v>3027.8779408350415</v>
      </c>
      <c r="P41" s="127">
        <v>2644.41344911272</v>
      </c>
      <c r="Q41" s="127">
        <v>2413.4465197092463</v>
      </c>
      <c r="R41" s="127">
        <v>2413.4465197092463</v>
      </c>
      <c r="S41" s="127">
        <v>2373.2679018966915</v>
      </c>
      <c r="T41" s="127">
        <v>2341.3422923168405</v>
      </c>
    </row>
    <row r="42" spans="1:20" ht="15">
      <c r="A42" s="108">
        <f>A41+1</f>
        <v>4</v>
      </c>
      <c r="B42" s="109" t="s">
        <v>120</v>
      </c>
      <c r="C42" s="110" t="s">
        <v>117</v>
      </c>
      <c r="D42" s="101"/>
      <c r="E42" s="124">
        <v>0</v>
      </c>
      <c r="F42" s="125">
        <v>0</v>
      </c>
      <c r="G42" s="125">
        <v>0</v>
      </c>
      <c r="H42" s="125">
        <v>6821.205367395548</v>
      </c>
      <c r="I42" s="125">
        <v>5875.9690884328975</v>
      </c>
      <c r="J42" s="125">
        <v>5875.9690884328975</v>
      </c>
      <c r="K42" s="125">
        <v>5872.027020702069</v>
      </c>
      <c r="L42" s="125">
        <v>5698.57933619253</v>
      </c>
      <c r="M42" s="125">
        <v>5256.3914045522015</v>
      </c>
      <c r="N42" s="125">
        <v>4903.187790536743</v>
      </c>
      <c r="O42" s="125">
        <v>4774.355202237718</v>
      </c>
      <c r="P42" s="125">
        <v>4025.6217738812365</v>
      </c>
      <c r="Q42" s="125">
        <v>3441.924053178653</v>
      </c>
      <c r="R42" s="125">
        <v>2882.575149931574</v>
      </c>
      <c r="S42" s="125">
        <v>1314.1487917250004</v>
      </c>
      <c r="T42" s="125">
        <v>1217.0621628476945</v>
      </c>
    </row>
    <row r="43" spans="1:20" ht="15">
      <c r="A43" s="113">
        <f>A42+1</f>
        <v>5</v>
      </c>
      <c r="B43" s="114" t="s">
        <v>121</v>
      </c>
      <c r="C43" s="115" t="s">
        <v>117</v>
      </c>
      <c r="D43" s="101"/>
      <c r="E43" s="126">
        <v>0</v>
      </c>
      <c r="F43" s="127">
        <v>0</v>
      </c>
      <c r="G43" s="127">
        <v>0</v>
      </c>
      <c r="H43" s="127">
        <v>0</v>
      </c>
      <c r="I43" s="127">
        <v>8090.8139004330305</v>
      </c>
      <c r="J43" s="127">
        <v>6723.689407313624</v>
      </c>
      <c r="K43" s="127">
        <v>6723.012025296896</v>
      </c>
      <c r="L43" s="127">
        <v>6715.551051125417</v>
      </c>
      <c r="M43" s="127">
        <v>6511.37141835366</v>
      </c>
      <c r="N43" s="127">
        <v>5638.370469117709</v>
      </c>
      <c r="O43" s="127">
        <v>5600.936791644898</v>
      </c>
      <c r="P43" s="127">
        <v>5286.435376827477</v>
      </c>
      <c r="Q43" s="127">
        <v>4609.8074889229165</v>
      </c>
      <c r="R43" s="127">
        <v>1906.629284712652</v>
      </c>
      <c r="S43" s="127">
        <v>1205.6502549611062</v>
      </c>
      <c r="T43" s="127">
        <v>1205.6502549611062</v>
      </c>
    </row>
    <row r="44" spans="1:20" ht="15.75">
      <c r="A44" s="118" t="s">
        <v>11</v>
      </c>
      <c r="B44" s="119"/>
      <c r="C44" s="120"/>
      <c r="D44" s="99"/>
      <c r="E44" s="128">
        <f>SUM(E39:E43)</f>
        <v>4703.16315962058</v>
      </c>
      <c r="F44" s="128">
        <f aca="true" t="shared" si="10" ref="F44:N44">SUM(F39:F43)</f>
        <v>21780.757933706485</v>
      </c>
      <c r="G44" s="128">
        <f t="shared" si="10"/>
        <v>15756.504976271284</v>
      </c>
      <c r="H44" s="128">
        <f t="shared" si="10"/>
        <v>20357.24618744609</v>
      </c>
      <c r="I44" s="128">
        <f t="shared" si="10"/>
        <v>23636.305328801693</v>
      </c>
      <c r="J44" s="128">
        <f t="shared" si="10"/>
        <v>22268.220147003627</v>
      </c>
      <c r="K44" s="128">
        <f t="shared" si="10"/>
        <v>21554.283668881428</v>
      </c>
      <c r="L44" s="128">
        <f t="shared" si="10"/>
        <v>21372.78401020041</v>
      </c>
      <c r="M44" s="128">
        <f t="shared" si="10"/>
        <v>20271.25430675969</v>
      </c>
      <c r="N44" s="128">
        <f t="shared" si="10"/>
        <v>16755.752399324752</v>
      </c>
      <c r="O44" s="128">
        <f aca="true" t="shared" si="11" ref="O44:T44">SUM(O39:O43)</f>
        <v>15349.72993265256</v>
      </c>
      <c r="P44" s="128">
        <f t="shared" si="11"/>
        <v>13628.607906878431</v>
      </c>
      <c r="Q44" s="128">
        <f t="shared" si="11"/>
        <v>12137.315368867814</v>
      </c>
      <c r="R44" s="128">
        <f t="shared" si="11"/>
        <v>8874.78826141047</v>
      </c>
      <c r="S44" s="128">
        <f t="shared" si="11"/>
        <v>6502.633722478582</v>
      </c>
      <c r="T44" s="128">
        <f t="shared" si="11"/>
        <v>5696.544880835558</v>
      </c>
    </row>
  </sheetData>
  <sheetProtection/>
  <printOptions/>
  <pageMargins left="0.24" right="0.2" top="0.4" bottom="0.36" header="0.3" footer="0.3"/>
  <pageSetup fitToHeight="2" fitToWidth="1" orientation="landscape" scale="62" r:id="rId1"/>
</worksheet>
</file>

<file path=xl/worksheets/sheet11.xml><?xml version="1.0" encoding="utf-8"?>
<worksheet xmlns="http://schemas.openxmlformats.org/spreadsheetml/2006/main" xmlns:r="http://schemas.openxmlformats.org/officeDocument/2006/relationships">
  <dimension ref="A1:F29"/>
  <sheetViews>
    <sheetView zoomScalePageLayoutView="0" workbookViewId="0" topLeftCell="A1">
      <selection activeCell="J2" sqref="J2"/>
    </sheetView>
  </sheetViews>
  <sheetFormatPr defaultColWidth="9.140625" defaultRowHeight="12.75"/>
  <cols>
    <col min="1" max="1" width="35.421875" style="0" customWidth="1"/>
    <col min="2" max="2" width="16.421875" style="0" customWidth="1"/>
    <col min="6" max="6" width="12.421875" style="0" customWidth="1"/>
    <col min="14" max="16" width="12.57421875" style="0" bestFit="1" customWidth="1"/>
    <col min="17" max="17" width="15.421875" style="0" customWidth="1"/>
    <col min="19" max="19" width="12.7109375" style="0" customWidth="1"/>
    <col min="20" max="20" width="16.7109375" style="0" customWidth="1"/>
    <col min="22" max="22" width="15.28125" style="235" customWidth="1"/>
  </cols>
  <sheetData>
    <row r="1" spans="1:6" ht="15.75">
      <c r="A1" s="319" t="s">
        <v>218</v>
      </c>
      <c r="B1" s="319"/>
      <c r="C1" s="319"/>
      <c r="D1" s="319"/>
      <c r="E1" s="319"/>
      <c r="F1" s="319"/>
    </row>
    <row r="2" spans="1:6" ht="61.5" customHeight="1">
      <c r="A2" s="324" t="s">
        <v>219</v>
      </c>
      <c r="B2" s="324"/>
      <c r="C2" s="324"/>
      <c r="D2" s="324"/>
      <c r="E2" s="324"/>
      <c r="F2" s="324"/>
    </row>
    <row r="3" spans="1:6" ht="15.75">
      <c r="A3" s="319" t="s">
        <v>220</v>
      </c>
      <c r="B3" s="319"/>
      <c r="C3" s="319"/>
      <c r="D3" s="319"/>
      <c r="E3" s="319"/>
      <c r="F3" s="319"/>
    </row>
    <row r="4" spans="1:6" ht="12.75">
      <c r="A4" s="320"/>
      <c r="B4" s="320"/>
      <c r="C4" s="320"/>
      <c r="D4" s="320"/>
      <c r="E4" s="320"/>
      <c r="F4" s="318"/>
    </row>
    <row r="5" spans="1:6" ht="15">
      <c r="A5" s="321" t="s">
        <v>221</v>
      </c>
      <c r="B5" s="323" t="s">
        <v>222</v>
      </c>
      <c r="C5" s="326"/>
      <c r="D5" s="326"/>
      <c r="E5" s="326"/>
      <c r="F5" s="318"/>
    </row>
    <row r="6" spans="1:6" ht="15">
      <c r="A6" s="325"/>
      <c r="B6" s="236">
        <v>2011</v>
      </c>
      <c r="C6" s="236">
        <v>2012</v>
      </c>
      <c r="D6" s="236">
        <v>2013</v>
      </c>
      <c r="E6" s="236">
        <v>2014</v>
      </c>
      <c r="F6" s="318"/>
    </row>
    <row r="7" spans="1:6" ht="15">
      <c r="A7" s="237" t="s">
        <v>223</v>
      </c>
      <c r="B7" s="238">
        <v>1.392</v>
      </c>
      <c r="C7" s="238">
        <v>1.193</v>
      </c>
      <c r="D7" s="238">
        <v>1.168</v>
      </c>
      <c r="E7" s="238">
        <v>1.053</v>
      </c>
      <c r="F7" s="318"/>
    </row>
    <row r="8" spans="1:6" ht="15">
      <c r="A8" s="239" t="s">
        <v>224</v>
      </c>
      <c r="B8" s="240">
        <v>-0.007</v>
      </c>
      <c r="C8" s="240">
        <v>1.488</v>
      </c>
      <c r="D8" s="240">
        <v>1.301</v>
      </c>
      <c r="E8" s="240">
        <v>1.278</v>
      </c>
      <c r="F8" s="318"/>
    </row>
    <row r="9" spans="1:6" ht="15">
      <c r="A9" s="237" t="s">
        <v>225</v>
      </c>
      <c r="B9" s="240">
        <v>0.192</v>
      </c>
      <c r="C9" s="240">
        <v>0.346</v>
      </c>
      <c r="D9" s="240">
        <v>2</v>
      </c>
      <c r="E9" s="240">
        <v>1.255</v>
      </c>
      <c r="F9" s="318"/>
    </row>
    <row r="10" spans="1:6" ht="15">
      <c r="A10" s="237" t="s">
        <v>226</v>
      </c>
      <c r="B10" s="240">
        <v>0.137</v>
      </c>
      <c r="C10" s="240">
        <v>0.278</v>
      </c>
      <c r="D10" s="240">
        <v>0.345</v>
      </c>
      <c r="E10" s="240">
        <v>3.111</v>
      </c>
      <c r="F10" s="318"/>
    </row>
    <row r="11" spans="1:6" ht="15">
      <c r="A11" s="317" t="s">
        <v>227</v>
      </c>
      <c r="B11" s="317"/>
      <c r="C11" s="317"/>
      <c r="D11" s="317"/>
      <c r="E11" s="241">
        <v>6.697</v>
      </c>
      <c r="F11" s="318"/>
    </row>
    <row r="12" spans="1:6" ht="15">
      <c r="A12" s="317" t="s">
        <v>228</v>
      </c>
      <c r="B12" s="317"/>
      <c r="C12" s="317"/>
      <c r="D12" s="317"/>
      <c r="E12" s="242">
        <v>15.49</v>
      </c>
      <c r="F12" s="318"/>
    </row>
    <row r="13" spans="1:6" ht="15">
      <c r="A13" s="317" t="s">
        <v>229</v>
      </c>
      <c r="B13" s="317"/>
      <c r="C13" s="317"/>
      <c r="D13" s="317"/>
      <c r="E13" s="243">
        <v>0.432343</v>
      </c>
      <c r="F13" s="318"/>
    </row>
    <row r="14" spans="1:6" ht="12.75">
      <c r="A14" s="318"/>
      <c r="B14" s="318"/>
      <c r="C14" s="318"/>
      <c r="D14" s="318"/>
      <c r="E14" s="318"/>
      <c r="F14" s="318"/>
    </row>
    <row r="15" spans="1:6" ht="15.75">
      <c r="A15" s="319" t="s">
        <v>230</v>
      </c>
      <c r="B15" s="319"/>
      <c r="C15" s="319"/>
      <c r="D15" s="319"/>
      <c r="E15" s="319"/>
      <c r="F15" s="319"/>
    </row>
    <row r="16" spans="1:6" ht="12.75">
      <c r="A16" s="320"/>
      <c r="B16" s="320"/>
      <c r="C16" s="320"/>
      <c r="D16" s="320"/>
      <c r="E16" s="320"/>
      <c r="F16" s="320"/>
    </row>
    <row r="17" spans="1:6" ht="15">
      <c r="A17" s="321" t="s">
        <v>221</v>
      </c>
      <c r="B17" s="323" t="s">
        <v>222</v>
      </c>
      <c r="C17" s="323"/>
      <c r="D17" s="323"/>
      <c r="E17" s="323"/>
      <c r="F17" s="236" t="s">
        <v>231</v>
      </c>
    </row>
    <row r="18" spans="1:6" ht="15">
      <c r="A18" s="322"/>
      <c r="B18" s="236">
        <v>2011</v>
      </c>
      <c r="C18" s="236">
        <v>2012</v>
      </c>
      <c r="D18" s="236">
        <v>2013</v>
      </c>
      <c r="E18" s="236">
        <v>2014</v>
      </c>
      <c r="F18" s="236" t="s">
        <v>232</v>
      </c>
    </row>
    <row r="19" spans="1:6" ht="15">
      <c r="A19" s="237" t="s">
        <v>223</v>
      </c>
      <c r="B19" s="238">
        <v>5.027</v>
      </c>
      <c r="C19" s="238">
        <v>5.019</v>
      </c>
      <c r="D19" s="238">
        <v>4.942</v>
      </c>
      <c r="E19" s="238">
        <v>4.63</v>
      </c>
      <c r="F19" s="238">
        <v>19.618</v>
      </c>
    </row>
    <row r="20" spans="1:6" ht="15">
      <c r="A20" s="239" t="s">
        <v>224</v>
      </c>
      <c r="B20" s="240">
        <v>-0.17</v>
      </c>
      <c r="C20" s="240">
        <v>5.616</v>
      </c>
      <c r="D20" s="240">
        <v>5.563</v>
      </c>
      <c r="E20" s="240">
        <v>5.483</v>
      </c>
      <c r="F20" s="238">
        <v>16.492</v>
      </c>
    </row>
    <row r="21" spans="1:6" ht="15">
      <c r="A21" s="237" t="s">
        <v>225</v>
      </c>
      <c r="B21" s="240">
        <v>1.313</v>
      </c>
      <c r="C21" s="240">
        <v>3.4</v>
      </c>
      <c r="D21" s="240">
        <v>7.082</v>
      </c>
      <c r="E21" s="240">
        <v>7.068</v>
      </c>
      <c r="F21" s="238">
        <v>18.863</v>
      </c>
    </row>
    <row r="22" spans="1:6" ht="15">
      <c r="A22" s="237" t="s">
        <v>226</v>
      </c>
      <c r="B22" s="240">
        <v>0.999</v>
      </c>
      <c r="C22" s="240">
        <v>1.516</v>
      </c>
      <c r="D22" s="244">
        <v>1.816</v>
      </c>
      <c r="E22" s="240">
        <v>10.643</v>
      </c>
      <c r="F22" s="238">
        <v>14.974</v>
      </c>
    </row>
    <row r="23" spans="1:6" ht="15">
      <c r="A23" s="317" t="s">
        <v>233</v>
      </c>
      <c r="B23" s="317"/>
      <c r="C23" s="317"/>
      <c r="D23" s="317"/>
      <c r="E23" s="317"/>
      <c r="F23" s="242">
        <v>69.947</v>
      </c>
    </row>
    <row r="24" spans="1:6" ht="15">
      <c r="A24" s="314" t="s">
        <v>234</v>
      </c>
      <c r="B24" s="315"/>
      <c r="C24" s="315"/>
      <c r="D24" s="315"/>
      <c r="E24" s="316"/>
      <c r="F24" s="242">
        <v>58.04</v>
      </c>
    </row>
    <row r="25" spans="1:6" ht="15">
      <c r="A25" s="317" t="s">
        <v>235</v>
      </c>
      <c r="B25" s="317"/>
      <c r="C25" s="317"/>
      <c r="D25" s="317"/>
      <c r="E25" s="317"/>
      <c r="F25" s="243">
        <v>1.205152</v>
      </c>
    </row>
    <row r="26" spans="1:6" ht="15">
      <c r="A26" s="245" t="s">
        <v>236</v>
      </c>
      <c r="B26" s="246"/>
      <c r="C26" s="246"/>
      <c r="D26" s="246"/>
      <c r="E26" s="246"/>
      <c r="F26" s="247"/>
    </row>
    <row r="27" spans="1:2" ht="12.75">
      <c r="A27" s="245" t="s">
        <v>217</v>
      </c>
      <c r="B27" s="248"/>
    </row>
    <row r="28" spans="1:2" ht="12.75">
      <c r="A28" s="248"/>
      <c r="B28" s="248"/>
    </row>
    <row r="29" spans="1:2" ht="12.75">
      <c r="A29" s="248"/>
      <c r="B29" s="248"/>
    </row>
  </sheetData>
  <sheetProtection/>
  <mergeCells count="18">
    <mergeCell ref="A1:F1"/>
    <mergeCell ref="A2:F2"/>
    <mergeCell ref="A3:F3"/>
    <mergeCell ref="A4:E4"/>
    <mergeCell ref="F4:F13"/>
    <mergeCell ref="A5:A6"/>
    <mergeCell ref="B5:E5"/>
    <mergeCell ref="A11:D11"/>
    <mergeCell ref="A12:D12"/>
    <mergeCell ref="A13:D13"/>
    <mergeCell ref="A24:E24"/>
    <mergeCell ref="A25:E25"/>
    <mergeCell ref="A14:F14"/>
    <mergeCell ref="A15:F15"/>
    <mergeCell ref="A16:F16"/>
    <mergeCell ref="A17:A18"/>
    <mergeCell ref="B17:E17"/>
    <mergeCell ref="A23:E23"/>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X255"/>
  <sheetViews>
    <sheetView zoomScale="75" zoomScaleNormal="75" zoomScalePageLayoutView="0" workbookViewId="0" topLeftCell="A1">
      <pane xSplit="2" ySplit="8" topLeftCell="I75" activePane="bottomRight" state="frozen"/>
      <selection pane="topLeft" activeCell="A1" sqref="A1"/>
      <selection pane="topRight" activeCell="C1" sqref="C1"/>
      <selection pane="bottomLeft" activeCell="A9" sqref="A9"/>
      <selection pane="bottomRight" activeCell="R18" sqref="R18"/>
    </sheetView>
  </sheetViews>
  <sheetFormatPr defaultColWidth="16.7109375" defaultRowHeight="12.75"/>
  <cols>
    <col min="1" max="1" width="33.00390625" style="0" customWidth="1"/>
    <col min="2" max="2" width="16.7109375" style="0" customWidth="1"/>
    <col min="3" max="3" width="18.140625" style="0" customWidth="1"/>
    <col min="4" max="4" width="19.7109375" style="0" bestFit="1" customWidth="1"/>
    <col min="5" max="5" width="19.00390625" style="0" bestFit="1" customWidth="1"/>
    <col min="6" max="6" width="15.7109375" style="0" bestFit="1" customWidth="1"/>
    <col min="7" max="7" width="16.140625" style="0" customWidth="1"/>
    <col min="8" max="8" width="18.28125" style="0" customWidth="1"/>
    <col min="9" max="9" width="18.140625" style="0" customWidth="1"/>
    <col min="10" max="10" width="18.00390625" style="0" customWidth="1"/>
    <col min="11" max="11" width="15.28125" style="0" customWidth="1"/>
    <col min="12" max="12" width="14.57421875" style="0" customWidth="1"/>
    <col min="13" max="13" width="16.7109375" style="0" customWidth="1"/>
    <col min="14" max="14" width="18.8515625" style="0" customWidth="1"/>
    <col min="15" max="15" width="13.140625" style="0" customWidth="1"/>
    <col min="16" max="19" width="16.7109375" style="0" customWidth="1"/>
    <col min="20" max="20" width="19.421875" style="0" customWidth="1"/>
  </cols>
  <sheetData>
    <row r="2" spans="2:18" ht="12.75">
      <c r="B2" s="48"/>
      <c r="C2" s="48"/>
      <c r="D2" s="133"/>
      <c r="E2" s="48"/>
      <c r="Q2" s="134"/>
      <c r="R2" s="134"/>
    </row>
    <row r="3" spans="3:18" ht="30" customHeight="1">
      <c r="C3" s="328" t="s">
        <v>142</v>
      </c>
      <c r="D3" s="328"/>
      <c r="E3" s="328"/>
      <c r="F3" s="328"/>
      <c r="G3" s="328"/>
      <c r="Q3" s="134"/>
      <c r="R3" s="134"/>
    </row>
    <row r="4" spans="3:18" ht="21" customHeight="1">
      <c r="C4" s="328" t="s">
        <v>122</v>
      </c>
      <c r="D4" s="328"/>
      <c r="E4" s="328"/>
      <c r="F4" s="328"/>
      <c r="G4" s="328"/>
      <c r="Q4" s="134"/>
      <c r="R4" s="134"/>
    </row>
    <row r="5" spans="3:18" ht="23.25" customHeight="1">
      <c r="C5" s="328" t="s">
        <v>242</v>
      </c>
      <c r="D5" s="328"/>
      <c r="E5" s="328"/>
      <c r="F5" s="328"/>
      <c r="G5" s="328"/>
      <c r="Q5" s="134"/>
      <c r="R5" s="134"/>
    </row>
    <row r="6" ht="15">
      <c r="C6" s="129"/>
    </row>
    <row r="7" ht="15">
      <c r="F7" s="129" t="s">
        <v>143</v>
      </c>
    </row>
    <row r="8" spans="3:18" ht="15.75">
      <c r="C8" s="100">
        <v>2006</v>
      </c>
      <c r="D8" s="100">
        <f aca="true" t="shared" si="0" ref="D8:L8">C8+1</f>
        <v>2007</v>
      </c>
      <c r="E8" s="100">
        <f t="shared" si="0"/>
        <v>2008</v>
      </c>
      <c r="F8" s="100">
        <f>E8+1</f>
        <v>2009</v>
      </c>
      <c r="G8" s="100">
        <f t="shared" si="0"/>
        <v>2010</v>
      </c>
      <c r="H8" s="100">
        <f t="shared" si="0"/>
        <v>2011</v>
      </c>
      <c r="I8" s="100">
        <f t="shared" si="0"/>
        <v>2012</v>
      </c>
      <c r="J8" s="100">
        <f t="shared" si="0"/>
        <v>2013</v>
      </c>
      <c r="K8" s="100">
        <f t="shared" si="0"/>
        <v>2014</v>
      </c>
      <c r="L8" s="100">
        <f t="shared" si="0"/>
        <v>2015</v>
      </c>
      <c r="M8" s="100">
        <f aca="true" t="shared" si="1" ref="M8:R8">L8+1</f>
        <v>2016</v>
      </c>
      <c r="N8" s="100">
        <f t="shared" si="1"/>
        <v>2017</v>
      </c>
      <c r="O8" s="100">
        <f t="shared" si="1"/>
        <v>2018</v>
      </c>
      <c r="P8" s="100">
        <f t="shared" si="1"/>
        <v>2019</v>
      </c>
      <c r="Q8" s="100">
        <f t="shared" si="1"/>
        <v>2020</v>
      </c>
      <c r="R8" s="100">
        <f t="shared" si="1"/>
        <v>2021</v>
      </c>
    </row>
    <row r="9" spans="1:18" ht="15.75">
      <c r="A9" s="129" t="s">
        <v>283</v>
      </c>
      <c r="B9" s="100">
        <v>2006</v>
      </c>
      <c r="C9" s="135">
        <f>'2006-2010 Final CDM'!E19</f>
        <v>4211.2711894206695</v>
      </c>
      <c r="D9" s="135">
        <f>'2006-2010 Final CDM'!F19</f>
        <v>4211.2711894206695</v>
      </c>
      <c r="E9" s="135">
        <f>'2006-2010 Final CDM'!G19</f>
        <v>4211.2711894206695</v>
      </c>
      <c r="F9" s="135">
        <f>'2006-2010 Final CDM'!H19</f>
        <v>4211.2711894206695</v>
      </c>
      <c r="G9" s="135">
        <f>'2006-2010 Final CDM'!I19</f>
        <v>731.4045573173712</v>
      </c>
      <c r="H9" s="135">
        <f>'2006-2010 Final CDM'!J19</f>
        <v>731.4045573173712</v>
      </c>
      <c r="I9" s="135">
        <f>'2006-2010 Final CDM'!K19</f>
        <v>669.0360407765852</v>
      </c>
      <c r="J9" s="135">
        <f>'2006-2010 Final CDM'!L19</f>
        <v>669.0360407765852</v>
      </c>
      <c r="K9" s="135">
        <f>'2006-2010 Final CDM'!M19</f>
        <v>628.6624414102115</v>
      </c>
      <c r="L9" s="234">
        <f>'2006-2010 Final CDM'!N19</f>
        <v>628.6624414102115</v>
      </c>
      <c r="M9" s="234">
        <f>'2006-2010 Final CDM'!O19</f>
        <v>593.9473379856239</v>
      </c>
      <c r="N9" s="234">
        <f>'2006-2010 Final CDM'!P19</f>
        <v>593.9473379856239</v>
      </c>
      <c r="O9" s="234">
        <f>'2006-2010 Final CDM'!Q19</f>
        <v>593.9473379856239</v>
      </c>
      <c r="P9" s="234">
        <f>'2006-2010 Final CDM'!R19</f>
        <v>593.9473379856239</v>
      </c>
      <c r="Q9" s="234">
        <f>'2006-2010 Final CDM'!S19</f>
        <v>537.6338581405329</v>
      </c>
      <c r="R9" s="135">
        <f>'2006-2010 Final CDM'!T19</f>
        <v>467.31954674944205</v>
      </c>
    </row>
    <row r="10" spans="2:18" ht="15.75">
      <c r="B10" s="100">
        <f aca="true" t="shared" si="2" ref="B10:B15">B9+1</f>
        <v>2007</v>
      </c>
      <c r="C10" s="136"/>
      <c r="D10" s="136">
        <f>'2006-2010 Final CDM'!F20</f>
        <v>3589.320779253394</v>
      </c>
      <c r="E10" s="136">
        <f>'2006-2010 Final CDM'!G20</f>
        <v>2152.4742848542305</v>
      </c>
      <c r="F10" s="136">
        <f>'2006-2010 Final CDM'!H20</f>
        <v>1973.5278449982538</v>
      </c>
      <c r="G10" s="136">
        <f>'2006-2010 Final CDM'!I20</f>
        <v>1973.5278449982538</v>
      </c>
      <c r="H10" s="136">
        <f>'2006-2010 Final CDM'!J20</f>
        <v>1973.1137881777531</v>
      </c>
      <c r="I10" s="136">
        <f>'2006-2010 Final CDM'!K20</f>
        <v>1907.71332600009</v>
      </c>
      <c r="J10" s="136">
        <f>'2006-2010 Final CDM'!L20</f>
        <v>1907.71332600009</v>
      </c>
      <c r="K10" s="136">
        <f>'2006-2010 Final CDM'!M20</f>
        <v>1907.71332600009</v>
      </c>
      <c r="L10" s="232">
        <f>'2006-2010 Final CDM'!N20</f>
        <v>653.3038005193438</v>
      </c>
      <c r="M10" s="232">
        <f>'2006-2010 Final CDM'!O20</f>
        <v>514.9985425719287</v>
      </c>
      <c r="N10" s="232">
        <f>'2006-2010 Final CDM'!P20</f>
        <v>307.4869940507729</v>
      </c>
      <c r="O10" s="232">
        <f>'2006-2010 Final CDM'!Q20</f>
        <v>307.4869940507729</v>
      </c>
      <c r="P10" s="232">
        <f>'2006-2010 Final CDM'!R20</f>
        <v>307.4869940507729</v>
      </c>
      <c r="Q10" s="232">
        <f>'2006-2010 Final CDM'!S20</f>
        <v>307.4869940507729</v>
      </c>
      <c r="R10" s="136">
        <f>'2006-2010 Final CDM'!T20</f>
        <v>238.26839476144647</v>
      </c>
    </row>
    <row r="11" spans="2:18" ht="15.75">
      <c r="B11" s="100">
        <f t="shared" si="2"/>
        <v>2008</v>
      </c>
      <c r="C11" s="136"/>
      <c r="D11" s="136"/>
      <c r="E11" s="136">
        <f>'2006-2010 Final CDM'!G21</f>
        <v>3033.0435656290015</v>
      </c>
      <c r="F11" s="136">
        <f>'2006-2010 Final CDM'!H21</f>
        <v>2473.418159643143</v>
      </c>
      <c r="G11" s="136">
        <f>'2006-2010 Final CDM'!I21</f>
        <v>2473.418159643143</v>
      </c>
      <c r="H11" s="136">
        <f>'2006-2010 Final CDM'!J21</f>
        <v>2473.418159643143</v>
      </c>
      <c r="I11" s="136">
        <f>'2006-2010 Final CDM'!K21</f>
        <v>2297.044524208826</v>
      </c>
      <c r="J11" s="136">
        <f>'2006-2010 Final CDM'!L21</f>
        <v>2296.831764208826</v>
      </c>
      <c r="K11" s="136">
        <f>'2006-2010 Final CDM'!M21</f>
        <v>2113.39087686388</v>
      </c>
      <c r="L11" s="232">
        <f>'2006-2010 Final CDM'!N21</f>
        <v>1976.345000255902</v>
      </c>
      <c r="M11" s="232">
        <f>'2006-2010 Final CDM'!O21</f>
        <v>1485.2465276747093</v>
      </c>
      <c r="N11" s="232">
        <f>'2006-2010 Final CDM'!P21</f>
        <v>1275.6955794597147</v>
      </c>
      <c r="O11" s="232">
        <f>'2006-2010 Final CDM'!Q21</f>
        <v>1159.1729287228961</v>
      </c>
      <c r="P11" s="232">
        <f>'2006-2010 Final CDM'!R21</f>
        <v>1159.1729287228961</v>
      </c>
      <c r="Q11" s="232">
        <f>'2006-2010 Final CDM'!S21</f>
        <v>1141.6108844201299</v>
      </c>
      <c r="R11" s="136">
        <f>'2006-2010 Final CDM'!T21</f>
        <v>1115.2747817635063</v>
      </c>
    </row>
    <row r="12" spans="2:18" ht="15.75">
      <c r="B12" s="100">
        <f t="shared" si="2"/>
        <v>2009</v>
      </c>
      <c r="C12" s="136"/>
      <c r="D12" s="136"/>
      <c r="E12" s="136"/>
      <c r="F12" s="136">
        <f>'2006-2010 Final CDM'!H22</f>
        <v>4448.144458398476</v>
      </c>
      <c r="G12" s="136">
        <f>'2006-2010 Final CDM'!I22</f>
        <v>3612.829404416103</v>
      </c>
      <c r="H12" s="136">
        <f>'2006-2010 Final CDM'!J22</f>
        <v>3612.829404416103</v>
      </c>
      <c r="I12" s="136">
        <f>'2006-2010 Final CDM'!K22</f>
        <v>3610.7595452963487</v>
      </c>
      <c r="J12" s="136">
        <f>'2006-2010 Final CDM'!L22</f>
        <v>3521.857774235653</v>
      </c>
      <c r="K12" s="136">
        <f>'2006-2010 Final CDM'!M22</f>
        <v>3287.2266552771703</v>
      </c>
      <c r="L12" s="232">
        <f>'2006-2010 Final CDM'!N22</f>
        <v>3045.2371893965524</v>
      </c>
      <c r="M12" s="232">
        <f>'2006-2010 Final CDM'!O22</f>
        <v>2940.0484550246683</v>
      </c>
      <c r="N12" s="232">
        <f>'2006-2010 Final CDM'!P22</f>
        <v>2379.052754787747</v>
      </c>
      <c r="O12" s="232">
        <f>'2006-2010 Final CDM'!Q22</f>
        <v>1824.5399201202927</v>
      </c>
      <c r="P12" s="232">
        <f>'2006-2010 Final CDM'!R22</f>
        <v>1522.3074383353273</v>
      </c>
      <c r="Q12" s="232">
        <f>'2006-2010 Final CDM'!S22</f>
        <v>533.8895442889487</v>
      </c>
      <c r="R12" s="136">
        <f>'2006-2010 Final CDM'!T22</f>
        <v>483.5629313848459</v>
      </c>
    </row>
    <row r="13" spans="2:18" ht="15.75">
      <c r="B13" s="100">
        <f t="shared" si="2"/>
        <v>2010</v>
      </c>
      <c r="C13" s="136"/>
      <c r="D13" s="136"/>
      <c r="E13" s="136"/>
      <c r="F13" s="136"/>
      <c r="G13" s="136">
        <f>'2006-2010 Final CDM'!I23</f>
        <v>5434.688147549854</v>
      </c>
      <c r="H13" s="136">
        <f>'2006-2010 Final CDM'!J23</f>
        <v>4043.1228357173677</v>
      </c>
      <c r="I13" s="136">
        <f>'2006-2010 Final CDM'!K23</f>
        <v>4037.1916313224883</v>
      </c>
      <c r="J13" s="136">
        <f>'2006-2010 Final CDM'!L23</f>
        <v>4034.505680620756</v>
      </c>
      <c r="K13" s="136">
        <f>'2006-2010 Final CDM'!M23</f>
        <v>3930.2869081013723</v>
      </c>
      <c r="L13" s="232">
        <f>'2006-2010 Final CDM'!N23</f>
        <v>3510.8753873762926</v>
      </c>
      <c r="M13" s="232">
        <f>'2006-2010 Final CDM'!O23</f>
        <v>3488.914288737348</v>
      </c>
      <c r="N13" s="232">
        <f>'2006-2010 Final CDM'!P23</f>
        <v>3177.5578880681014</v>
      </c>
      <c r="O13" s="232">
        <f>'2006-2010 Final CDM'!Q23</f>
        <v>2514.932895970261</v>
      </c>
      <c r="P13" s="232">
        <f>'2006-2010 Final CDM'!R23</f>
        <v>993.2583163580408</v>
      </c>
      <c r="Q13" s="232">
        <f>'2006-2010 Final CDM'!S23</f>
        <v>629.4705649094994</v>
      </c>
      <c r="R13" s="136">
        <f>'2006-2010 Final CDM'!T23</f>
        <v>629.4705649094994</v>
      </c>
    </row>
    <row r="14" spans="2:18" ht="15.75">
      <c r="B14" s="100">
        <f t="shared" si="2"/>
        <v>2011</v>
      </c>
      <c r="C14" s="136"/>
      <c r="D14" s="136"/>
      <c r="E14" s="136"/>
      <c r="F14" s="136"/>
      <c r="G14" s="136"/>
      <c r="H14" s="136">
        <f>'2011-2014 Final CDM'!B19*1000</f>
        <v>5027</v>
      </c>
      <c r="I14" s="136">
        <f>'2011-2014 Final CDM'!C19*1000</f>
        <v>5019</v>
      </c>
      <c r="J14" s="136">
        <f>'2011-2014 Final CDM'!D19*1000</f>
        <v>4942</v>
      </c>
      <c r="K14" s="136">
        <f>'2011-2014 Final CDM'!E19*1000</f>
        <v>4630</v>
      </c>
      <c r="L14" s="224">
        <v>4504.996778740983</v>
      </c>
      <c r="M14" s="224">
        <v>4311.105272537224</v>
      </c>
      <c r="N14" s="224">
        <v>3833.4921014881766</v>
      </c>
      <c r="O14" s="224">
        <v>3831.144438597382</v>
      </c>
      <c r="P14" s="224">
        <v>3739.41422697255</v>
      </c>
      <c r="Q14" s="224">
        <v>3424.479771932146</v>
      </c>
      <c r="R14" s="224">
        <v>2663.9939211741903</v>
      </c>
    </row>
    <row r="15" spans="2:18" ht="15.75">
      <c r="B15" s="100">
        <f t="shared" si="2"/>
        <v>2012</v>
      </c>
      <c r="C15" s="136"/>
      <c r="D15" s="136"/>
      <c r="E15" s="136"/>
      <c r="F15" s="136"/>
      <c r="G15" s="136"/>
      <c r="H15" s="136">
        <f>'2011-2014 Final CDM'!B20*1000</f>
        <v>-170</v>
      </c>
      <c r="I15" s="136">
        <f>'2011-2014 Final CDM'!C20*1000</f>
        <v>5616</v>
      </c>
      <c r="J15" s="136">
        <f>'2011-2014 Final CDM'!D20*1000</f>
        <v>5563</v>
      </c>
      <c r="K15" s="136">
        <f>'2011-2014 Final CDM'!E20*1000</f>
        <v>5483</v>
      </c>
      <c r="L15" s="224">
        <v>4465.560036524984</v>
      </c>
      <c r="M15" s="224">
        <v>4132.172550533816</v>
      </c>
      <c r="N15" s="224">
        <v>3330.9827146086204</v>
      </c>
      <c r="O15" s="224">
        <v>3213.178684022213</v>
      </c>
      <c r="P15" s="224">
        <v>3209.977492635764</v>
      </c>
      <c r="Q15" s="224">
        <v>3138.4350777201803</v>
      </c>
      <c r="R15" s="224">
        <v>2664.9370980449617</v>
      </c>
    </row>
    <row r="16" spans="2:18" ht="15.75">
      <c r="B16" s="100">
        <f>B15+1</f>
        <v>2013</v>
      </c>
      <c r="C16" s="136"/>
      <c r="D16" s="136"/>
      <c r="E16" s="136"/>
      <c r="F16" s="136"/>
      <c r="G16" s="136"/>
      <c r="H16" s="136">
        <f>'2011-2014 Final CDM'!B21*1000</f>
        <v>1313</v>
      </c>
      <c r="I16" s="136">
        <f>'2011-2014 Final CDM'!C21*1000</f>
        <v>3400</v>
      </c>
      <c r="J16" s="136">
        <f>'2011-2014 Final CDM'!D21*1000</f>
        <v>7082</v>
      </c>
      <c r="K16" s="136">
        <f>'2011-2014 Final CDM'!E21*1000</f>
        <v>7068</v>
      </c>
      <c r="L16" s="224">
        <v>7018.211712243666</v>
      </c>
      <c r="M16" s="224">
        <v>6801.998254082644</v>
      </c>
      <c r="N16" s="224">
        <v>6387.932943310676</v>
      </c>
      <c r="O16" s="224">
        <v>6269.839505676973</v>
      </c>
      <c r="P16" s="224">
        <v>6262.463411011446</v>
      </c>
      <c r="Q16" s="224">
        <v>6238.930362019904</v>
      </c>
      <c r="R16" s="224">
        <v>4686.222733001606</v>
      </c>
    </row>
    <row r="17" spans="2:18" ht="15.75">
      <c r="B17" s="100">
        <v>2014</v>
      </c>
      <c r="C17" s="136"/>
      <c r="D17" s="136"/>
      <c r="E17" s="136"/>
      <c r="F17" s="136"/>
      <c r="G17" s="136"/>
      <c r="H17" s="136">
        <f>'2011-2014 Final CDM'!B22*1000</f>
        <v>999</v>
      </c>
      <c r="I17" s="136">
        <f>'2011-2014 Final CDM'!C22*1000</f>
        <v>1516</v>
      </c>
      <c r="J17" s="136">
        <f>'2011-2014 Final CDM'!D22*1000</f>
        <v>1816</v>
      </c>
      <c r="K17" s="224">
        <f>'2011-2014 Final CDM'!E22*1000</f>
        <v>10643</v>
      </c>
      <c r="L17" s="224">
        <v>10563.531383206646</v>
      </c>
      <c r="M17" s="224">
        <v>10496.167459310658</v>
      </c>
      <c r="N17" s="224">
        <v>10336.876357506117</v>
      </c>
      <c r="O17" s="224">
        <v>9752.361123966584</v>
      </c>
      <c r="P17" s="224">
        <v>9709.159056082695</v>
      </c>
      <c r="Q17" s="224">
        <v>9419.798448652658</v>
      </c>
      <c r="R17" s="224">
        <v>8242.25245989365</v>
      </c>
    </row>
    <row r="18" spans="2:18" ht="15.75">
      <c r="B18" s="100">
        <v>2015</v>
      </c>
      <c r="C18" s="136"/>
      <c r="D18" s="136"/>
      <c r="E18" s="136"/>
      <c r="F18" s="136"/>
      <c r="G18" s="136"/>
      <c r="H18" s="136"/>
      <c r="I18" s="136"/>
      <c r="J18" s="136"/>
      <c r="K18" s="224"/>
      <c r="L18" s="224">
        <v>14244.984065349061</v>
      </c>
      <c r="M18" s="224">
        <v>14903.851</v>
      </c>
      <c r="N18" s="224">
        <v>14900.461</v>
      </c>
      <c r="O18" s="224">
        <v>14936.91</v>
      </c>
      <c r="P18" s="224">
        <v>14927.942</v>
      </c>
      <c r="Q18" s="224">
        <v>14921.023</v>
      </c>
      <c r="R18" s="224">
        <v>14919.981</v>
      </c>
    </row>
    <row r="19" spans="1:18" ht="15.75">
      <c r="A19" s="199" t="s">
        <v>216</v>
      </c>
      <c r="B19" s="100">
        <v>2016</v>
      </c>
      <c r="C19" s="232"/>
      <c r="D19" s="232"/>
      <c r="E19" s="232"/>
      <c r="F19" s="232"/>
      <c r="G19" s="232"/>
      <c r="H19" s="232"/>
      <c r="I19" s="232"/>
      <c r="J19" s="232"/>
      <c r="K19" s="233"/>
      <c r="L19" s="224">
        <v>399.5275781850906</v>
      </c>
      <c r="M19" s="224">
        <v>11147.304788807456</v>
      </c>
      <c r="N19" s="224">
        <v>13528.546</v>
      </c>
      <c r="O19" s="224">
        <v>13441.726</v>
      </c>
      <c r="P19" s="224">
        <v>13312.517</v>
      </c>
      <c r="Q19" s="224">
        <v>13213.997</v>
      </c>
      <c r="R19" s="224">
        <v>13051.48</v>
      </c>
    </row>
    <row r="20" spans="2:18" ht="15.75">
      <c r="B20" s="100">
        <v>2017</v>
      </c>
      <c r="C20" s="232"/>
      <c r="D20" s="232"/>
      <c r="E20" s="232"/>
      <c r="F20" s="232"/>
      <c r="G20" s="232"/>
      <c r="H20" s="232"/>
      <c r="I20" s="232"/>
      <c r="J20" s="232"/>
      <c r="K20" s="233"/>
      <c r="L20" s="224">
        <v>299.81305428501105</v>
      </c>
      <c r="M20" s="224">
        <v>2335.242342201371</v>
      </c>
      <c r="N20" s="224">
        <v>17220.56121123198</v>
      </c>
      <c r="O20" s="224">
        <v>16738.537</v>
      </c>
      <c r="P20" s="224">
        <v>16689.898999999998</v>
      </c>
      <c r="Q20" s="224">
        <v>16562.962</v>
      </c>
      <c r="R20" s="224">
        <v>16558.95</v>
      </c>
    </row>
    <row r="21" spans="2:21" ht="15.75">
      <c r="B21" s="100">
        <v>2018</v>
      </c>
      <c r="C21" s="232"/>
      <c r="D21" s="232"/>
      <c r="E21" s="232"/>
      <c r="F21" s="232"/>
      <c r="G21" s="232"/>
      <c r="H21" s="232"/>
      <c r="I21" s="232"/>
      <c r="J21" s="232"/>
      <c r="K21" s="233"/>
      <c r="L21" s="224"/>
      <c r="M21" s="224">
        <v>45.564352533738955</v>
      </c>
      <c r="N21" s="224">
        <v>899.4921095804734</v>
      </c>
      <c r="O21" s="224">
        <v>8444.324873050253</v>
      </c>
      <c r="P21" s="224">
        <f>O21-(O21-Q21)/2</f>
        <v>8366.134720448956</v>
      </c>
      <c r="Q21" s="224">
        <v>8287.944567847659</v>
      </c>
      <c r="R21" s="224">
        <f>Q21*(Q21/P21)</f>
        <v>8210.485182819213</v>
      </c>
      <c r="T21" s="32"/>
      <c r="U21" s="32"/>
    </row>
    <row r="22" spans="2:18" ht="15.75">
      <c r="B22" s="100">
        <v>2019</v>
      </c>
      <c r="C22" s="232"/>
      <c r="D22" s="232"/>
      <c r="E22" s="232"/>
      <c r="F22" s="232"/>
      <c r="G22" s="232"/>
      <c r="H22" s="232"/>
      <c r="I22" s="232"/>
      <c r="J22" s="232"/>
      <c r="K22" s="233"/>
      <c r="L22" s="224"/>
      <c r="M22" s="224"/>
      <c r="N22" s="224"/>
      <c r="O22" s="224"/>
      <c r="P22" s="224">
        <v>3737.504829725186</v>
      </c>
      <c r="Q22" s="224">
        <v>3614.44398440005</v>
      </c>
      <c r="R22" s="224">
        <f>Q22*(Q22/P22)</f>
        <v>3495.435032608721</v>
      </c>
    </row>
    <row r="23" spans="2:24" ht="15.75">
      <c r="B23" s="100">
        <v>2020</v>
      </c>
      <c r="C23" s="232"/>
      <c r="D23" s="232"/>
      <c r="E23" s="232"/>
      <c r="F23" s="232"/>
      <c r="G23" s="232"/>
      <c r="H23" s="232"/>
      <c r="I23" s="232"/>
      <c r="J23" s="232"/>
      <c r="K23" s="233"/>
      <c r="L23" s="224"/>
      <c r="M23" s="224"/>
      <c r="N23" s="224"/>
      <c r="O23" s="224"/>
      <c r="P23" s="224"/>
      <c r="Q23" s="249"/>
      <c r="R23" s="249"/>
      <c r="T23" s="269" t="s">
        <v>259</v>
      </c>
      <c r="U23" s="269"/>
      <c r="V23" s="269"/>
      <c r="W23" s="269"/>
      <c r="X23" s="269"/>
    </row>
    <row r="24" spans="2:18" ht="15.75">
      <c r="B24" s="100">
        <v>2021</v>
      </c>
      <c r="C24" s="232"/>
      <c r="D24" s="232"/>
      <c r="E24" s="232"/>
      <c r="F24" s="232"/>
      <c r="G24" s="232"/>
      <c r="H24" s="232"/>
      <c r="I24" s="232"/>
      <c r="J24" s="232"/>
      <c r="K24" s="233"/>
      <c r="L24" s="224"/>
      <c r="M24" s="224"/>
      <c r="N24" s="224"/>
      <c r="O24" s="224"/>
      <c r="P24" s="224"/>
      <c r="Q24" s="224"/>
      <c r="R24" s="250"/>
    </row>
    <row r="25" spans="2:18" ht="15.75">
      <c r="B25" s="100" t="s">
        <v>11</v>
      </c>
      <c r="C25" s="137">
        <f aca="true" t="shared" si="3" ref="C25:R25">SUM(C9:C24)</f>
        <v>4211.2711894206695</v>
      </c>
      <c r="D25" s="137">
        <f t="shared" si="3"/>
        <v>7800.5919686740635</v>
      </c>
      <c r="E25" s="137">
        <f t="shared" si="3"/>
        <v>9396.7890399039</v>
      </c>
      <c r="F25" s="137">
        <f t="shared" si="3"/>
        <v>13106.361652460542</v>
      </c>
      <c r="G25" s="137">
        <f t="shared" si="3"/>
        <v>14225.868113924726</v>
      </c>
      <c r="H25" s="137">
        <f t="shared" si="3"/>
        <v>20002.88874527174</v>
      </c>
      <c r="I25" s="137">
        <f t="shared" si="3"/>
        <v>28072.745067604337</v>
      </c>
      <c r="J25" s="137">
        <f t="shared" si="3"/>
        <v>31832.944585841913</v>
      </c>
      <c r="K25" s="137">
        <f t="shared" si="3"/>
        <v>39691.28020765272</v>
      </c>
      <c r="L25" s="137">
        <f t="shared" si="3"/>
        <v>51311.04842749375</v>
      </c>
      <c r="M25" s="137">
        <f t="shared" si="3"/>
        <v>63196.561172001195</v>
      </c>
      <c r="N25" s="137">
        <f t="shared" si="3"/>
        <v>78172.084992078</v>
      </c>
      <c r="O25" s="137">
        <f t="shared" si="3"/>
        <v>83028.10170216326</v>
      </c>
      <c r="P25" s="137">
        <f t="shared" si="3"/>
        <v>84531.18475232927</v>
      </c>
      <c r="Q25" s="137">
        <f t="shared" si="3"/>
        <v>81972.10605838247</v>
      </c>
      <c r="R25" s="251">
        <f t="shared" si="3"/>
        <v>77427.63364711107</v>
      </c>
    </row>
    <row r="28" ht="12.75">
      <c r="A28" t="s">
        <v>144</v>
      </c>
    </row>
    <row r="29" ht="12.75">
      <c r="A29" s="199" t="s">
        <v>237</v>
      </c>
    </row>
    <row r="30" ht="12.75">
      <c r="D30" s="138"/>
    </row>
    <row r="31" spans="1:4" ht="12.75">
      <c r="A31" s="199" t="s">
        <v>238</v>
      </c>
      <c r="D31" s="225"/>
    </row>
    <row r="32" ht="12.75">
      <c r="D32" s="139">
        <f>SUM(D30:D31)</f>
        <v>0</v>
      </c>
    </row>
    <row r="33" spans="1:4" ht="12.75">
      <c r="A33" s="199" t="s">
        <v>239</v>
      </c>
      <c r="D33" s="138"/>
    </row>
    <row r="34" ht="12.75">
      <c r="D34" s="138"/>
    </row>
    <row r="35" spans="1:4" ht="12.75">
      <c r="A35" s="199" t="s">
        <v>240</v>
      </c>
      <c r="D35" s="225"/>
    </row>
    <row r="36" spans="1:17" ht="12.75">
      <c r="A36" s="199" t="s">
        <v>241</v>
      </c>
      <c r="D36" s="225"/>
      <c r="N36" s="199"/>
      <c r="P36" s="201"/>
      <c r="Q36" s="199"/>
    </row>
    <row r="37" spans="4:14" ht="12.75">
      <c r="D37" s="139">
        <f>SUM(D34:D36)</f>
        <v>0</v>
      </c>
      <c r="N37" s="199"/>
    </row>
    <row r="38" spans="9:14" ht="12.75">
      <c r="I38" s="327" t="s">
        <v>247</v>
      </c>
      <c r="J38" s="327"/>
      <c r="K38" s="327"/>
      <c r="N38" s="199"/>
    </row>
    <row r="39" spans="1:17" s="131" customFormat="1" ht="60">
      <c r="A39" s="130" t="s">
        <v>125</v>
      </c>
      <c r="B39" s="130" t="s">
        <v>245</v>
      </c>
      <c r="C39" s="130" t="s">
        <v>126</v>
      </c>
      <c r="D39" s="130" t="s">
        <v>127</v>
      </c>
      <c r="E39" s="130" t="s">
        <v>244</v>
      </c>
      <c r="F39" s="130" t="s">
        <v>246</v>
      </c>
      <c r="G39" s="130" t="s">
        <v>128</v>
      </c>
      <c r="I39" s="130" t="s">
        <v>244</v>
      </c>
      <c r="J39" s="130" t="s">
        <v>248</v>
      </c>
      <c r="K39" s="130" t="s">
        <v>45</v>
      </c>
      <c r="P39" s="132" t="s">
        <v>129</v>
      </c>
      <c r="Q39" s="132">
        <v>1</v>
      </c>
    </row>
    <row r="40" spans="1:17" ht="12.75">
      <c r="A40">
        <v>2006</v>
      </c>
      <c r="B40" s="48">
        <f>C25*1000</f>
        <v>4211271.189420669</v>
      </c>
      <c r="C40" s="48">
        <f>B40</f>
        <v>4211271.189420669</v>
      </c>
      <c r="D40" s="48">
        <f>C40*0.5</f>
        <v>2105635.5947103347</v>
      </c>
      <c r="E40" s="48">
        <f>B40-D40</f>
        <v>2105635.5947103347</v>
      </c>
      <c r="F40" s="48">
        <f>E40</f>
        <v>2105635.5947103347</v>
      </c>
      <c r="G40" s="48">
        <f>F40/$Q$51</f>
        <v>26995.328137311983</v>
      </c>
      <c r="I40" s="48">
        <f>E40</f>
        <v>2105635.5947103347</v>
      </c>
      <c r="J40" s="254">
        <f>D74</f>
        <v>2105635.594710334</v>
      </c>
      <c r="K40" s="254">
        <f>I40-J40</f>
        <v>0</v>
      </c>
      <c r="P40" s="132" t="s">
        <v>130</v>
      </c>
      <c r="Q40" s="132">
        <v>2</v>
      </c>
    </row>
    <row r="41" spans="1:17" ht="12.75">
      <c r="A41">
        <v>2007</v>
      </c>
      <c r="B41" s="48">
        <f>D25*1000</f>
        <v>7800591.968674064</v>
      </c>
      <c r="C41" s="48">
        <f>B41-B40</f>
        <v>3589320.7792533943</v>
      </c>
      <c r="D41" s="48">
        <f aca="true" t="shared" si="4" ref="D41:D47">C41*0.5</f>
        <v>1794660.3896266972</v>
      </c>
      <c r="E41" s="48">
        <f aca="true" t="shared" si="5" ref="E41:E49">B41-D41</f>
        <v>6005931.579047367</v>
      </c>
      <c r="F41" s="48">
        <f>E41-E74</f>
        <v>2118604.3272744427</v>
      </c>
      <c r="G41" s="48">
        <f>F41/$Q$51</f>
        <v>27161.593939415932</v>
      </c>
      <c r="I41" s="48">
        <f aca="true" t="shared" si="6" ref="I41:I56">E41</f>
        <v>6005931.579047367</v>
      </c>
      <c r="J41" s="254">
        <f>D86</f>
        <v>6005931.579047367</v>
      </c>
      <c r="K41" s="254">
        <f aca="true" t="shared" si="7" ref="K41:K55">I41-J41</f>
        <v>0</v>
      </c>
      <c r="P41" s="132" t="s">
        <v>131</v>
      </c>
      <c r="Q41" s="132">
        <v>3</v>
      </c>
    </row>
    <row r="42" spans="1:17" ht="12.75">
      <c r="A42">
        <v>2008</v>
      </c>
      <c r="B42" s="48">
        <f>E25*1000</f>
        <v>9396789.039903902</v>
      </c>
      <c r="C42" s="48">
        <f aca="true" t="shared" si="8" ref="C42:C49">B42-B41</f>
        <v>1596197.0712298378</v>
      </c>
      <c r="D42" s="48">
        <f t="shared" si="4"/>
        <v>798098.5356149189</v>
      </c>
      <c r="E42" s="48">
        <f t="shared" si="5"/>
        <v>8598690.504288983</v>
      </c>
      <c r="F42" s="48">
        <f>E42-E86</f>
        <v>800093.7252401672</v>
      </c>
      <c r="G42" s="48">
        <f aca="true" t="shared" si="9" ref="G42:G55">F42/$Q$51</f>
        <v>10257.611862053425</v>
      </c>
      <c r="I42" s="48">
        <f t="shared" si="6"/>
        <v>8598690.504288983</v>
      </c>
      <c r="J42" s="254">
        <f>D98</f>
        <v>8598690.504288979</v>
      </c>
      <c r="K42" s="254">
        <f t="shared" si="7"/>
        <v>0</v>
      </c>
      <c r="P42" s="132" t="s">
        <v>132</v>
      </c>
      <c r="Q42" s="132">
        <v>4</v>
      </c>
    </row>
    <row r="43" spans="1:17" ht="12.75">
      <c r="A43">
        <v>2009</v>
      </c>
      <c r="B43" s="48">
        <f>F25*1000</f>
        <v>13106361.652460542</v>
      </c>
      <c r="C43" s="48">
        <f t="shared" si="8"/>
        <v>3709572.61255664</v>
      </c>
      <c r="D43" s="48">
        <f t="shared" si="4"/>
        <v>1854786.30627832</v>
      </c>
      <c r="E43" s="48">
        <f t="shared" si="5"/>
        <v>11251575.346182222</v>
      </c>
      <c r="F43" s="48">
        <f>E43-E98</f>
        <v>1975882.4589977171</v>
      </c>
      <c r="G43" s="48">
        <f t="shared" si="9"/>
        <v>25331.82639740663</v>
      </c>
      <c r="I43" s="48">
        <f t="shared" si="6"/>
        <v>11251575.346182222</v>
      </c>
      <c r="J43" s="254">
        <f>D110</f>
        <v>11251575.346182223</v>
      </c>
      <c r="K43" s="254">
        <f t="shared" si="7"/>
        <v>0</v>
      </c>
      <c r="P43" s="132" t="s">
        <v>133</v>
      </c>
      <c r="Q43" s="132">
        <v>5</v>
      </c>
    </row>
    <row r="44" spans="1:17" ht="12.75">
      <c r="A44">
        <v>2010</v>
      </c>
      <c r="B44" s="48">
        <f>G25*1000</f>
        <v>14225868.113924725</v>
      </c>
      <c r="C44" s="48">
        <f t="shared" si="8"/>
        <v>1119506.4614641834</v>
      </c>
      <c r="D44" s="48">
        <f t="shared" si="4"/>
        <v>559753.2307320917</v>
      </c>
      <c r="E44" s="48">
        <f t="shared" si="5"/>
        <v>13666114.883192632</v>
      </c>
      <c r="F44" s="48">
        <f>E44-E110</f>
        <v>742638.9947815724</v>
      </c>
      <c r="G44" s="48">
        <f t="shared" si="9"/>
        <v>9521.012753609903</v>
      </c>
      <c r="I44" s="48">
        <f t="shared" si="6"/>
        <v>13666114.883192632</v>
      </c>
      <c r="J44" s="254">
        <f>+D122</f>
        <v>13666114.883192625</v>
      </c>
      <c r="K44" s="254">
        <f t="shared" si="7"/>
        <v>0</v>
      </c>
      <c r="P44" s="132" t="s">
        <v>134</v>
      </c>
      <c r="Q44" s="132">
        <v>6</v>
      </c>
    </row>
    <row r="45" spans="1:17" ht="12.75">
      <c r="A45">
        <v>2011</v>
      </c>
      <c r="B45" s="48">
        <f>H25*1000</f>
        <v>20002888.74527174</v>
      </c>
      <c r="C45" s="48">
        <f t="shared" si="8"/>
        <v>5777020.631347014</v>
      </c>
      <c r="D45" s="48">
        <f t="shared" si="4"/>
        <v>2888510.315673507</v>
      </c>
      <c r="E45" s="48">
        <f t="shared" si="5"/>
        <v>17114378.42959823</v>
      </c>
      <c r="F45" s="48">
        <f>E45-E122</f>
        <v>2819876.7046673596</v>
      </c>
      <c r="G45" s="48">
        <f t="shared" si="9"/>
        <v>36152.265444453325</v>
      </c>
      <c r="I45" s="48">
        <f t="shared" si="6"/>
        <v>17114378.42959823</v>
      </c>
      <c r="J45" s="254">
        <f>+D134</f>
        <v>17114378.429598235</v>
      </c>
      <c r="K45" s="254">
        <f t="shared" si="7"/>
        <v>0</v>
      </c>
      <c r="P45" s="132" t="s">
        <v>135</v>
      </c>
      <c r="Q45" s="132">
        <v>7</v>
      </c>
    </row>
    <row r="46" spans="1:17" ht="12.75">
      <c r="A46">
        <v>2012</v>
      </c>
      <c r="B46" s="48">
        <f>I25*1000</f>
        <v>28072745.067604337</v>
      </c>
      <c r="C46" s="48">
        <f t="shared" si="8"/>
        <v>8069856.322332598</v>
      </c>
      <c r="D46" s="48">
        <f t="shared" si="4"/>
        <v>4034928.161166299</v>
      </c>
      <c r="E46" s="48">
        <f t="shared" si="5"/>
        <v>24037816.906438038</v>
      </c>
      <c r="F46" s="48">
        <f>E46-E134</f>
        <v>4537388.9575058855</v>
      </c>
      <c r="G46" s="48">
        <f t="shared" si="9"/>
        <v>58171.65330135751</v>
      </c>
      <c r="I46" s="48">
        <f t="shared" si="6"/>
        <v>24037816.906438038</v>
      </c>
      <c r="J46" s="254">
        <f>+D146</f>
        <v>24037816.906438038</v>
      </c>
      <c r="K46" s="254">
        <f t="shared" si="7"/>
        <v>0</v>
      </c>
      <c r="P46" s="132" t="s">
        <v>136</v>
      </c>
      <c r="Q46" s="132">
        <v>8</v>
      </c>
    </row>
    <row r="47" spans="1:17" ht="12.75">
      <c r="A47">
        <v>2013</v>
      </c>
      <c r="B47" s="48">
        <f>J25*1000</f>
        <v>31832944.585841913</v>
      </c>
      <c r="C47" s="48">
        <f t="shared" si="8"/>
        <v>3760199.518237576</v>
      </c>
      <c r="D47" s="48">
        <f t="shared" si="4"/>
        <v>1880099.759118788</v>
      </c>
      <c r="E47" s="48">
        <f t="shared" si="5"/>
        <v>29952844.826723125</v>
      </c>
      <c r="F47" s="48">
        <f>E47-E146</f>
        <v>2075698.8023955002</v>
      </c>
      <c r="G47" s="48">
        <f t="shared" si="9"/>
        <v>26611.523107634617</v>
      </c>
      <c r="I47" s="48">
        <f t="shared" si="6"/>
        <v>29952844.826723125</v>
      </c>
      <c r="J47" s="254">
        <f>+D158</f>
        <v>29952844.826723106</v>
      </c>
      <c r="K47" s="254">
        <f t="shared" si="7"/>
        <v>0</v>
      </c>
      <c r="P47" s="132" t="s">
        <v>137</v>
      </c>
      <c r="Q47" s="132">
        <v>9</v>
      </c>
    </row>
    <row r="48" spans="1:17" ht="12.75">
      <c r="A48">
        <v>2014</v>
      </c>
      <c r="B48" s="48">
        <f>K25*1000</f>
        <v>39691280.207652725</v>
      </c>
      <c r="C48" s="48">
        <f t="shared" si="8"/>
        <v>7858335.6218108125</v>
      </c>
      <c r="D48" s="133">
        <f>C48/2</f>
        <v>3929167.8109054063</v>
      </c>
      <c r="E48" s="48">
        <f t="shared" si="5"/>
        <v>35762112.39674732</v>
      </c>
      <c r="F48" s="48">
        <f>E48-E158</f>
        <v>4052907.044920344</v>
      </c>
      <c r="G48" s="48">
        <f t="shared" si="9"/>
        <v>51960.346729748</v>
      </c>
      <c r="I48" s="48">
        <f t="shared" si="6"/>
        <v>35762112.39674732</v>
      </c>
      <c r="J48" s="254">
        <f>+D170</f>
        <v>35762112.39674731</v>
      </c>
      <c r="K48" s="254">
        <f t="shared" si="7"/>
        <v>0</v>
      </c>
      <c r="P48" s="132" t="s">
        <v>138</v>
      </c>
      <c r="Q48" s="132">
        <v>10</v>
      </c>
    </row>
    <row r="49" spans="1:17" ht="12.75">
      <c r="A49">
        <v>2015</v>
      </c>
      <c r="B49" s="48">
        <f>L25*1000</f>
        <v>51311048.42749375</v>
      </c>
      <c r="C49" s="48">
        <f t="shared" si="8"/>
        <v>11619768.219841026</v>
      </c>
      <c r="D49" s="133">
        <f>C49/2</f>
        <v>5809884.109920513</v>
      </c>
      <c r="E49" s="48">
        <f t="shared" si="5"/>
        <v>45501164.317573234</v>
      </c>
      <c r="F49" s="48">
        <f>E49-E170</f>
        <v>6309669.036662549</v>
      </c>
      <c r="G49" s="48">
        <f t="shared" si="9"/>
        <v>80893.19277772498</v>
      </c>
      <c r="I49" s="48">
        <f t="shared" si="6"/>
        <v>45501164.317573234</v>
      </c>
      <c r="J49" s="254">
        <f>+D182</f>
        <v>45501164.31757323</v>
      </c>
      <c r="K49" s="254">
        <f t="shared" si="7"/>
        <v>0</v>
      </c>
      <c r="P49" s="132" t="s">
        <v>139</v>
      </c>
      <c r="Q49" s="132">
        <v>11</v>
      </c>
    </row>
    <row r="50" spans="1:17" ht="12.75">
      <c r="A50">
        <v>2016</v>
      </c>
      <c r="B50" s="48">
        <f>M25*1000</f>
        <v>63196561.1720012</v>
      </c>
      <c r="C50" s="48">
        <f aca="true" t="shared" si="10" ref="C50:C55">B50-B49</f>
        <v>11885512.744507447</v>
      </c>
      <c r="D50" s="133">
        <f aca="true" t="shared" si="11" ref="D50:D55">C50/2</f>
        <v>5942756.372253723</v>
      </c>
      <c r="E50" s="48">
        <f aca="true" t="shared" si="12" ref="E50:E55">B50-D50</f>
        <v>57253804.799747474</v>
      </c>
      <c r="F50" s="48">
        <f>E50-E182</f>
        <v>6413689.758844398</v>
      </c>
      <c r="G50" s="48">
        <f t="shared" si="9"/>
        <v>82226.79178005639</v>
      </c>
      <c r="I50" s="48">
        <f t="shared" si="6"/>
        <v>57253804.799747474</v>
      </c>
      <c r="J50" s="254">
        <f>+D194</f>
        <v>57253804.799747474</v>
      </c>
      <c r="K50" s="254">
        <f t="shared" si="7"/>
        <v>0</v>
      </c>
      <c r="P50" s="252" t="s">
        <v>140</v>
      </c>
      <c r="Q50" s="252">
        <v>12</v>
      </c>
    </row>
    <row r="51" spans="1:18" ht="12.75">
      <c r="A51">
        <v>2017</v>
      </c>
      <c r="B51" s="48">
        <f>N25*1000</f>
        <v>78172084.992078</v>
      </c>
      <c r="C51" s="48">
        <f t="shared" si="10"/>
        <v>14975523.820076808</v>
      </c>
      <c r="D51" s="133">
        <f t="shared" si="11"/>
        <v>7487761.910038404</v>
      </c>
      <c r="E51" s="48">
        <f t="shared" si="12"/>
        <v>70684323.0820396</v>
      </c>
      <c r="F51" s="48">
        <f>E51-E194</f>
        <v>8003550.024808392</v>
      </c>
      <c r="G51" s="48">
        <f t="shared" si="9"/>
        <v>102609.6157026717</v>
      </c>
      <c r="I51" s="48">
        <f t="shared" si="6"/>
        <v>70684323.0820396</v>
      </c>
      <c r="J51" s="254">
        <f>+D206</f>
        <v>70684323.08203961</v>
      </c>
      <c r="K51" s="254">
        <f t="shared" si="7"/>
        <v>0</v>
      </c>
      <c r="O51" s="141"/>
      <c r="P51" s="132" t="s">
        <v>11</v>
      </c>
      <c r="Q51" s="132">
        <f>SUM(Q39:Q50)</f>
        <v>78</v>
      </c>
      <c r="R51" s="141"/>
    </row>
    <row r="52" spans="1:18" ht="12.75">
      <c r="A52">
        <v>2018</v>
      </c>
      <c r="B52" s="48">
        <f>O25*1000</f>
        <v>83028101.70216326</v>
      </c>
      <c r="C52" s="48">
        <f t="shared" si="10"/>
        <v>4856016.710085258</v>
      </c>
      <c r="D52" s="133">
        <f t="shared" si="11"/>
        <v>2428008.355042629</v>
      </c>
      <c r="E52" s="48">
        <f t="shared" si="12"/>
        <v>80600093.34712064</v>
      </c>
      <c r="F52" s="48">
        <f>E52-E206</f>
        <v>3143535.628704682</v>
      </c>
      <c r="G52" s="48">
        <f t="shared" si="9"/>
        <v>40301.738829547205</v>
      </c>
      <c r="I52" s="48">
        <f t="shared" si="6"/>
        <v>80600093.34712064</v>
      </c>
      <c r="J52" s="254">
        <f>+D218</f>
        <v>80600093.34712066</v>
      </c>
      <c r="K52" s="254">
        <f t="shared" si="7"/>
        <v>0</v>
      </c>
      <c r="O52" s="141"/>
      <c r="P52" s="134"/>
      <c r="Q52" s="134"/>
      <c r="R52" s="141"/>
    </row>
    <row r="53" spans="1:18" ht="12.75">
      <c r="A53">
        <v>2019</v>
      </c>
      <c r="B53" s="48">
        <f>P25*1000</f>
        <v>84531184.75232926</v>
      </c>
      <c r="C53" s="48">
        <f t="shared" si="10"/>
        <v>1503083.050165996</v>
      </c>
      <c r="D53" s="133">
        <f t="shared" si="11"/>
        <v>751541.525082998</v>
      </c>
      <c r="E53" s="48">
        <f t="shared" si="12"/>
        <v>83779643.22724625</v>
      </c>
      <c r="F53" s="48">
        <f>E53-E218</f>
        <v>519635.11737544835</v>
      </c>
      <c r="G53" s="48">
        <f t="shared" si="9"/>
        <v>6661.98868430062</v>
      </c>
      <c r="I53" s="48">
        <f t="shared" si="6"/>
        <v>83779643.22724625</v>
      </c>
      <c r="J53" s="254">
        <f>+D230</f>
        <v>83779643.22724624</v>
      </c>
      <c r="K53" s="254">
        <f t="shared" si="7"/>
        <v>0</v>
      </c>
      <c r="O53" s="141"/>
      <c r="P53" s="134"/>
      <c r="Q53" s="134"/>
      <c r="R53" s="141"/>
    </row>
    <row r="54" spans="1:18" ht="12.75">
      <c r="A54">
        <v>2020</v>
      </c>
      <c r="B54" s="48">
        <f>Q25*1000</f>
        <v>81972106.05838247</v>
      </c>
      <c r="C54" s="48">
        <f t="shared" si="10"/>
        <v>-2559078.6939467937</v>
      </c>
      <c r="D54" s="133">
        <f t="shared" si="11"/>
        <v>-1279539.3469733968</v>
      </c>
      <c r="E54" s="48">
        <f t="shared" si="12"/>
        <v>83251645.40535587</v>
      </c>
      <c r="F54" s="48">
        <f>E54-E230</f>
        <v>-967689.0750541836</v>
      </c>
      <c r="G54" s="48">
        <f t="shared" si="9"/>
        <v>-12406.270193002354</v>
      </c>
      <c r="I54" s="48">
        <f t="shared" si="6"/>
        <v>83251645.40535587</v>
      </c>
      <c r="J54" s="254">
        <f>+D242</f>
        <v>83251645.40535587</v>
      </c>
      <c r="K54" s="254">
        <f t="shared" si="7"/>
        <v>0</v>
      </c>
      <c r="O54" s="141"/>
      <c r="P54" s="134"/>
      <c r="Q54" s="134"/>
      <c r="R54" s="141"/>
    </row>
    <row r="55" spans="1:18" ht="12.75">
      <c r="A55">
        <v>2021</v>
      </c>
      <c r="B55" s="48">
        <f>R25*1000</f>
        <v>77427633.64711107</v>
      </c>
      <c r="C55" s="48">
        <f t="shared" si="10"/>
        <v>-4544472.411271393</v>
      </c>
      <c r="D55" s="133">
        <f t="shared" si="11"/>
        <v>-2272236.2056356966</v>
      </c>
      <c r="E55" s="48">
        <f t="shared" si="12"/>
        <v>79699869.85274677</v>
      </c>
      <c r="F55" s="48">
        <f>E55-E242</f>
        <v>-2732961.7198709697</v>
      </c>
      <c r="G55" s="48">
        <f t="shared" si="9"/>
        <v>-35037.97076757653</v>
      </c>
      <c r="I55" s="48">
        <f t="shared" si="6"/>
        <v>79699869.85274677</v>
      </c>
      <c r="J55" s="254">
        <f>+D254</f>
        <v>79699869.8527468</v>
      </c>
      <c r="K55" s="254">
        <f t="shared" si="7"/>
        <v>0</v>
      </c>
      <c r="O55" s="141"/>
      <c r="P55" s="134"/>
      <c r="Q55" s="134"/>
      <c r="R55" s="141"/>
    </row>
    <row r="56" spans="2:17" ht="12.75">
      <c r="B56" s="48"/>
      <c r="C56" s="48"/>
      <c r="D56" s="133"/>
      <c r="E56" s="256">
        <f>SUM(E40:E55)</f>
        <v>649265644.4987581</v>
      </c>
      <c r="F56" s="48"/>
      <c r="I56" s="256">
        <f t="shared" si="6"/>
        <v>649265644.4987581</v>
      </c>
      <c r="J56" s="257">
        <f>SUM(J40:J55)</f>
        <v>649265644.4987581</v>
      </c>
      <c r="K56" s="257">
        <f>SUM(K40:K55)</f>
        <v>0</v>
      </c>
      <c r="N56" s="141"/>
      <c r="O56" s="134"/>
      <c r="P56" s="134"/>
      <c r="Q56" s="141"/>
    </row>
    <row r="57" spans="2:17" ht="12.75">
      <c r="B57" s="48"/>
      <c r="C57" s="48"/>
      <c r="D57" s="133"/>
      <c r="E57" s="48"/>
      <c r="F57" s="48"/>
      <c r="N57" s="141"/>
      <c r="O57" s="134"/>
      <c r="P57" s="134"/>
      <c r="Q57" s="141"/>
    </row>
    <row r="58" spans="2:17" ht="12.75">
      <c r="B58" s="48"/>
      <c r="C58" s="48"/>
      <c r="D58" s="133"/>
      <c r="E58" s="48"/>
      <c r="F58" s="48"/>
      <c r="N58" s="141"/>
      <c r="O58" s="134"/>
      <c r="P58" s="134"/>
      <c r="Q58" s="141"/>
    </row>
    <row r="59" spans="2:17" ht="12.75">
      <c r="B59" s="48"/>
      <c r="C59" s="48"/>
      <c r="D59" s="133"/>
      <c r="E59" s="48"/>
      <c r="F59" s="48"/>
      <c r="N59" s="141"/>
      <c r="O59" s="134"/>
      <c r="P59" s="134"/>
      <c r="Q59" s="141"/>
    </row>
    <row r="60" spans="2:17" ht="12.75">
      <c r="B60" s="48"/>
      <c r="C60" s="48"/>
      <c r="D60" s="133"/>
      <c r="E60" s="48"/>
      <c r="F60" s="48"/>
      <c r="N60" s="141"/>
      <c r="O60" s="134"/>
      <c r="P60" s="134"/>
      <c r="Q60" s="141"/>
    </row>
    <row r="61" spans="4:5" ht="12.75">
      <c r="D61" s="2"/>
      <c r="E61" s="253" t="s">
        <v>243</v>
      </c>
    </row>
    <row r="62" spans="4:5" ht="12.75">
      <c r="D62" s="2"/>
      <c r="E62" s="253"/>
    </row>
    <row r="63" spans="2:3" ht="12.75">
      <c r="B63" s="2">
        <v>38718</v>
      </c>
      <c r="C63" s="253">
        <f>$G$40</f>
        <v>26995.328137311983</v>
      </c>
    </row>
    <row r="64" spans="2:3" ht="12.75">
      <c r="B64" s="2">
        <v>38749</v>
      </c>
      <c r="C64" s="253">
        <f>C63+$G$40</f>
        <v>53990.656274623965</v>
      </c>
    </row>
    <row r="65" spans="2:3" ht="12.75">
      <c r="B65" s="2">
        <v>38777</v>
      </c>
      <c r="C65" s="253">
        <f aca="true" t="shared" si="13" ref="C65:C74">C64+$G$40</f>
        <v>80985.98441193595</v>
      </c>
    </row>
    <row r="66" spans="2:3" ht="12.75">
      <c r="B66" s="2">
        <v>38808</v>
      </c>
      <c r="C66" s="253">
        <f t="shared" si="13"/>
        <v>107981.31254924793</v>
      </c>
    </row>
    <row r="67" spans="2:3" ht="12.75">
      <c r="B67" s="2">
        <v>38838</v>
      </c>
      <c r="C67" s="253">
        <f t="shared" si="13"/>
        <v>134976.6406865599</v>
      </c>
    </row>
    <row r="68" spans="2:3" ht="12.75">
      <c r="B68" s="2">
        <v>38869</v>
      </c>
      <c r="C68" s="253">
        <f t="shared" si="13"/>
        <v>161971.96882387187</v>
      </c>
    </row>
    <row r="69" spans="2:3" ht="12.75">
      <c r="B69" s="2">
        <v>38899</v>
      </c>
      <c r="C69" s="253">
        <f t="shared" si="13"/>
        <v>188967.29696118383</v>
      </c>
    </row>
    <row r="70" spans="2:3" ht="12.75">
      <c r="B70" s="2">
        <v>38930</v>
      </c>
      <c r="C70" s="253">
        <f t="shared" si="13"/>
        <v>215962.6250984958</v>
      </c>
    </row>
    <row r="71" spans="2:3" ht="12.75">
      <c r="B71" s="2">
        <v>38961</v>
      </c>
      <c r="C71" s="253">
        <f t="shared" si="13"/>
        <v>242957.95323580777</v>
      </c>
    </row>
    <row r="72" spans="2:3" ht="12.75">
      <c r="B72" s="2">
        <v>38991</v>
      </c>
      <c r="C72" s="253">
        <f t="shared" si="13"/>
        <v>269953.28137311974</v>
      </c>
    </row>
    <row r="73" spans="2:3" ht="12.75">
      <c r="B73" s="2">
        <v>39022</v>
      </c>
      <c r="C73" s="253">
        <f t="shared" si="13"/>
        <v>296948.6095104317</v>
      </c>
    </row>
    <row r="74" spans="2:5" ht="12.75">
      <c r="B74" s="2">
        <v>39052</v>
      </c>
      <c r="C74" s="253">
        <f t="shared" si="13"/>
        <v>323943.9376477437</v>
      </c>
      <c r="D74" s="253">
        <f>SUM(C63:C74)</f>
        <v>2105635.594710334</v>
      </c>
      <c r="E74" s="253">
        <f>C74*12</f>
        <v>3887327.2517729243</v>
      </c>
    </row>
    <row r="75" spans="2:3" ht="12.75">
      <c r="B75" s="2">
        <v>39083</v>
      </c>
      <c r="C75" s="253">
        <f>+C74+$G$41</f>
        <v>351105.5315871596</v>
      </c>
    </row>
    <row r="76" spans="2:3" ht="12.75">
      <c r="B76" s="2">
        <v>39114</v>
      </c>
      <c r="C76" s="253">
        <f aca="true" t="shared" si="14" ref="C76:C86">+C75+$G$41</f>
        <v>378267.12552657555</v>
      </c>
    </row>
    <row r="77" spans="2:3" ht="12.75">
      <c r="B77" s="2">
        <v>39142</v>
      </c>
      <c r="C77" s="253">
        <f t="shared" si="14"/>
        <v>405428.7194659915</v>
      </c>
    </row>
    <row r="78" spans="2:3" ht="12.75">
      <c r="B78" s="2">
        <v>39173</v>
      </c>
      <c r="C78" s="253">
        <f t="shared" si="14"/>
        <v>432590.3134054074</v>
      </c>
    </row>
    <row r="79" spans="2:3" ht="12.75">
      <c r="B79" s="2">
        <v>39203</v>
      </c>
      <c r="C79" s="253">
        <f t="shared" si="14"/>
        <v>459751.90734482335</v>
      </c>
    </row>
    <row r="80" spans="2:3" ht="12.75">
      <c r="B80" s="2">
        <v>39234</v>
      </c>
      <c r="C80" s="253">
        <f t="shared" si="14"/>
        <v>486913.5012842393</v>
      </c>
    </row>
    <row r="81" spans="2:3" ht="12.75">
      <c r="B81" s="2">
        <v>39264</v>
      </c>
      <c r="C81" s="253">
        <f t="shared" si="14"/>
        <v>514075.0952236552</v>
      </c>
    </row>
    <row r="82" spans="2:3" ht="12.75">
      <c r="B82" s="2">
        <v>39295</v>
      </c>
      <c r="C82" s="253">
        <f t="shared" si="14"/>
        <v>541236.6891630711</v>
      </c>
    </row>
    <row r="83" spans="2:3" ht="12.75">
      <c r="B83" s="2">
        <v>39326</v>
      </c>
      <c r="C83" s="253">
        <f t="shared" si="14"/>
        <v>568398.283102487</v>
      </c>
    </row>
    <row r="84" spans="2:3" ht="12.75">
      <c r="B84" s="2">
        <v>39356</v>
      </c>
      <c r="C84" s="253">
        <f t="shared" si="14"/>
        <v>595559.8770419029</v>
      </c>
    </row>
    <row r="85" spans="2:3" ht="12.75">
      <c r="B85" s="2">
        <v>39387</v>
      </c>
      <c r="C85" s="253">
        <f t="shared" si="14"/>
        <v>622721.4709813187</v>
      </c>
    </row>
    <row r="86" spans="2:5" ht="12.75">
      <c r="B86" s="2">
        <v>39417</v>
      </c>
      <c r="C86" s="253">
        <f t="shared" si="14"/>
        <v>649883.0649207346</v>
      </c>
      <c r="D86" s="253">
        <f>SUM(C75:C86)</f>
        <v>6005931.579047367</v>
      </c>
      <c r="E86" s="253">
        <f>C86*12</f>
        <v>7798596.779048815</v>
      </c>
    </row>
    <row r="87" spans="2:3" ht="12.75">
      <c r="B87" s="2">
        <v>39448</v>
      </c>
      <c r="C87" s="253">
        <f>C86+$G$42</f>
        <v>660140.676782788</v>
      </c>
    </row>
    <row r="88" spans="2:3" ht="12.75">
      <c r="B88" s="2">
        <v>39479</v>
      </c>
      <c r="C88" s="253">
        <f aca="true" t="shared" si="15" ref="C88:C98">C87+$G$42</f>
        <v>670398.2886448414</v>
      </c>
    </row>
    <row r="89" spans="2:3" ht="12.75">
      <c r="B89" s="2">
        <v>39508</v>
      </c>
      <c r="C89" s="253">
        <f t="shared" si="15"/>
        <v>680655.9005068948</v>
      </c>
    </row>
    <row r="90" spans="2:3" ht="12.75">
      <c r="B90" s="2">
        <v>39539</v>
      </c>
      <c r="C90" s="253">
        <f t="shared" si="15"/>
        <v>690913.5123689482</v>
      </c>
    </row>
    <row r="91" spans="2:3" ht="12.75">
      <c r="B91" s="2">
        <v>39569</v>
      </c>
      <c r="C91" s="253">
        <f t="shared" si="15"/>
        <v>701171.1242310016</v>
      </c>
    </row>
    <row r="92" spans="2:3" ht="12.75">
      <c r="B92" s="2">
        <v>39600</v>
      </c>
      <c r="C92" s="253">
        <f t="shared" si="15"/>
        <v>711428.736093055</v>
      </c>
    </row>
    <row r="93" spans="2:3" ht="12.75">
      <c r="B93" s="2">
        <v>39630</v>
      </c>
      <c r="C93" s="253">
        <f t="shared" si="15"/>
        <v>721686.3479551084</v>
      </c>
    </row>
    <row r="94" spans="2:3" ht="12.75">
      <c r="B94" s="2">
        <v>39661</v>
      </c>
      <c r="C94" s="253">
        <f t="shared" si="15"/>
        <v>731943.9598171618</v>
      </c>
    </row>
    <row r="95" spans="2:3" ht="12.75">
      <c r="B95" s="2">
        <v>39692</v>
      </c>
      <c r="C95" s="253">
        <f t="shared" si="15"/>
        <v>742201.5716792152</v>
      </c>
    </row>
    <row r="96" spans="2:3" ht="12.75">
      <c r="B96" s="2">
        <v>39722</v>
      </c>
      <c r="C96" s="253">
        <f t="shared" si="15"/>
        <v>752459.1835412686</v>
      </c>
    </row>
    <row r="97" spans="2:3" ht="12.75">
      <c r="B97" s="2">
        <v>39753</v>
      </c>
      <c r="C97" s="253">
        <f t="shared" si="15"/>
        <v>762716.795403322</v>
      </c>
    </row>
    <row r="98" spans="2:5" ht="12.75">
      <c r="B98" s="2">
        <v>39783</v>
      </c>
      <c r="C98" s="253">
        <f t="shared" si="15"/>
        <v>772974.4072653754</v>
      </c>
      <c r="D98" s="253">
        <f>SUM(C87:C98)</f>
        <v>8598690.504288979</v>
      </c>
      <c r="E98" s="253">
        <f>C98*12</f>
        <v>9275692.887184504</v>
      </c>
    </row>
    <row r="99" spans="2:3" ht="12.75">
      <c r="B99" s="2">
        <v>39814</v>
      </c>
      <c r="C99" s="253">
        <f>C98+$G$43</f>
        <v>798306.233662782</v>
      </c>
    </row>
    <row r="100" spans="2:3" ht="12.75">
      <c r="B100" s="2">
        <v>39845</v>
      </c>
      <c r="C100" s="253">
        <f aca="true" t="shared" si="16" ref="C100:C110">C99+$G$43</f>
        <v>823638.0600601886</v>
      </c>
    </row>
    <row r="101" spans="2:3" ht="12.75">
      <c r="B101" s="2">
        <v>39873</v>
      </c>
      <c r="C101" s="253">
        <f t="shared" si="16"/>
        <v>848969.8864575953</v>
      </c>
    </row>
    <row r="102" spans="2:3" ht="12.75">
      <c r="B102" s="2">
        <v>39904</v>
      </c>
      <c r="C102" s="253">
        <f t="shared" si="16"/>
        <v>874301.7128550019</v>
      </c>
    </row>
    <row r="103" spans="2:3" ht="12.75">
      <c r="B103" s="2">
        <v>39934</v>
      </c>
      <c r="C103" s="253">
        <f t="shared" si="16"/>
        <v>899633.5392524085</v>
      </c>
    </row>
    <row r="104" spans="2:3" ht="12.75">
      <c r="B104" s="2">
        <v>39965</v>
      </c>
      <c r="C104" s="253">
        <f t="shared" si="16"/>
        <v>924965.3656498152</v>
      </c>
    </row>
    <row r="105" spans="2:3" ht="12.75">
      <c r="B105" s="2">
        <v>39995</v>
      </c>
      <c r="C105" s="253">
        <f t="shared" si="16"/>
        <v>950297.1920472218</v>
      </c>
    </row>
    <row r="106" spans="2:3" ht="12.75">
      <c r="B106" s="2">
        <v>40026</v>
      </c>
      <c r="C106" s="253">
        <f t="shared" si="16"/>
        <v>975629.0184446285</v>
      </c>
    </row>
    <row r="107" spans="2:3" ht="12.75">
      <c r="B107" s="2">
        <v>40057</v>
      </c>
      <c r="C107" s="253">
        <f t="shared" si="16"/>
        <v>1000960.8448420351</v>
      </c>
    </row>
    <row r="108" spans="2:3" ht="12.75">
      <c r="B108" s="2">
        <v>40087</v>
      </c>
      <c r="C108" s="253">
        <f t="shared" si="16"/>
        <v>1026292.6712394417</v>
      </c>
    </row>
    <row r="109" spans="2:3" ht="12.75">
      <c r="B109" s="2">
        <v>40118</v>
      </c>
      <c r="C109" s="253">
        <f t="shared" si="16"/>
        <v>1051624.4976368484</v>
      </c>
    </row>
    <row r="110" spans="2:5" ht="12.75">
      <c r="B110" s="2">
        <v>40148</v>
      </c>
      <c r="C110" s="253">
        <f t="shared" si="16"/>
        <v>1076956.324034255</v>
      </c>
      <c r="D110" s="253">
        <f>SUM(C99:C110)</f>
        <v>11251575.346182223</v>
      </c>
      <c r="E110" s="253">
        <f>C110*12</f>
        <v>12923475.88841106</v>
      </c>
    </row>
    <row r="111" spans="2:3" ht="12.75">
      <c r="B111" s="2">
        <v>40179</v>
      </c>
      <c r="C111" s="253">
        <f>C110+$G$44</f>
        <v>1086477.3367878648</v>
      </c>
    </row>
    <row r="112" spans="2:3" ht="12.75">
      <c r="B112" s="2">
        <v>40210</v>
      </c>
      <c r="C112" s="253">
        <f aca="true" t="shared" si="17" ref="C112:C122">C111+$G$44</f>
        <v>1095998.3495414746</v>
      </c>
    </row>
    <row r="113" spans="2:3" ht="12.75">
      <c r="B113" s="2">
        <v>40238</v>
      </c>
      <c r="C113" s="253">
        <f t="shared" si="17"/>
        <v>1105519.3622950844</v>
      </c>
    </row>
    <row r="114" spans="2:3" ht="12.75">
      <c r="B114" s="2">
        <v>40269</v>
      </c>
      <c r="C114" s="253">
        <f t="shared" si="17"/>
        <v>1115040.3750486942</v>
      </c>
    </row>
    <row r="115" spans="2:3" ht="12.75">
      <c r="B115" s="2">
        <v>40299</v>
      </c>
      <c r="C115" s="253">
        <f t="shared" si="17"/>
        <v>1124561.387802304</v>
      </c>
    </row>
    <row r="116" spans="2:3" ht="12.75">
      <c r="B116" s="2">
        <v>40330</v>
      </c>
      <c r="C116" s="253">
        <f t="shared" si="17"/>
        <v>1134082.4005559138</v>
      </c>
    </row>
    <row r="117" spans="2:3" ht="12.75">
      <c r="B117" s="2">
        <v>40360</v>
      </c>
      <c r="C117" s="253">
        <f t="shared" si="17"/>
        <v>1143603.4133095236</v>
      </c>
    </row>
    <row r="118" spans="2:3" ht="12.75">
      <c r="B118" s="2">
        <v>40391</v>
      </c>
      <c r="C118" s="253">
        <f t="shared" si="17"/>
        <v>1153124.4260631334</v>
      </c>
    </row>
    <row r="119" spans="2:3" ht="12.75">
      <c r="B119" s="2">
        <v>40422</v>
      </c>
      <c r="C119" s="253">
        <f t="shared" si="17"/>
        <v>1162645.4388167432</v>
      </c>
    </row>
    <row r="120" spans="2:3" ht="12.75">
      <c r="B120" s="2">
        <v>40452</v>
      </c>
      <c r="C120" s="253">
        <f t="shared" si="17"/>
        <v>1172166.451570353</v>
      </c>
    </row>
    <row r="121" spans="2:3" ht="12.75">
      <c r="B121" s="2">
        <v>40483</v>
      </c>
      <c r="C121" s="253">
        <f t="shared" si="17"/>
        <v>1181687.4643239628</v>
      </c>
    </row>
    <row r="122" spans="2:5" ht="12.75">
      <c r="B122" s="2">
        <v>40513</v>
      </c>
      <c r="C122" s="253">
        <f t="shared" si="17"/>
        <v>1191208.4770775726</v>
      </c>
      <c r="D122" s="253">
        <f>SUM(C111:C122)</f>
        <v>13666114.883192625</v>
      </c>
      <c r="E122" s="253">
        <f>C122*12</f>
        <v>14294501.724930871</v>
      </c>
    </row>
    <row r="123" spans="2:3" ht="12.75">
      <c r="B123" s="2">
        <v>40544</v>
      </c>
      <c r="C123" s="253">
        <f>C122+$G$45</f>
        <v>1227360.742522026</v>
      </c>
    </row>
    <row r="124" spans="2:3" ht="12.75">
      <c r="B124" s="2">
        <v>40575</v>
      </c>
      <c r="C124" s="253">
        <f aca="true" t="shared" si="18" ref="C124:C134">C123+$G$45</f>
        <v>1263513.0079664793</v>
      </c>
    </row>
    <row r="125" spans="2:3" ht="12.75">
      <c r="B125" s="2">
        <v>40603</v>
      </c>
      <c r="C125" s="253">
        <f t="shared" si="18"/>
        <v>1299665.2734109326</v>
      </c>
    </row>
    <row r="126" spans="2:3" ht="12.75">
      <c r="B126" s="2">
        <v>40634</v>
      </c>
      <c r="C126" s="253">
        <f t="shared" si="18"/>
        <v>1335817.538855386</v>
      </c>
    </row>
    <row r="127" spans="2:3" ht="12.75">
      <c r="B127" s="2">
        <v>40664</v>
      </c>
      <c r="C127" s="253">
        <f t="shared" si="18"/>
        <v>1371969.8042998393</v>
      </c>
    </row>
    <row r="128" spans="2:3" ht="12.75">
      <c r="B128" s="2">
        <v>40695</v>
      </c>
      <c r="C128" s="253">
        <f t="shared" si="18"/>
        <v>1408122.0697442926</v>
      </c>
    </row>
    <row r="129" spans="2:3" ht="12.75">
      <c r="B129" s="2">
        <v>40725</v>
      </c>
      <c r="C129" s="253">
        <f t="shared" si="18"/>
        <v>1444274.335188746</v>
      </c>
    </row>
    <row r="130" spans="2:3" ht="12.75">
      <c r="B130" s="2">
        <v>40756</v>
      </c>
      <c r="C130" s="253">
        <f t="shared" si="18"/>
        <v>1480426.6006331993</v>
      </c>
    </row>
    <row r="131" spans="2:3" ht="12.75">
      <c r="B131" s="2">
        <v>40787</v>
      </c>
      <c r="C131" s="253">
        <f t="shared" si="18"/>
        <v>1516578.8660776527</v>
      </c>
    </row>
    <row r="132" spans="2:3" ht="12.75">
      <c r="B132" s="2">
        <v>40817</v>
      </c>
      <c r="C132" s="253">
        <f t="shared" si="18"/>
        <v>1552731.131522106</v>
      </c>
    </row>
    <row r="133" spans="2:3" ht="12.75">
      <c r="B133" s="2">
        <v>40848</v>
      </c>
      <c r="C133" s="253">
        <f t="shared" si="18"/>
        <v>1588883.3969665593</v>
      </c>
    </row>
    <row r="134" spans="2:5" ht="12.75">
      <c r="B134" s="2">
        <v>40878</v>
      </c>
      <c r="C134" s="253">
        <f t="shared" si="18"/>
        <v>1625035.6624110127</v>
      </c>
      <c r="D134" s="253">
        <f>SUM(C123:C134)</f>
        <v>17114378.429598235</v>
      </c>
      <c r="E134" s="253">
        <f>C134*12</f>
        <v>19500427.948932152</v>
      </c>
    </row>
    <row r="135" spans="2:3" ht="12.75">
      <c r="B135" s="2">
        <v>40909</v>
      </c>
      <c r="C135" s="253">
        <f>C134+$G$46</f>
        <v>1683207.3157123702</v>
      </c>
    </row>
    <row r="136" spans="2:3" ht="12.75">
      <c r="B136" s="2">
        <v>40940</v>
      </c>
      <c r="C136" s="253">
        <f aca="true" t="shared" si="19" ref="C136:C146">C135+$G$46</f>
        <v>1741378.9690137277</v>
      </c>
    </row>
    <row r="137" spans="2:3" ht="12.75">
      <c r="B137" s="2">
        <v>40969</v>
      </c>
      <c r="C137" s="253">
        <f t="shared" si="19"/>
        <v>1799550.6223150853</v>
      </c>
    </row>
    <row r="138" spans="2:3" ht="12.75">
      <c r="B138" s="2">
        <v>41000</v>
      </c>
      <c r="C138" s="253">
        <f t="shared" si="19"/>
        <v>1857722.2756164428</v>
      </c>
    </row>
    <row r="139" spans="2:3" ht="12.75">
      <c r="B139" s="2">
        <v>41030</v>
      </c>
      <c r="C139" s="253">
        <f t="shared" si="19"/>
        <v>1915893.9289178003</v>
      </c>
    </row>
    <row r="140" spans="2:3" ht="12.75">
      <c r="B140" s="2">
        <v>41061</v>
      </c>
      <c r="C140" s="253">
        <f t="shared" si="19"/>
        <v>1974065.5822191578</v>
      </c>
    </row>
    <row r="141" spans="2:3" ht="12.75">
      <c r="B141" s="2">
        <v>41091</v>
      </c>
      <c r="C141" s="253">
        <f t="shared" si="19"/>
        <v>2032237.2355205154</v>
      </c>
    </row>
    <row r="142" spans="2:3" ht="12.75">
      <c r="B142" s="2">
        <v>41122</v>
      </c>
      <c r="C142" s="253">
        <f t="shared" si="19"/>
        <v>2090408.8888218729</v>
      </c>
    </row>
    <row r="143" spans="2:3" ht="12.75">
      <c r="B143" s="2">
        <v>41153</v>
      </c>
      <c r="C143" s="253">
        <f t="shared" si="19"/>
        <v>2148580.54212323</v>
      </c>
    </row>
    <row r="144" spans="2:3" ht="12.75">
      <c r="B144" s="2">
        <v>41183</v>
      </c>
      <c r="C144" s="253">
        <f t="shared" si="19"/>
        <v>2206752.1954245875</v>
      </c>
    </row>
    <row r="145" spans="2:3" ht="12.75">
      <c r="B145" s="2">
        <v>41214</v>
      </c>
      <c r="C145" s="253">
        <f t="shared" si="19"/>
        <v>2264923.8487259448</v>
      </c>
    </row>
    <row r="146" spans="2:5" ht="12.75">
      <c r="B146" s="2">
        <v>41244</v>
      </c>
      <c r="C146" s="253">
        <f t="shared" si="19"/>
        <v>2323095.502027302</v>
      </c>
      <c r="D146" s="253">
        <f>SUM(C135:C146)</f>
        <v>24037816.906438038</v>
      </c>
      <c r="E146" s="253">
        <f>C146*12</f>
        <v>27877146.024327625</v>
      </c>
    </row>
    <row r="147" spans="2:3" ht="12.75">
      <c r="B147" s="2">
        <v>41275</v>
      </c>
      <c r="C147" s="254">
        <f>C146+$G$47</f>
        <v>2349707.0251349364</v>
      </c>
    </row>
    <row r="148" spans="2:3" ht="12.75">
      <c r="B148" s="2">
        <v>41306</v>
      </c>
      <c r="C148" s="254">
        <f aca="true" t="shared" si="20" ref="C148:C158">C147+$G$47</f>
        <v>2376318.548242571</v>
      </c>
    </row>
    <row r="149" spans="2:3" ht="12.75">
      <c r="B149" s="2">
        <v>41334</v>
      </c>
      <c r="C149" s="254">
        <f t="shared" si="20"/>
        <v>2402930.071350205</v>
      </c>
    </row>
    <row r="150" spans="2:3" ht="12.75">
      <c r="B150" s="2">
        <v>41365</v>
      </c>
      <c r="C150" s="254">
        <f t="shared" si="20"/>
        <v>2429541.5944578396</v>
      </c>
    </row>
    <row r="151" spans="2:3" ht="12.75">
      <c r="B151" s="2">
        <v>41395</v>
      </c>
      <c r="C151" s="254">
        <f t="shared" si="20"/>
        <v>2456153.117565474</v>
      </c>
    </row>
    <row r="152" spans="2:3" ht="12.75">
      <c r="B152" s="2">
        <v>41426</v>
      </c>
      <c r="C152" s="254">
        <f t="shared" si="20"/>
        <v>2482764.6406731084</v>
      </c>
    </row>
    <row r="153" spans="2:3" ht="12.75">
      <c r="B153" s="2">
        <v>41456</v>
      </c>
      <c r="C153" s="254">
        <f t="shared" si="20"/>
        <v>2509376.163780743</v>
      </c>
    </row>
    <row r="154" spans="2:3" ht="12.75">
      <c r="B154" s="2">
        <v>41487</v>
      </c>
      <c r="C154" s="254">
        <f t="shared" si="20"/>
        <v>2535987.686888377</v>
      </c>
    </row>
    <row r="155" spans="2:3" ht="12.75">
      <c r="B155" s="2">
        <v>41518</v>
      </c>
      <c r="C155" s="254">
        <f t="shared" si="20"/>
        <v>2562599.2099960116</v>
      </c>
    </row>
    <row r="156" spans="2:3" ht="12.75">
      <c r="B156" s="2">
        <v>41548</v>
      </c>
      <c r="C156" s="254">
        <f t="shared" si="20"/>
        <v>2589210.733103646</v>
      </c>
    </row>
    <row r="157" spans="2:3" ht="12.75">
      <c r="B157" s="2">
        <v>41579</v>
      </c>
      <c r="C157" s="254">
        <f t="shared" si="20"/>
        <v>2615822.2562112804</v>
      </c>
    </row>
    <row r="158" spans="2:5" ht="12.75">
      <c r="B158" s="2">
        <v>41609</v>
      </c>
      <c r="C158" s="254">
        <f t="shared" si="20"/>
        <v>2642433.7793189147</v>
      </c>
      <c r="D158" s="253">
        <f>SUM(C147:C158)</f>
        <v>29952844.826723106</v>
      </c>
      <c r="E158" s="253">
        <f>C158*12</f>
        <v>31709205.351826977</v>
      </c>
    </row>
    <row r="159" spans="2:3" ht="12.75">
      <c r="B159" s="2">
        <v>41640</v>
      </c>
      <c r="C159" s="254">
        <f>C158+$G$48</f>
        <v>2694394.1260486627</v>
      </c>
    </row>
    <row r="160" spans="2:3" ht="12.75">
      <c r="B160" s="2">
        <v>41671</v>
      </c>
      <c r="C160" s="254">
        <f aca="true" t="shared" si="21" ref="C160:C170">C159+$G$48</f>
        <v>2746354.4727784107</v>
      </c>
    </row>
    <row r="161" spans="2:3" ht="12.75">
      <c r="B161" s="2">
        <v>41699</v>
      </c>
      <c r="C161" s="254">
        <f t="shared" si="21"/>
        <v>2798314.8195081586</v>
      </c>
    </row>
    <row r="162" spans="2:3" ht="12.75">
      <c r="B162" s="2">
        <v>41730</v>
      </c>
      <c r="C162" s="254">
        <f t="shared" si="21"/>
        <v>2850275.1662379066</v>
      </c>
    </row>
    <row r="163" spans="2:3" ht="12.75">
      <c r="B163" s="2">
        <v>41760</v>
      </c>
      <c r="C163" s="254">
        <f t="shared" si="21"/>
        <v>2902235.5129676545</v>
      </c>
    </row>
    <row r="164" spans="2:3" ht="12.75">
      <c r="B164" s="2">
        <v>41791</v>
      </c>
      <c r="C164" s="254">
        <f t="shared" si="21"/>
        <v>2954195.8596974025</v>
      </c>
    </row>
    <row r="165" spans="2:3" ht="12.75">
      <c r="B165" s="2">
        <v>41821</v>
      </c>
      <c r="C165" s="254">
        <f t="shared" si="21"/>
        <v>3006156.2064271504</v>
      </c>
    </row>
    <row r="166" spans="2:3" ht="12.75">
      <c r="B166" s="2">
        <v>41852</v>
      </c>
      <c r="C166" s="254">
        <f t="shared" si="21"/>
        <v>3058116.5531568984</v>
      </c>
    </row>
    <row r="167" spans="2:3" ht="12.75">
      <c r="B167" s="2">
        <v>41883</v>
      </c>
      <c r="C167" s="254">
        <f t="shared" si="21"/>
        <v>3110076.8998866463</v>
      </c>
    </row>
    <row r="168" spans="2:3" ht="12.75">
      <c r="B168" s="2">
        <v>41913</v>
      </c>
      <c r="C168" s="254">
        <f t="shared" si="21"/>
        <v>3162037.2466163943</v>
      </c>
    </row>
    <row r="169" spans="2:3" ht="12.75">
      <c r="B169" s="2">
        <v>41944</v>
      </c>
      <c r="C169" s="254">
        <f t="shared" si="21"/>
        <v>3213997.593346142</v>
      </c>
    </row>
    <row r="170" spans="2:5" ht="12.75">
      <c r="B170" s="2">
        <v>41974</v>
      </c>
      <c r="C170" s="254">
        <f t="shared" si="21"/>
        <v>3265957.94007589</v>
      </c>
      <c r="D170" s="254">
        <f>SUM(C159:C170)</f>
        <v>35762112.39674731</v>
      </c>
      <c r="E170" s="253">
        <f>+C170*12</f>
        <v>39191495.280910686</v>
      </c>
    </row>
    <row r="171" spans="2:5" ht="12.75">
      <c r="B171" s="2">
        <v>42005</v>
      </c>
      <c r="C171" s="254">
        <f>+C170+$G$49</f>
        <v>3346851.132853615</v>
      </c>
      <c r="D171" s="254"/>
      <c r="E171" s="253"/>
    </row>
    <row r="172" spans="2:5" ht="12.75">
      <c r="B172" s="2">
        <v>42036</v>
      </c>
      <c r="C172" s="254">
        <f aca="true" t="shared" si="22" ref="C172:C182">+C171+$G$49</f>
        <v>3427744.32563134</v>
      </c>
      <c r="D172" s="254"/>
      <c r="E172" s="253"/>
    </row>
    <row r="173" spans="2:5" ht="12.75">
      <c r="B173" s="2">
        <v>42064</v>
      </c>
      <c r="C173" s="254">
        <f t="shared" si="22"/>
        <v>3508637.518409065</v>
      </c>
      <c r="D173" s="254"/>
      <c r="E173" s="253"/>
    </row>
    <row r="174" spans="2:5" ht="12.75">
      <c r="B174" s="2">
        <v>42095</v>
      </c>
      <c r="C174" s="254">
        <f t="shared" si="22"/>
        <v>3589530.71118679</v>
      </c>
      <c r="D174" s="254"/>
      <c r="E174" s="253"/>
    </row>
    <row r="175" spans="2:5" ht="12.75">
      <c r="B175" s="2">
        <v>42125</v>
      </c>
      <c r="C175" s="254">
        <f t="shared" si="22"/>
        <v>3670423.903964515</v>
      </c>
      <c r="D175" s="254"/>
      <c r="E175" s="253"/>
    </row>
    <row r="176" spans="2:5" ht="12.75">
      <c r="B176" s="2">
        <v>42156</v>
      </c>
      <c r="C176" s="254">
        <f t="shared" si="22"/>
        <v>3751317.09674224</v>
      </c>
      <c r="D176" s="254"/>
      <c r="E176" s="253"/>
    </row>
    <row r="177" spans="2:5" ht="12.75">
      <c r="B177" s="2">
        <v>42186</v>
      </c>
      <c r="C177" s="254">
        <f t="shared" si="22"/>
        <v>3832210.2895199647</v>
      </c>
      <c r="D177" s="254"/>
      <c r="E177" s="253"/>
    </row>
    <row r="178" spans="2:5" ht="12.75">
      <c r="B178" s="2">
        <v>42217</v>
      </c>
      <c r="C178" s="254">
        <f t="shared" si="22"/>
        <v>3913103.4822976897</v>
      </c>
      <c r="D178" s="254"/>
      <c r="E178" s="253"/>
    </row>
    <row r="179" spans="2:5" ht="12.75">
      <c r="B179" s="2">
        <v>42248</v>
      </c>
      <c r="C179" s="254">
        <f t="shared" si="22"/>
        <v>3993996.6750754146</v>
      </c>
      <c r="D179" s="254"/>
      <c r="E179" s="253"/>
    </row>
    <row r="180" spans="2:5" ht="12.75">
      <c r="B180" s="2">
        <v>42278</v>
      </c>
      <c r="C180" s="254">
        <f t="shared" si="22"/>
        <v>4074889.8678531395</v>
      </c>
      <c r="D180" s="254"/>
      <c r="E180" s="253"/>
    </row>
    <row r="181" spans="2:5" ht="12.75">
      <c r="B181" s="2">
        <v>42309</v>
      </c>
      <c r="C181" s="254">
        <f t="shared" si="22"/>
        <v>4155783.0606308645</v>
      </c>
      <c r="D181" s="254"/>
      <c r="E181" s="253"/>
    </row>
    <row r="182" spans="2:5" ht="12.75">
      <c r="B182" s="2">
        <v>42339</v>
      </c>
      <c r="C182" s="254">
        <f t="shared" si="22"/>
        <v>4236676.253408589</v>
      </c>
      <c r="D182" s="254">
        <f>SUM(C171:C182)</f>
        <v>45501164.31757323</v>
      </c>
      <c r="E182" s="253">
        <f>+C182*12</f>
        <v>50840115.04090308</v>
      </c>
    </row>
    <row r="183" spans="2:5" ht="12.75">
      <c r="B183" s="2">
        <v>42370</v>
      </c>
      <c r="C183" s="254">
        <f>+C182+$G$50</f>
        <v>4318903.045188646</v>
      </c>
      <c r="D183" s="254"/>
      <c r="E183" s="253"/>
    </row>
    <row r="184" spans="2:5" ht="12.75">
      <c r="B184" s="2">
        <v>42401</v>
      </c>
      <c r="C184" s="254">
        <f aca="true" t="shared" si="23" ref="C184:C194">+C183+$G$50</f>
        <v>4401129.836968702</v>
      </c>
      <c r="D184" s="254"/>
      <c r="E184" s="253"/>
    </row>
    <row r="185" spans="2:5" ht="12.75">
      <c r="B185" s="2">
        <v>42430</v>
      </c>
      <c r="C185" s="254">
        <f t="shared" si="23"/>
        <v>4483356.628748759</v>
      </c>
      <c r="D185" s="254"/>
      <c r="E185" s="253"/>
    </row>
    <row r="186" spans="2:5" ht="12.75">
      <c r="B186" s="2">
        <v>42461</v>
      </c>
      <c r="C186" s="254">
        <f t="shared" si="23"/>
        <v>4565583.420528815</v>
      </c>
      <c r="D186" s="254"/>
      <c r="E186" s="253"/>
    </row>
    <row r="187" spans="2:5" ht="12.75">
      <c r="B187" s="2">
        <v>42491</v>
      </c>
      <c r="C187" s="254">
        <f t="shared" si="23"/>
        <v>4647810.212308872</v>
      </c>
      <c r="D187" s="254"/>
      <c r="E187" s="253"/>
    </row>
    <row r="188" spans="2:5" ht="12.75">
      <c r="B188" s="2">
        <v>42522</v>
      </c>
      <c r="C188" s="254">
        <f t="shared" si="23"/>
        <v>4730037.004088928</v>
      </c>
      <c r="D188" s="254"/>
      <c r="E188" s="253"/>
    </row>
    <row r="189" spans="2:5" ht="12.75">
      <c r="B189" s="2">
        <v>42552</v>
      </c>
      <c r="C189" s="254">
        <f t="shared" si="23"/>
        <v>4812263.795868984</v>
      </c>
      <c r="D189" s="254"/>
      <c r="E189" s="253"/>
    </row>
    <row r="190" spans="2:5" ht="12.75">
      <c r="B190" s="2">
        <v>42583</v>
      </c>
      <c r="C190" s="254">
        <f t="shared" si="23"/>
        <v>4894490.587649041</v>
      </c>
      <c r="D190" s="254"/>
      <c r="E190" s="253"/>
    </row>
    <row r="191" spans="2:5" ht="12.75">
      <c r="B191" s="2">
        <v>42614</v>
      </c>
      <c r="C191" s="254">
        <f t="shared" si="23"/>
        <v>4976717.379429097</v>
      </c>
      <c r="D191" s="254"/>
      <c r="E191" s="253"/>
    </row>
    <row r="192" spans="2:5" ht="12.75">
      <c r="B192" s="2">
        <v>42644</v>
      </c>
      <c r="C192" s="254">
        <f t="shared" si="23"/>
        <v>5058944.171209154</v>
      </c>
      <c r="D192" s="254"/>
      <c r="E192" s="253"/>
    </row>
    <row r="193" spans="2:5" ht="12.75">
      <c r="B193" s="2">
        <v>42675</v>
      </c>
      <c r="C193" s="254">
        <f t="shared" si="23"/>
        <v>5141170.96298921</v>
      </c>
      <c r="D193" s="254"/>
      <c r="E193" s="253"/>
    </row>
    <row r="194" spans="2:5" ht="12.75">
      <c r="B194" s="2">
        <v>42705</v>
      </c>
      <c r="C194" s="254">
        <f t="shared" si="23"/>
        <v>5223397.754769267</v>
      </c>
      <c r="D194" s="254">
        <f>SUM(C183:C194)</f>
        <v>57253804.799747474</v>
      </c>
      <c r="E194" s="253">
        <f>+C194*12</f>
        <v>62680773.0572312</v>
      </c>
    </row>
    <row r="195" spans="2:5" ht="12.75">
      <c r="B195" s="2">
        <v>42736</v>
      </c>
      <c r="C195" s="254">
        <f>+C194+$G$51</f>
        <v>5326007.3704719385</v>
      </c>
      <c r="D195" s="254"/>
      <c r="E195" s="253"/>
    </row>
    <row r="196" spans="2:5" ht="12.75">
      <c r="B196" s="2">
        <v>42767</v>
      </c>
      <c r="C196" s="254">
        <f aca="true" t="shared" si="24" ref="C196:C206">+C195+$G$51</f>
        <v>5428616.98617461</v>
      </c>
      <c r="D196" s="254"/>
      <c r="E196" s="253"/>
    </row>
    <row r="197" spans="2:5" ht="12.75">
      <c r="B197" s="2">
        <v>42795</v>
      </c>
      <c r="C197" s="254">
        <f t="shared" si="24"/>
        <v>5531226.601877282</v>
      </c>
      <c r="D197" s="254"/>
      <c r="E197" s="253"/>
    </row>
    <row r="198" spans="2:5" ht="12.75">
      <c r="B198" s="2">
        <v>42826</v>
      </c>
      <c r="C198" s="254">
        <f t="shared" si="24"/>
        <v>5633836.217579954</v>
      </c>
      <c r="D198" s="254"/>
      <c r="E198" s="253"/>
    </row>
    <row r="199" spans="2:5" ht="12.75">
      <c r="B199" s="2">
        <v>42856</v>
      </c>
      <c r="C199" s="254">
        <f t="shared" si="24"/>
        <v>5736445.833282626</v>
      </c>
      <c r="D199" s="254"/>
      <c r="E199" s="253"/>
    </row>
    <row r="200" spans="2:5" ht="12.75">
      <c r="B200" s="2">
        <v>42887</v>
      </c>
      <c r="C200" s="254">
        <f t="shared" si="24"/>
        <v>5839055.448985298</v>
      </c>
      <c r="D200" s="254"/>
      <c r="E200" s="253"/>
    </row>
    <row r="201" spans="2:5" ht="12.75">
      <c r="B201" s="2">
        <v>42917</v>
      </c>
      <c r="C201" s="254">
        <f t="shared" si="24"/>
        <v>5941665.06468797</v>
      </c>
      <c r="D201" s="254"/>
      <c r="E201" s="253"/>
    </row>
    <row r="202" spans="2:5" ht="12.75">
      <c r="B202" s="2">
        <v>42948</v>
      </c>
      <c r="C202" s="254">
        <f t="shared" si="24"/>
        <v>6044274.680390642</v>
      </c>
      <c r="D202" s="254"/>
      <c r="E202" s="253"/>
    </row>
    <row r="203" spans="2:5" ht="12.75">
      <c r="B203" s="2">
        <v>42979</v>
      </c>
      <c r="C203" s="254">
        <f t="shared" si="24"/>
        <v>6146884.296093314</v>
      </c>
      <c r="D203" s="254"/>
      <c r="E203" s="253"/>
    </row>
    <row r="204" spans="2:5" ht="12.75">
      <c r="B204" s="2">
        <v>43009</v>
      </c>
      <c r="C204" s="254">
        <f t="shared" si="24"/>
        <v>6249493.911795986</v>
      </c>
      <c r="D204" s="254"/>
      <c r="E204" s="253"/>
    </row>
    <row r="205" spans="2:5" ht="12.75">
      <c r="B205" s="2">
        <v>43040</v>
      </c>
      <c r="C205" s="254">
        <f t="shared" si="24"/>
        <v>6352103.527498658</v>
      </c>
      <c r="D205" s="254"/>
      <c r="E205" s="253"/>
    </row>
    <row r="206" spans="2:5" ht="12.75">
      <c r="B206" s="2">
        <v>43070</v>
      </c>
      <c r="C206" s="254">
        <f t="shared" si="24"/>
        <v>6454713.14320133</v>
      </c>
      <c r="D206" s="254">
        <f>SUM(C195:C206)</f>
        <v>70684323.08203961</v>
      </c>
      <c r="E206" s="253">
        <f>+C206*12</f>
        <v>77456557.71841596</v>
      </c>
    </row>
    <row r="207" spans="2:5" ht="12.75">
      <c r="B207" s="2">
        <v>43101</v>
      </c>
      <c r="C207" s="254">
        <f>+C206+$G$52</f>
        <v>6495014.882030877</v>
      </c>
      <c r="D207" s="254"/>
      <c r="E207" s="253"/>
    </row>
    <row r="208" spans="2:5" ht="12.75">
      <c r="B208" s="2">
        <v>43132</v>
      </c>
      <c r="C208" s="254">
        <f aca="true" t="shared" si="25" ref="C208:C218">+C207+$G$52</f>
        <v>6535316.620860425</v>
      </c>
      <c r="D208" s="254"/>
      <c r="E208" s="253"/>
    </row>
    <row r="209" spans="2:5" ht="12.75">
      <c r="B209" s="2">
        <v>43160</v>
      </c>
      <c r="C209" s="254">
        <f t="shared" si="25"/>
        <v>6575618.359689972</v>
      </c>
      <c r="D209" s="254"/>
      <c r="E209" s="253"/>
    </row>
    <row r="210" spans="2:5" ht="12.75">
      <c r="B210" s="2">
        <v>43191</v>
      </c>
      <c r="C210" s="254">
        <f t="shared" si="25"/>
        <v>6615920.09851952</v>
      </c>
      <c r="D210" s="254"/>
      <c r="E210" s="253"/>
    </row>
    <row r="211" spans="2:5" ht="12.75">
      <c r="B211" s="2">
        <v>43221</v>
      </c>
      <c r="C211" s="254">
        <f t="shared" si="25"/>
        <v>6656221.837349067</v>
      </c>
      <c r="D211" s="254"/>
      <c r="E211" s="253"/>
    </row>
    <row r="212" spans="2:5" ht="12.75">
      <c r="B212" s="2">
        <v>43252</v>
      </c>
      <c r="C212" s="254">
        <f t="shared" si="25"/>
        <v>6696523.576178615</v>
      </c>
      <c r="D212" s="254"/>
      <c r="E212" s="253"/>
    </row>
    <row r="213" spans="2:5" ht="12.75">
      <c r="B213" s="2">
        <v>43282</v>
      </c>
      <c r="C213" s="254">
        <f t="shared" si="25"/>
        <v>6736825.3150081625</v>
      </c>
      <c r="D213" s="254"/>
      <c r="E213" s="253"/>
    </row>
    <row r="214" spans="2:5" ht="12.75">
      <c r="B214" s="2">
        <v>43313</v>
      </c>
      <c r="C214" s="254">
        <f t="shared" si="25"/>
        <v>6777127.05383771</v>
      </c>
      <c r="D214" s="254"/>
      <c r="E214" s="253"/>
    </row>
    <row r="215" spans="2:5" ht="12.75">
      <c r="B215" s="2">
        <v>43344</v>
      </c>
      <c r="C215" s="254">
        <f t="shared" si="25"/>
        <v>6817428.792667258</v>
      </c>
      <c r="D215" s="254"/>
      <c r="E215" s="253"/>
    </row>
    <row r="216" spans="2:5" ht="12.75">
      <c r="B216" s="2">
        <v>43374</v>
      </c>
      <c r="C216" s="254">
        <f t="shared" si="25"/>
        <v>6857730.531496805</v>
      </c>
      <c r="D216" s="254"/>
      <c r="E216" s="253"/>
    </row>
    <row r="217" spans="2:5" ht="12.75">
      <c r="B217" s="2">
        <v>43405</v>
      </c>
      <c r="C217" s="254">
        <f t="shared" si="25"/>
        <v>6898032.270326353</v>
      </c>
      <c r="D217" s="254"/>
      <c r="E217" s="253"/>
    </row>
    <row r="218" spans="2:5" ht="12.75">
      <c r="B218" s="2">
        <v>43435</v>
      </c>
      <c r="C218" s="254">
        <f t="shared" si="25"/>
        <v>6938334.0091559</v>
      </c>
      <c r="D218" s="254">
        <f>SUM(C207:C218)</f>
        <v>80600093.34712066</v>
      </c>
      <c r="E218" s="253">
        <f>+C218*12</f>
        <v>83260008.1098708</v>
      </c>
    </row>
    <row r="219" spans="2:3" ht="12.75">
      <c r="B219" s="2">
        <v>43466</v>
      </c>
      <c r="C219" s="254">
        <f>+C218+$G$53</f>
        <v>6944995.997840201</v>
      </c>
    </row>
    <row r="220" spans="2:3" ht="12.75">
      <c r="B220" s="2">
        <v>43497</v>
      </c>
      <c r="C220" s="254">
        <f aca="true" t="shared" si="26" ref="C220:C230">+C219+$G$53</f>
        <v>6951657.986524501</v>
      </c>
    </row>
    <row r="221" spans="2:3" ht="12.75">
      <c r="B221" s="2">
        <v>43525</v>
      </c>
      <c r="C221" s="254">
        <f t="shared" si="26"/>
        <v>6958319.975208801</v>
      </c>
    </row>
    <row r="222" spans="2:3" ht="12.75">
      <c r="B222" s="2">
        <v>43556</v>
      </c>
      <c r="C222" s="254">
        <f t="shared" si="26"/>
        <v>6964981.963893102</v>
      </c>
    </row>
    <row r="223" spans="2:3" ht="12.75">
      <c r="B223" s="2">
        <v>43586</v>
      </c>
      <c r="C223" s="254">
        <f t="shared" si="26"/>
        <v>6971643.952577402</v>
      </c>
    </row>
    <row r="224" spans="2:3" ht="12.75">
      <c r="B224" s="2">
        <v>43617</v>
      </c>
      <c r="C224" s="254">
        <f t="shared" si="26"/>
        <v>6978305.941261702</v>
      </c>
    </row>
    <row r="225" spans="2:3" ht="12.75">
      <c r="B225" s="2">
        <v>43647</v>
      </c>
      <c r="C225" s="254">
        <f t="shared" si="26"/>
        <v>6984967.929946003</v>
      </c>
    </row>
    <row r="226" spans="2:3" ht="12.75">
      <c r="B226" s="2">
        <v>43678</v>
      </c>
      <c r="C226" s="254">
        <f t="shared" si="26"/>
        <v>6991629.918630303</v>
      </c>
    </row>
    <row r="227" spans="2:3" ht="12.75">
      <c r="B227" s="2">
        <v>43709</v>
      </c>
      <c r="C227" s="254">
        <f t="shared" si="26"/>
        <v>6998291.907314603</v>
      </c>
    </row>
    <row r="228" spans="2:3" ht="12.75">
      <c r="B228" s="2">
        <v>43739</v>
      </c>
      <c r="C228" s="254">
        <f t="shared" si="26"/>
        <v>7004953.895998904</v>
      </c>
    </row>
    <row r="229" spans="2:3" ht="12.75">
      <c r="B229" s="2">
        <v>43770</v>
      </c>
      <c r="C229" s="254">
        <f t="shared" si="26"/>
        <v>7011615.884683204</v>
      </c>
    </row>
    <row r="230" spans="2:5" ht="12.75">
      <c r="B230" s="2">
        <v>43800</v>
      </c>
      <c r="C230" s="254">
        <f t="shared" si="26"/>
        <v>7018277.873367504</v>
      </c>
      <c r="D230" s="254">
        <f>SUM(C219:C230)</f>
        <v>83779643.22724624</v>
      </c>
      <c r="E230" s="253">
        <f>+C230*12</f>
        <v>84219334.48041005</v>
      </c>
    </row>
    <row r="231" spans="2:3" ht="12.75">
      <c r="B231" s="2">
        <v>43831</v>
      </c>
      <c r="C231" s="254">
        <f>+C230+$G$54</f>
        <v>7005871.603174502</v>
      </c>
    </row>
    <row r="232" spans="2:3" ht="12.75">
      <c r="B232" s="2">
        <v>43862</v>
      </c>
      <c r="C232" s="254">
        <f aca="true" t="shared" si="27" ref="C232:C242">+C231+$G$54</f>
        <v>6993465.3329815</v>
      </c>
    </row>
    <row r="233" spans="2:3" ht="12.75">
      <c r="B233" s="2">
        <v>43891</v>
      </c>
      <c r="C233" s="254">
        <f t="shared" si="27"/>
        <v>6981059.062788498</v>
      </c>
    </row>
    <row r="234" spans="2:3" ht="12.75">
      <c r="B234" s="2">
        <v>43922</v>
      </c>
      <c r="C234" s="254">
        <f t="shared" si="27"/>
        <v>6968652.7925954955</v>
      </c>
    </row>
    <row r="235" spans="2:3" ht="12.75">
      <c r="B235" s="2">
        <v>43952</v>
      </c>
      <c r="C235" s="254">
        <f t="shared" si="27"/>
        <v>6956246.522402493</v>
      </c>
    </row>
    <row r="236" spans="2:3" ht="12.75">
      <c r="B236" s="2">
        <v>43983</v>
      </c>
      <c r="C236" s="254">
        <f t="shared" si="27"/>
        <v>6943840.252209491</v>
      </c>
    </row>
    <row r="237" spans="2:3" ht="12.75">
      <c r="B237" s="2">
        <v>44013</v>
      </c>
      <c r="C237" s="254">
        <f t="shared" si="27"/>
        <v>6931433.982016489</v>
      </c>
    </row>
    <row r="238" spans="2:3" ht="12.75">
      <c r="B238" s="2">
        <v>44044</v>
      </c>
      <c r="C238" s="254">
        <f t="shared" si="27"/>
        <v>6919027.711823487</v>
      </c>
    </row>
    <row r="239" spans="2:3" ht="12.75">
      <c r="B239" s="2">
        <v>44075</v>
      </c>
      <c r="C239" s="254">
        <f t="shared" si="27"/>
        <v>6906621.441630485</v>
      </c>
    </row>
    <row r="240" spans="2:3" ht="12.75">
      <c r="B240" s="2">
        <v>44105</v>
      </c>
      <c r="C240" s="254">
        <f t="shared" si="27"/>
        <v>6894215.171437482</v>
      </c>
    </row>
    <row r="241" spans="2:3" ht="12.75">
      <c r="B241" s="2">
        <v>44136</v>
      </c>
      <c r="C241" s="254">
        <f t="shared" si="27"/>
        <v>6881808.90124448</v>
      </c>
    </row>
    <row r="242" spans="2:5" ht="12.75">
      <c r="B242" s="2">
        <v>44166</v>
      </c>
      <c r="C242" s="254">
        <f t="shared" si="27"/>
        <v>6869402.631051478</v>
      </c>
      <c r="D242" s="254">
        <f>SUM(C231:C242)</f>
        <v>83251645.40535587</v>
      </c>
      <c r="E242" s="253">
        <f>+C242*12</f>
        <v>82432831.57261774</v>
      </c>
    </row>
    <row r="243" spans="2:3" ht="12.75">
      <c r="B243" s="2">
        <v>44197</v>
      </c>
      <c r="C243" s="254">
        <f>C242+$G$55</f>
        <v>6834364.660283902</v>
      </c>
    </row>
    <row r="244" spans="2:3" ht="12.75">
      <c r="B244" s="2">
        <v>44228</v>
      </c>
      <c r="C244" s="254">
        <f aca="true" t="shared" si="28" ref="C244:C254">C243+$G$55</f>
        <v>6799326.6895163255</v>
      </c>
    </row>
    <row r="245" spans="2:3" ht="12.75">
      <c r="B245" s="2">
        <v>44256</v>
      </c>
      <c r="C245" s="254">
        <f t="shared" si="28"/>
        <v>6764288.718748749</v>
      </c>
    </row>
    <row r="246" spans="2:3" ht="12.75">
      <c r="B246" s="2">
        <v>44287</v>
      </c>
      <c r="C246" s="254">
        <f t="shared" si="28"/>
        <v>6729250.747981173</v>
      </c>
    </row>
    <row r="247" spans="2:3" ht="12.75">
      <c r="B247" s="2">
        <v>44317</v>
      </c>
      <c r="C247" s="254">
        <f t="shared" si="28"/>
        <v>6694212.777213597</v>
      </c>
    </row>
    <row r="248" spans="2:3" ht="12.75">
      <c r="B248" s="2">
        <v>44348</v>
      </c>
      <c r="C248" s="254">
        <f t="shared" si="28"/>
        <v>6659174.8064460205</v>
      </c>
    </row>
    <row r="249" spans="2:3" ht="12.75">
      <c r="B249" s="2">
        <v>44378</v>
      </c>
      <c r="C249" s="254">
        <f t="shared" si="28"/>
        <v>6624136.835678444</v>
      </c>
    </row>
    <row r="250" spans="2:3" ht="12.75">
      <c r="B250" s="2">
        <v>44409</v>
      </c>
      <c r="C250" s="254">
        <f t="shared" si="28"/>
        <v>6589098.864910868</v>
      </c>
    </row>
    <row r="251" spans="2:3" ht="12.75">
      <c r="B251" s="2">
        <v>44440</v>
      </c>
      <c r="C251" s="254">
        <f t="shared" si="28"/>
        <v>6554060.894143292</v>
      </c>
    </row>
    <row r="252" spans="2:3" ht="12.75">
      <c r="B252" s="2">
        <v>44470</v>
      </c>
      <c r="C252" s="254">
        <f t="shared" si="28"/>
        <v>6519022.9233757155</v>
      </c>
    </row>
    <row r="253" spans="2:3" ht="12.75">
      <c r="B253" s="2">
        <v>44501</v>
      </c>
      <c r="C253" s="254">
        <f t="shared" si="28"/>
        <v>6483984.952608139</v>
      </c>
    </row>
    <row r="254" spans="2:5" ht="12.75">
      <c r="B254" s="2">
        <v>44531</v>
      </c>
      <c r="C254" s="254">
        <f t="shared" si="28"/>
        <v>6448946.981840563</v>
      </c>
      <c r="D254" s="254">
        <f>SUM(C243:C254)</f>
        <v>79699869.8527468</v>
      </c>
      <c r="E254" s="255">
        <f>C254*12</f>
        <v>77387363.78208676</v>
      </c>
    </row>
    <row r="255" ht="12.75">
      <c r="C255" s="257">
        <f>SUM(C63:C254)</f>
        <v>649265644.4987584</v>
      </c>
    </row>
  </sheetData>
  <sheetProtection/>
  <mergeCells count="4">
    <mergeCell ref="I38:K38"/>
    <mergeCell ref="C3:G3"/>
    <mergeCell ref="C4:G4"/>
    <mergeCell ref="C5:G5"/>
  </mergeCells>
  <printOptions/>
  <pageMargins left="0.24" right="0.2" top="0.38" bottom="0.43" header="0.3" footer="0.3"/>
  <pageSetup fitToHeight="2" fitToWidth="1" orientation="landscape" scale="32" r:id="rId3"/>
  <legacyDrawing r:id="rId2"/>
</worksheet>
</file>

<file path=xl/worksheets/sheet13.xml><?xml version="1.0" encoding="utf-8"?>
<worksheet xmlns="http://schemas.openxmlformats.org/spreadsheetml/2006/main" xmlns:r="http://schemas.openxmlformats.org/officeDocument/2006/relationships">
  <dimension ref="A1:F106"/>
  <sheetViews>
    <sheetView zoomScalePageLayoutView="0" workbookViewId="0" topLeftCell="A94">
      <selection activeCell="H106" sqref="H106"/>
    </sheetView>
  </sheetViews>
  <sheetFormatPr defaultColWidth="9.140625" defaultRowHeight="12.75"/>
  <cols>
    <col min="1" max="1" width="31.421875" style="0" bestFit="1" customWidth="1"/>
    <col min="2" max="2" width="29.7109375" style="0" bestFit="1" customWidth="1"/>
    <col min="3" max="3" width="16.57421875" style="0" bestFit="1" customWidth="1"/>
    <col min="4" max="4" width="13.421875" style="0" bestFit="1" customWidth="1"/>
    <col min="6" max="6" width="14.140625" style="0" customWidth="1"/>
  </cols>
  <sheetData>
    <row r="1" spans="1:5" ht="12.75">
      <c r="A1" s="151" t="s">
        <v>251</v>
      </c>
      <c r="B1" s="152" t="s">
        <v>141</v>
      </c>
      <c r="C1" s="152" t="s">
        <v>155</v>
      </c>
      <c r="E1" s="153"/>
    </row>
    <row r="2" spans="1:3" ht="12.75">
      <c r="A2" s="154" t="str">
        <f>'Rate Class Energy Model'!H2</f>
        <v>Residential</v>
      </c>
      <c r="B2" s="155">
        <f>Summary!T20</f>
        <v>442258807</v>
      </c>
      <c r="C2" s="156"/>
    </row>
    <row r="3" spans="1:5" ht="12.75">
      <c r="A3" s="154" t="str">
        <f>'Rate Class Energy Model'!I2</f>
        <v>GS&lt;50</v>
      </c>
      <c r="B3" s="155">
        <f>Summary!T24</f>
        <v>128651236</v>
      </c>
      <c r="C3" s="156"/>
      <c r="E3" s="153"/>
    </row>
    <row r="4" spans="1:5" ht="12.75">
      <c r="A4" s="158" t="s">
        <v>311</v>
      </c>
      <c r="B4" s="155">
        <f>Summary!T28</f>
        <v>664474782</v>
      </c>
      <c r="C4" s="273">
        <f>Summary!T29</f>
        <v>1699495.96</v>
      </c>
      <c r="E4" s="37"/>
    </row>
    <row r="5" spans="1:3" ht="12.75">
      <c r="A5" s="158" t="s">
        <v>318</v>
      </c>
      <c r="B5" s="155">
        <f>Summary!T33</f>
        <v>0</v>
      </c>
      <c r="C5" s="157">
        <f>Summary!T34</f>
        <v>0</v>
      </c>
    </row>
    <row r="6" spans="1:5" ht="12.75">
      <c r="A6" s="154" t="str">
        <f>'Rate Class Energy Model'!L2</f>
        <v>Sentinels</v>
      </c>
      <c r="B6" s="155">
        <f>Summary!T38</f>
        <v>218399.86473544672</v>
      </c>
      <c r="C6" s="157">
        <f>Summary!T39</f>
        <v>652.3765399724094</v>
      </c>
      <c r="E6" s="152"/>
    </row>
    <row r="7" spans="1:5" ht="12.75">
      <c r="A7" s="154" t="str">
        <f>'Rate Class Energy Model'!M2</f>
        <v>Streetlights</v>
      </c>
      <c r="B7" s="155">
        <f>Summary!T43</f>
        <v>4423984.505328791</v>
      </c>
      <c r="C7" s="157">
        <f>Summary!T44</f>
        <v>12417.895849764438</v>
      </c>
      <c r="E7" s="37"/>
    </row>
    <row r="8" spans="1:3" ht="12.75">
      <c r="A8" s="158" t="str">
        <f>'Rate Class Energy Model'!N2</f>
        <v>USL</v>
      </c>
      <c r="B8" s="155">
        <f>Summary!T48</f>
        <v>1522535.666813397</v>
      </c>
      <c r="C8" s="156"/>
    </row>
    <row r="9" spans="1:3" ht="12.75">
      <c r="A9" s="159" t="s">
        <v>156</v>
      </c>
      <c r="B9" s="160">
        <f>SUM(B2:B8)</f>
        <v>1241549745.0368776</v>
      </c>
      <c r="C9" s="160">
        <f>SUM(C2:C8)</f>
        <v>1712566.2323897367</v>
      </c>
    </row>
    <row r="10" spans="2:3" ht="12.75">
      <c r="B10" s="48"/>
      <c r="C10" s="48"/>
    </row>
    <row r="12" spans="1:6" ht="12.75">
      <c r="A12" s="151" t="s">
        <v>265</v>
      </c>
      <c r="B12" s="332" t="s">
        <v>260</v>
      </c>
      <c r="C12" s="334" t="s">
        <v>261</v>
      </c>
      <c r="D12" s="161"/>
      <c r="E12" s="162"/>
      <c r="F12" s="163"/>
    </row>
    <row r="13" spans="1:6" ht="12.75">
      <c r="A13" s="164" t="s">
        <v>157</v>
      </c>
      <c r="B13" s="333"/>
      <c r="C13" s="335"/>
      <c r="D13" s="336" t="s">
        <v>266</v>
      </c>
      <c r="E13" s="337"/>
      <c r="F13" s="338"/>
    </row>
    <row r="14" spans="1:6" ht="12.75">
      <c r="A14" s="154" t="str">
        <f aca="true" t="shared" si="0" ref="A14:A20">A2</f>
        <v>Residential</v>
      </c>
      <c r="B14" s="155">
        <f aca="true" t="shared" si="1" ref="B14:B20">B2</f>
        <v>442258807</v>
      </c>
      <c r="C14" s="165">
        <v>1.0479</v>
      </c>
      <c r="D14" s="166">
        <f aca="true" t="shared" si="2" ref="D14:D20">B14*C14</f>
        <v>463443003.8553</v>
      </c>
      <c r="E14" s="167">
        <f>F14/D14</f>
        <v>0.12799392881779698</v>
      </c>
      <c r="F14" s="168">
        <v>59317890.846561275</v>
      </c>
    </row>
    <row r="15" spans="1:6" ht="12.75">
      <c r="A15" s="154" t="str">
        <f t="shared" si="0"/>
        <v>GS&lt;50</v>
      </c>
      <c r="B15" s="155">
        <f t="shared" si="1"/>
        <v>128651236</v>
      </c>
      <c r="C15" s="165">
        <f aca="true" t="shared" si="3" ref="C15:C20">$C$14</f>
        <v>1.0479</v>
      </c>
      <c r="D15" s="166">
        <f t="shared" si="2"/>
        <v>134813630.2044</v>
      </c>
      <c r="E15" s="167">
        <f aca="true" t="shared" si="4" ref="E15:E20">F15/D15</f>
        <v>0.12785187347872745</v>
      </c>
      <c r="F15" s="168">
        <v>17236175.192100897</v>
      </c>
    </row>
    <row r="16" spans="1:6" ht="12.75">
      <c r="A16" s="154" t="str">
        <f t="shared" si="0"/>
        <v>GS&gt;50 </v>
      </c>
      <c r="B16" s="155">
        <f t="shared" si="1"/>
        <v>664474782</v>
      </c>
      <c r="C16" s="165">
        <f t="shared" si="3"/>
        <v>1.0479</v>
      </c>
      <c r="D16" s="166">
        <f t="shared" si="2"/>
        <v>696303124.0578</v>
      </c>
      <c r="E16" s="167">
        <f t="shared" si="4"/>
        <v>0.11465904945656238</v>
      </c>
      <c r="F16" s="168">
        <v>79837454.33810219</v>
      </c>
    </row>
    <row r="17" spans="1:6" ht="12.75">
      <c r="A17" s="154" t="str">
        <f t="shared" si="0"/>
        <v>Embedded Distributor</v>
      </c>
      <c r="B17" s="155">
        <f t="shared" si="1"/>
        <v>0</v>
      </c>
      <c r="C17" s="165">
        <f t="shared" si="3"/>
        <v>1.0479</v>
      </c>
      <c r="D17" s="166">
        <f t="shared" si="2"/>
        <v>0</v>
      </c>
      <c r="E17" s="167"/>
      <c r="F17" s="168"/>
    </row>
    <row r="18" spans="1:6" ht="12.75">
      <c r="A18" s="154" t="str">
        <f t="shared" si="0"/>
        <v>Sentinels</v>
      </c>
      <c r="B18" s="155">
        <f t="shared" si="1"/>
        <v>218399.86473544672</v>
      </c>
      <c r="C18" s="165">
        <f t="shared" si="3"/>
        <v>1.0479</v>
      </c>
      <c r="D18" s="166">
        <f t="shared" si="2"/>
        <v>228861.21825627465</v>
      </c>
      <c r="E18" s="167">
        <f t="shared" si="4"/>
        <v>0.12803</v>
      </c>
      <c r="F18" s="168">
        <v>29301.101773350845</v>
      </c>
    </row>
    <row r="19" spans="1:6" ht="12.75">
      <c r="A19" s="154" t="str">
        <f t="shared" si="0"/>
        <v>Streetlights</v>
      </c>
      <c r="B19" s="155">
        <f t="shared" si="1"/>
        <v>4423984.505328791</v>
      </c>
      <c r="C19" s="165">
        <f t="shared" si="3"/>
        <v>1.0479</v>
      </c>
      <c r="D19" s="166">
        <f t="shared" si="2"/>
        <v>4635893.3631340405</v>
      </c>
      <c r="E19" s="167">
        <f t="shared" si="4"/>
        <v>0.12703</v>
      </c>
      <c r="F19" s="168">
        <v>588897.5339189172</v>
      </c>
    </row>
    <row r="20" spans="1:6" ht="12.75">
      <c r="A20" s="154" t="str">
        <f t="shared" si="0"/>
        <v>USL</v>
      </c>
      <c r="B20" s="155">
        <f t="shared" si="1"/>
        <v>1522535.666813397</v>
      </c>
      <c r="C20" s="165">
        <f t="shared" si="3"/>
        <v>1.0479</v>
      </c>
      <c r="D20" s="166">
        <f t="shared" si="2"/>
        <v>1595465.1252537589</v>
      </c>
      <c r="E20" s="167">
        <f t="shared" si="4"/>
        <v>0.12803</v>
      </c>
      <c r="F20" s="168">
        <v>204267.39998623874</v>
      </c>
    </row>
    <row r="21" spans="1:6" ht="12.75">
      <c r="A21" s="159" t="s">
        <v>156</v>
      </c>
      <c r="B21" s="160">
        <f>SUM(B14:B20)</f>
        <v>1241549745.0368776</v>
      </c>
      <c r="C21" s="164"/>
      <c r="D21" s="160">
        <f>SUM(D14:D20)</f>
        <v>1301019977.8241441</v>
      </c>
      <c r="E21" s="169"/>
      <c r="F21" s="170">
        <f>SUM(F14:F20)</f>
        <v>157213986.41244286</v>
      </c>
    </row>
    <row r="22" spans="1:6" ht="12.75">
      <c r="A22" s="171"/>
      <c r="B22" s="172"/>
      <c r="C22" s="173"/>
      <c r="D22" s="172"/>
      <c r="E22" s="174"/>
      <c r="F22" s="175"/>
    </row>
    <row r="24" spans="1:6" ht="12.75">
      <c r="A24" s="176" t="s">
        <v>158</v>
      </c>
      <c r="B24" s="177"/>
      <c r="C24" s="178" t="s">
        <v>159</v>
      </c>
      <c r="D24" s="179"/>
      <c r="E24" s="180"/>
      <c r="F24" s="177"/>
    </row>
    <row r="25" spans="1:6" ht="12.75">
      <c r="A25" s="164" t="s">
        <v>157</v>
      </c>
      <c r="B25" s="181"/>
      <c r="C25" s="182" t="s">
        <v>160</v>
      </c>
      <c r="D25" s="339">
        <v>2020</v>
      </c>
      <c r="E25" s="330"/>
      <c r="F25" s="331"/>
    </row>
    <row r="26" spans="1:6" ht="12.75">
      <c r="A26" s="154" t="str">
        <f>A14</f>
        <v>Residential</v>
      </c>
      <c r="B26" s="166"/>
      <c r="C26" s="183" t="s">
        <v>141</v>
      </c>
      <c r="D26" s="166">
        <f>D14</f>
        <v>463443003.8553</v>
      </c>
      <c r="E26" s="184">
        <v>0.0074</v>
      </c>
      <c r="F26" s="168">
        <f aca="true" t="shared" si="5" ref="F26:F32">D26*E26</f>
        <v>3429478.2285292204</v>
      </c>
    </row>
    <row r="27" spans="1:6" ht="12.75">
      <c r="A27" s="154" t="str">
        <f aca="true" t="shared" si="6" ref="A27:A32">A15</f>
        <v>GS&lt;50</v>
      </c>
      <c r="B27" s="166"/>
      <c r="C27" s="183" t="s">
        <v>141</v>
      </c>
      <c r="D27" s="166">
        <f>D15</f>
        <v>134813630.2044</v>
      </c>
      <c r="E27" s="184">
        <v>0.0067</v>
      </c>
      <c r="F27" s="168">
        <f t="shared" si="5"/>
        <v>903251.32236948</v>
      </c>
    </row>
    <row r="28" spans="1:6" ht="12.75">
      <c r="A28" s="154" t="str">
        <f t="shared" si="6"/>
        <v>GS&gt;50 </v>
      </c>
      <c r="B28" s="166"/>
      <c r="C28" s="183" t="s">
        <v>155</v>
      </c>
      <c r="D28" s="166">
        <f>C4</f>
        <v>1699495.96</v>
      </c>
      <c r="E28" s="184">
        <v>2.7628</v>
      </c>
      <c r="F28" s="168">
        <f t="shared" si="5"/>
        <v>4695367.4382879995</v>
      </c>
    </row>
    <row r="29" spans="1:6" ht="12.75">
      <c r="A29" s="154" t="str">
        <f t="shared" si="6"/>
        <v>Embedded Distributor</v>
      </c>
      <c r="B29" s="166"/>
      <c r="C29" s="183" t="s">
        <v>155</v>
      </c>
      <c r="D29" s="166">
        <f>C5</f>
        <v>0</v>
      </c>
      <c r="E29" s="184"/>
      <c r="F29" s="168">
        <f t="shared" si="5"/>
        <v>0</v>
      </c>
    </row>
    <row r="30" spans="1:6" ht="12.75">
      <c r="A30" s="154" t="str">
        <f t="shared" si="6"/>
        <v>Sentinels</v>
      </c>
      <c r="B30" s="166"/>
      <c r="C30" s="183" t="s">
        <v>155</v>
      </c>
      <c r="D30" s="166">
        <f>C6</f>
        <v>652.3765399724094</v>
      </c>
      <c r="E30" s="184">
        <v>2.0455</v>
      </c>
      <c r="F30" s="168">
        <f t="shared" si="5"/>
        <v>1334.4362125135635</v>
      </c>
    </row>
    <row r="31" spans="1:6" ht="12.75">
      <c r="A31" s="154" t="str">
        <f t="shared" si="6"/>
        <v>Streetlights</v>
      </c>
      <c r="B31" s="166"/>
      <c r="C31" s="194" t="s">
        <v>155</v>
      </c>
      <c r="D31" s="166">
        <f>C7</f>
        <v>12417.895849764438</v>
      </c>
      <c r="E31" s="184">
        <v>2.0884</v>
      </c>
      <c r="F31" s="168">
        <f t="shared" si="5"/>
        <v>25933.533692648052</v>
      </c>
    </row>
    <row r="32" spans="1:6" ht="12.75">
      <c r="A32" s="154" t="str">
        <f t="shared" si="6"/>
        <v>USL</v>
      </c>
      <c r="B32" s="155"/>
      <c r="C32" s="195" t="s">
        <v>141</v>
      </c>
      <c r="D32" s="166">
        <f>D20</f>
        <v>1595465.1252537589</v>
      </c>
      <c r="E32" s="184">
        <v>0.0067</v>
      </c>
      <c r="F32" s="193">
        <f t="shared" si="5"/>
        <v>10689.616339200185</v>
      </c>
    </row>
    <row r="33" spans="1:6" ht="12.75">
      <c r="A33" s="159" t="s">
        <v>156</v>
      </c>
      <c r="B33" s="160"/>
      <c r="C33" s="164"/>
      <c r="D33" s="160"/>
      <c r="E33" s="169"/>
      <c r="F33" s="185">
        <f>SUM(F26:F32)</f>
        <v>9066054.575431064</v>
      </c>
    </row>
    <row r="35" spans="1:6" ht="12.75">
      <c r="A35" s="176" t="s">
        <v>161</v>
      </c>
      <c r="B35" s="177"/>
      <c r="C35" s="186" t="s">
        <v>159</v>
      </c>
      <c r="D35" s="179"/>
      <c r="E35" s="180"/>
      <c r="F35" s="177"/>
    </row>
    <row r="36" spans="1:6" ht="12.75">
      <c r="A36" s="164" t="s">
        <v>157</v>
      </c>
      <c r="B36" s="181"/>
      <c r="C36" s="187" t="s">
        <v>160</v>
      </c>
      <c r="D36" s="339">
        <v>2020</v>
      </c>
      <c r="E36" s="330"/>
      <c r="F36" s="331"/>
    </row>
    <row r="37" spans="1:6" ht="12.75">
      <c r="A37" s="154" t="str">
        <f aca="true" t="shared" si="7" ref="A37:A43">A26</f>
        <v>Residential</v>
      </c>
      <c r="B37" s="166"/>
      <c r="C37" s="183" t="str">
        <f aca="true" t="shared" si="8" ref="C37:D42">C26</f>
        <v>kWh</v>
      </c>
      <c r="D37" s="166">
        <f t="shared" si="8"/>
        <v>463443003.8553</v>
      </c>
      <c r="E37" s="184">
        <v>0.0054</v>
      </c>
      <c r="F37" s="168">
        <f aca="true" t="shared" si="9" ref="F37:F43">D37*E37</f>
        <v>2502592.22081862</v>
      </c>
    </row>
    <row r="38" spans="1:6" ht="12.75">
      <c r="A38" s="154" t="str">
        <f t="shared" si="7"/>
        <v>GS&lt;50</v>
      </c>
      <c r="B38" s="166"/>
      <c r="C38" s="183" t="str">
        <f t="shared" si="8"/>
        <v>kWh</v>
      </c>
      <c r="D38" s="166">
        <f t="shared" si="8"/>
        <v>134813630.2044</v>
      </c>
      <c r="E38" s="184">
        <v>0.0047</v>
      </c>
      <c r="F38" s="168">
        <f t="shared" si="9"/>
        <v>633624.0619606801</v>
      </c>
    </row>
    <row r="39" spans="1:6" ht="12.75">
      <c r="A39" s="154" t="str">
        <f t="shared" si="7"/>
        <v>GS&gt;50 </v>
      </c>
      <c r="B39" s="166"/>
      <c r="C39" s="183" t="str">
        <f t="shared" si="8"/>
        <v>kW</v>
      </c>
      <c r="D39" s="166">
        <f t="shared" si="8"/>
        <v>1699495.96</v>
      </c>
      <c r="E39" s="184">
        <v>1.9004</v>
      </c>
      <c r="F39" s="168">
        <f t="shared" si="9"/>
        <v>3229722.122384</v>
      </c>
    </row>
    <row r="40" spans="1:6" ht="12.75">
      <c r="A40" s="154" t="str">
        <f t="shared" si="7"/>
        <v>Embedded Distributor</v>
      </c>
      <c r="B40" s="166"/>
      <c r="C40" s="183" t="str">
        <f t="shared" si="8"/>
        <v>kW</v>
      </c>
      <c r="D40" s="166">
        <f t="shared" si="8"/>
        <v>0</v>
      </c>
      <c r="E40" s="184"/>
      <c r="F40" s="168">
        <f t="shared" si="9"/>
        <v>0</v>
      </c>
    </row>
    <row r="41" spans="1:6" ht="12.75">
      <c r="A41" s="154" t="str">
        <f t="shared" si="7"/>
        <v>Sentinels</v>
      </c>
      <c r="B41" s="166"/>
      <c r="C41" s="183" t="str">
        <f t="shared" si="8"/>
        <v>kW</v>
      </c>
      <c r="D41" s="166">
        <f t="shared" si="8"/>
        <v>652.3765399724094</v>
      </c>
      <c r="E41" s="184">
        <v>1.5881</v>
      </c>
      <c r="F41" s="168">
        <f t="shared" si="9"/>
        <v>1036.0391831301836</v>
      </c>
    </row>
    <row r="42" spans="1:6" ht="12.75">
      <c r="A42" s="154" t="str">
        <f t="shared" si="7"/>
        <v>Streetlights</v>
      </c>
      <c r="B42" s="166"/>
      <c r="C42" s="183" t="str">
        <f t="shared" si="8"/>
        <v>kW</v>
      </c>
      <c r="D42" s="166">
        <f t="shared" si="8"/>
        <v>12417.895849764438</v>
      </c>
      <c r="E42" s="184">
        <v>1.46</v>
      </c>
      <c r="F42" s="168">
        <f t="shared" si="9"/>
        <v>18130.12794065608</v>
      </c>
    </row>
    <row r="43" spans="1:6" ht="12.75">
      <c r="A43" s="154" t="str">
        <f t="shared" si="7"/>
        <v>USL</v>
      </c>
      <c r="B43" s="155"/>
      <c r="C43" s="195" t="s">
        <v>141</v>
      </c>
      <c r="D43" s="155">
        <f>D32</f>
        <v>1595465.1252537589</v>
      </c>
      <c r="E43" s="184">
        <v>0.0047</v>
      </c>
      <c r="F43" s="193">
        <f t="shared" si="9"/>
        <v>7498.686088692667</v>
      </c>
    </row>
    <row r="44" spans="1:6" ht="12.75">
      <c r="A44" s="159" t="s">
        <v>156</v>
      </c>
      <c r="B44" s="160"/>
      <c r="C44" s="164"/>
      <c r="D44" s="160"/>
      <c r="E44" s="169"/>
      <c r="F44" s="185">
        <f>SUM(F37:F43)</f>
        <v>6392603.258375779</v>
      </c>
    </row>
    <row r="46" spans="1:6" ht="12.75">
      <c r="A46" s="176" t="s">
        <v>162</v>
      </c>
      <c r="B46" s="177"/>
      <c r="C46" s="186"/>
      <c r="D46" s="179"/>
      <c r="E46" s="180"/>
      <c r="F46" s="177"/>
    </row>
    <row r="47" spans="1:6" ht="12.75">
      <c r="A47" s="164" t="s">
        <v>157</v>
      </c>
      <c r="B47" s="181"/>
      <c r="C47" s="187"/>
      <c r="D47" s="339">
        <v>2020</v>
      </c>
      <c r="E47" s="330"/>
      <c r="F47" s="340"/>
    </row>
    <row r="48" spans="1:6" ht="12.75">
      <c r="A48" s="154" t="str">
        <f aca="true" t="shared" si="10" ref="A48:A54">A37</f>
        <v>Residential</v>
      </c>
      <c r="B48" s="166"/>
      <c r="C48" s="183" t="str">
        <f>C37</f>
        <v>kWh</v>
      </c>
      <c r="D48" s="166">
        <f aca="true" t="shared" si="11" ref="D48:D54">D14</f>
        <v>463443003.8553</v>
      </c>
      <c r="E48" s="184">
        <v>0.0034000000000000002</v>
      </c>
      <c r="F48" s="168">
        <v>1575706.21310802</v>
      </c>
    </row>
    <row r="49" spans="1:6" ht="12.75">
      <c r="A49" s="154" t="str">
        <f t="shared" si="10"/>
        <v>GS&lt;50</v>
      </c>
      <c r="B49" s="166"/>
      <c r="C49" s="183" t="s">
        <v>141</v>
      </c>
      <c r="D49" s="166">
        <f t="shared" si="11"/>
        <v>134813630.2044</v>
      </c>
      <c r="E49" s="184">
        <v>0.0034000000000000002</v>
      </c>
      <c r="F49" s="168">
        <v>458366.34269496007</v>
      </c>
    </row>
    <row r="50" spans="1:6" ht="12.75">
      <c r="A50" s="154" t="str">
        <f t="shared" si="10"/>
        <v>GS&gt;50 </v>
      </c>
      <c r="B50" s="166"/>
      <c r="C50" s="183" t="s">
        <v>141</v>
      </c>
      <c r="D50" s="166">
        <f t="shared" si="11"/>
        <v>696303124.0578</v>
      </c>
      <c r="E50" s="184">
        <v>0.0034000000000000002</v>
      </c>
      <c r="F50" s="168">
        <v>2432219.4934756276</v>
      </c>
    </row>
    <row r="51" spans="1:6" ht="12.75">
      <c r="A51" s="154" t="str">
        <f t="shared" si="10"/>
        <v>Embedded Distributor</v>
      </c>
      <c r="B51" s="166"/>
      <c r="C51" s="183" t="s">
        <v>141</v>
      </c>
      <c r="D51" s="166">
        <f t="shared" si="11"/>
        <v>0</v>
      </c>
      <c r="E51" s="184"/>
      <c r="F51" s="168">
        <f>D51*E51</f>
        <v>0</v>
      </c>
    </row>
    <row r="52" spans="1:6" ht="12.75">
      <c r="A52" s="154" t="str">
        <f t="shared" si="10"/>
        <v>Sentinels</v>
      </c>
      <c r="B52" s="166"/>
      <c r="C52" s="183" t="s">
        <v>141</v>
      </c>
      <c r="D52" s="166">
        <f t="shared" si="11"/>
        <v>228861.21825627465</v>
      </c>
      <c r="E52" s="184">
        <v>0.0034000000000000002</v>
      </c>
      <c r="F52" s="168">
        <v>778.1281420713339</v>
      </c>
    </row>
    <row r="53" spans="1:6" ht="12.75">
      <c r="A53" s="154" t="str">
        <f t="shared" si="10"/>
        <v>Streetlights</v>
      </c>
      <c r="B53" s="166"/>
      <c r="C53" s="183" t="s">
        <v>141</v>
      </c>
      <c r="D53" s="166">
        <f t="shared" si="11"/>
        <v>4635893.3631340405</v>
      </c>
      <c r="E53" s="184">
        <v>0.0034000000000000002</v>
      </c>
      <c r="F53" s="168">
        <v>15762.037434655738</v>
      </c>
    </row>
    <row r="54" spans="1:6" ht="12.75">
      <c r="A54" s="158" t="str">
        <f t="shared" si="10"/>
        <v>USL</v>
      </c>
      <c r="B54" s="166"/>
      <c r="C54" s="183" t="s">
        <v>141</v>
      </c>
      <c r="D54" s="166">
        <f t="shared" si="11"/>
        <v>1595465.1252537589</v>
      </c>
      <c r="E54" s="184">
        <v>0.0034000000000000002</v>
      </c>
      <c r="F54" s="168">
        <f>D54*E54</f>
        <v>5424.581425862781</v>
      </c>
    </row>
    <row r="55" spans="1:6" ht="12.75">
      <c r="A55" s="159" t="s">
        <v>156</v>
      </c>
      <c r="B55" s="160"/>
      <c r="C55" s="164"/>
      <c r="D55" s="160">
        <f>SUM(D48:D54)</f>
        <v>1301019977.8241441</v>
      </c>
      <c r="E55" s="169"/>
      <c r="F55" s="185">
        <f>SUM(F48:F54)</f>
        <v>4488256.796281197</v>
      </c>
    </row>
    <row r="57" spans="1:6" ht="12.75">
      <c r="A57" s="176" t="s">
        <v>312</v>
      </c>
      <c r="B57" s="177"/>
      <c r="C57" s="186"/>
      <c r="D57" s="179"/>
      <c r="E57" s="180"/>
      <c r="F57" s="177"/>
    </row>
    <row r="58" spans="1:6" ht="12.75">
      <c r="A58" s="164"/>
      <c r="B58" s="181"/>
      <c r="C58" s="187"/>
      <c r="D58" s="339">
        <v>2020</v>
      </c>
      <c r="E58" s="330"/>
      <c r="F58" s="340"/>
    </row>
    <row r="59" spans="1:6" ht="12.75">
      <c r="A59" s="154"/>
      <c r="B59" s="166"/>
      <c r="C59" s="183"/>
      <c r="D59" s="166"/>
      <c r="E59" s="184"/>
      <c r="F59" s="168"/>
    </row>
    <row r="60" spans="1:6" ht="12.75">
      <c r="A60" s="154"/>
      <c r="B60" s="166"/>
      <c r="C60" s="183"/>
      <c r="D60" s="166"/>
      <c r="E60" s="184"/>
      <c r="F60" s="168"/>
    </row>
    <row r="61" spans="1:6" ht="12.75">
      <c r="A61" s="154"/>
      <c r="B61" s="166"/>
      <c r="C61" s="183"/>
      <c r="D61" s="166"/>
      <c r="E61" s="184"/>
      <c r="F61" s="168"/>
    </row>
    <row r="62" spans="1:6" ht="12.75">
      <c r="A62" s="154"/>
      <c r="B62" s="166"/>
      <c r="C62" s="194"/>
      <c r="D62" s="155"/>
      <c r="E62" s="184"/>
      <c r="F62" s="193"/>
    </row>
    <row r="63" spans="1:6" ht="12.75">
      <c r="A63" s="154"/>
      <c r="B63" s="166"/>
      <c r="C63" s="183"/>
      <c r="D63" s="166"/>
      <c r="E63" s="184"/>
      <c r="F63" s="168"/>
    </row>
    <row r="64" spans="1:6" ht="12.75">
      <c r="A64" s="154"/>
      <c r="B64" s="166"/>
      <c r="C64" s="183"/>
      <c r="D64" s="166"/>
      <c r="E64" s="184"/>
      <c r="F64" s="168"/>
    </row>
    <row r="65" spans="1:6" ht="12.75">
      <c r="A65" s="158"/>
      <c r="B65" s="166"/>
      <c r="C65" s="183"/>
      <c r="D65" s="166"/>
      <c r="E65" s="184"/>
      <c r="F65" s="168"/>
    </row>
    <row r="66" spans="1:6" ht="12.75">
      <c r="A66" s="159" t="s">
        <v>156</v>
      </c>
      <c r="B66" s="160"/>
      <c r="C66" s="164"/>
      <c r="D66" s="160"/>
      <c r="E66" s="169"/>
      <c r="F66" s="185">
        <v>-27099211.28300574</v>
      </c>
    </row>
    <row r="68" spans="1:6" ht="12.75">
      <c r="A68" s="176" t="s">
        <v>276</v>
      </c>
      <c r="B68" s="177"/>
      <c r="C68" s="186"/>
      <c r="D68" s="179"/>
      <c r="E68" s="180"/>
      <c r="F68" s="177"/>
    </row>
    <row r="69" spans="1:6" ht="12.75">
      <c r="A69" s="164" t="s">
        <v>157</v>
      </c>
      <c r="B69" s="181"/>
      <c r="C69" s="187"/>
      <c r="D69" s="329">
        <v>2020</v>
      </c>
      <c r="E69" s="330"/>
      <c r="F69" s="331"/>
    </row>
    <row r="70" spans="1:6" ht="12.75">
      <c r="A70" s="154" t="str">
        <f aca="true" t="shared" si="12" ref="A70:A76">A48</f>
        <v>Residential</v>
      </c>
      <c r="B70" s="166"/>
      <c r="C70" s="183">
        <f>C59</f>
        <v>0</v>
      </c>
      <c r="D70" s="166">
        <f>B2</f>
        <v>442258807</v>
      </c>
      <c r="E70" s="184">
        <v>0.0005</v>
      </c>
      <c r="F70" s="168">
        <f aca="true" t="shared" si="13" ref="F70:F76">D70*E70</f>
        <v>221129.40350000001</v>
      </c>
    </row>
    <row r="71" spans="1:6" ht="12.75">
      <c r="A71" s="154" t="str">
        <f t="shared" si="12"/>
        <v>GS&lt;50</v>
      </c>
      <c r="B71" s="166"/>
      <c r="C71" s="183" t="s">
        <v>141</v>
      </c>
      <c r="D71" s="166">
        <f>B3</f>
        <v>128651236</v>
      </c>
      <c r="E71" s="184">
        <v>0.0004</v>
      </c>
      <c r="F71" s="168">
        <f t="shared" si="13"/>
        <v>51460.4944</v>
      </c>
    </row>
    <row r="72" spans="1:6" ht="12.75">
      <c r="A72" s="154" t="str">
        <f t="shared" si="12"/>
        <v>GS&gt;50 </v>
      </c>
      <c r="B72" s="166"/>
      <c r="C72" s="194" t="s">
        <v>155</v>
      </c>
      <c r="D72" s="166">
        <f>C4</f>
        <v>1699495.96</v>
      </c>
      <c r="E72" s="184">
        <v>0.1612</v>
      </c>
      <c r="F72" s="168">
        <f t="shared" si="13"/>
        <v>273958.748752</v>
      </c>
    </row>
    <row r="73" spans="1:6" ht="12.75">
      <c r="A73" s="154" t="str">
        <f t="shared" si="12"/>
        <v>Embedded Distributor</v>
      </c>
      <c r="B73" s="166"/>
      <c r="C73" s="194" t="s">
        <v>155</v>
      </c>
      <c r="D73" s="166">
        <f>C5</f>
        <v>0</v>
      </c>
      <c r="E73" s="184">
        <v>0.1612</v>
      </c>
      <c r="F73" s="168">
        <f t="shared" si="13"/>
        <v>0</v>
      </c>
    </row>
    <row r="74" spans="1:6" ht="12.75">
      <c r="A74" s="154" t="str">
        <f t="shared" si="12"/>
        <v>Sentinels</v>
      </c>
      <c r="B74" s="166"/>
      <c r="C74" s="194" t="s">
        <v>155</v>
      </c>
      <c r="D74" s="166">
        <f>C6</f>
        <v>652.3765399724094</v>
      </c>
      <c r="E74" s="184">
        <v>0.1347</v>
      </c>
      <c r="F74" s="168">
        <f t="shared" si="13"/>
        <v>87.87511993428355</v>
      </c>
    </row>
    <row r="75" spans="1:6" ht="12.75">
      <c r="A75" s="154" t="str">
        <f t="shared" si="12"/>
        <v>Streetlights</v>
      </c>
      <c r="B75" s="166"/>
      <c r="C75" s="194" t="s">
        <v>155</v>
      </c>
      <c r="D75" s="166">
        <f>C7</f>
        <v>12417.895849764438</v>
      </c>
      <c r="E75" s="184">
        <v>0.1239</v>
      </c>
      <c r="F75" s="168">
        <f t="shared" si="13"/>
        <v>1538.577295785814</v>
      </c>
    </row>
    <row r="76" spans="1:6" ht="12.75">
      <c r="A76" s="158" t="str">
        <f t="shared" si="12"/>
        <v>USL</v>
      </c>
      <c r="B76" s="166"/>
      <c r="C76" s="183" t="s">
        <v>141</v>
      </c>
      <c r="D76" s="166">
        <f>B8</f>
        <v>1522535.666813397</v>
      </c>
      <c r="E76" s="184">
        <v>0.0004</v>
      </c>
      <c r="F76" s="168">
        <f t="shared" si="13"/>
        <v>609.0142667253589</v>
      </c>
    </row>
    <row r="77" spans="1:6" ht="12.75">
      <c r="A77" s="159" t="s">
        <v>156</v>
      </c>
      <c r="B77" s="160"/>
      <c r="C77" s="164"/>
      <c r="D77" s="160">
        <f>SUM(D70:D76)</f>
        <v>574145144.8992032</v>
      </c>
      <c r="E77" s="169"/>
      <c r="F77" s="185">
        <f>SUM(F70:F76)</f>
        <v>548784.1133344455</v>
      </c>
    </row>
    <row r="79" spans="1:6" ht="12.75">
      <c r="A79" s="176" t="s">
        <v>163</v>
      </c>
      <c r="B79" s="177"/>
      <c r="C79" s="186"/>
      <c r="D79" s="179"/>
      <c r="E79" s="180"/>
      <c r="F79" s="177"/>
    </row>
    <row r="80" spans="1:6" ht="12.75">
      <c r="A80" s="164" t="s">
        <v>157</v>
      </c>
      <c r="B80" s="181"/>
      <c r="C80" s="187"/>
      <c r="D80" s="329">
        <v>2020</v>
      </c>
      <c r="E80" s="330"/>
      <c r="F80" s="331"/>
    </row>
    <row r="81" spans="1:6" ht="12.75">
      <c r="A81" s="154">
        <f aca="true" t="shared" si="14" ref="A81:A87">A59</f>
        <v>0</v>
      </c>
      <c r="B81" s="166"/>
      <c r="C81" s="183">
        <f>C70</f>
        <v>0</v>
      </c>
      <c r="D81" s="166">
        <f>D48</f>
        <v>463443003.8553</v>
      </c>
      <c r="E81" s="184">
        <v>0.0005</v>
      </c>
      <c r="F81" s="168">
        <f aca="true" t="shared" si="15" ref="F81:F87">D81*E81</f>
        <v>231721.50192765</v>
      </c>
    </row>
    <row r="82" spans="1:6" ht="12.75">
      <c r="A82" s="154">
        <f t="shared" si="14"/>
        <v>0</v>
      </c>
      <c r="B82" s="166"/>
      <c r="C82" s="183" t="s">
        <v>141</v>
      </c>
      <c r="D82" s="166">
        <f aca="true" t="shared" si="16" ref="D82:D87">D49</f>
        <v>134813630.2044</v>
      </c>
      <c r="E82" s="184">
        <v>0.0005</v>
      </c>
      <c r="F82" s="168">
        <f t="shared" si="15"/>
        <v>67406.81510220001</v>
      </c>
    </row>
    <row r="83" spans="1:6" ht="12.75">
      <c r="A83" s="154">
        <f t="shared" si="14"/>
        <v>0</v>
      </c>
      <c r="B83" s="166"/>
      <c r="C83" s="183" t="s">
        <v>141</v>
      </c>
      <c r="D83" s="166">
        <f t="shared" si="16"/>
        <v>696303124.0578</v>
      </c>
      <c r="E83" s="184">
        <v>0.0005</v>
      </c>
      <c r="F83" s="168">
        <f t="shared" si="15"/>
        <v>348151.5620289</v>
      </c>
    </row>
    <row r="84" spans="1:6" ht="12.75">
      <c r="A84" s="154">
        <f t="shared" si="14"/>
        <v>0</v>
      </c>
      <c r="B84" s="166"/>
      <c r="C84" s="183" t="s">
        <v>141</v>
      </c>
      <c r="D84" s="166">
        <f t="shared" si="16"/>
        <v>0</v>
      </c>
      <c r="E84" s="184">
        <v>0.0005</v>
      </c>
      <c r="F84" s="168">
        <f t="shared" si="15"/>
        <v>0</v>
      </c>
    </row>
    <row r="85" spans="1:6" ht="12.75">
      <c r="A85" s="154">
        <f t="shared" si="14"/>
        <v>0</v>
      </c>
      <c r="B85" s="166"/>
      <c r="C85" s="183" t="s">
        <v>141</v>
      </c>
      <c r="D85" s="166">
        <f t="shared" si="16"/>
        <v>228861.21825627465</v>
      </c>
      <c r="E85" s="184">
        <v>0.0005</v>
      </c>
      <c r="F85" s="168">
        <f t="shared" si="15"/>
        <v>114.43060912813732</v>
      </c>
    </row>
    <row r="86" spans="1:6" ht="12.75">
      <c r="A86" s="154">
        <f t="shared" si="14"/>
        <v>0</v>
      </c>
      <c r="B86" s="166"/>
      <c r="C86" s="183" t="s">
        <v>141</v>
      </c>
      <c r="D86" s="166">
        <f t="shared" si="16"/>
        <v>4635893.3631340405</v>
      </c>
      <c r="E86" s="184">
        <v>0.0005</v>
      </c>
      <c r="F86" s="168">
        <f t="shared" si="15"/>
        <v>2317.9466815670203</v>
      </c>
    </row>
    <row r="87" spans="1:6" ht="12.75">
      <c r="A87" s="158">
        <f t="shared" si="14"/>
        <v>0</v>
      </c>
      <c r="B87" s="166"/>
      <c r="C87" s="183" t="s">
        <v>141</v>
      </c>
      <c r="D87" s="166">
        <f t="shared" si="16"/>
        <v>1595465.1252537589</v>
      </c>
      <c r="E87" s="184">
        <v>0.0005</v>
      </c>
      <c r="F87" s="168">
        <f t="shared" si="15"/>
        <v>797.7325626268795</v>
      </c>
    </row>
    <row r="88" spans="1:6" ht="12.75">
      <c r="A88" s="159" t="s">
        <v>156</v>
      </c>
      <c r="B88" s="160"/>
      <c r="C88" s="164"/>
      <c r="D88" s="160">
        <f>SUM(D81:D87)</f>
        <v>1301019977.8241441</v>
      </c>
      <c r="E88" s="169"/>
      <c r="F88" s="185">
        <f>SUM(F81:F87)</f>
        <v>650509.988912072</v>
      </c>
    </row>
    <row r="90" spans="1:6" ht="12.75">
      <c r="A90" s="176" t="s">
        <v>164</v>
      </c>
      <c r="B90" s="177"/>
      <c r="C90" s="186"/>
      <c r="D90" s="179"/>
      <c r="E90" s="180"/>
      <c r="F90" s="177"/>
    </row>
    <row r="91" spans="1:6" ht="12.75">
      <c r="A91" s="164" t="s">
        <v>270</v>
      </c>
      <c r="B91" s="181"/>
      <c r="C91" s="187"/>
      <c r="D91" s="329">
        <v>2020</v>
      </c>
      <c r="E91" s="330"/>
      <c r="F91" s="331"/>
    </row>
    <row r="92" spans="1:6" ht="12.75">
      <c r="A92" s="154" t="str">
        <f>A70</f>
        <v>Residential</v>
      </c>
      <c r="B92" s="166"/>
      <c r="C92" s="194" t="s">
        <v>269</v>
      </c>
      <c r="D92" s="166">
        <f>'Rate Class Customer Model '!B23*12</f>
        <v>616325.2901053114</v>
      </c>
      <c r="E92" s="184">
        <v>0.57</v>
      </c>
      <c r="F92" s="168">
        <f>D92*E92</f>
        <v>351305.41536002746</v>
      </c>
    </row>
    <row r="93" spans="1:6" ht="12.75">
      <c r="A93" s="154" t="str">
        <f>A71</f>
        <v>GS&lt;50</v>
      </c>
      <c r="B93" s="166"/>
      <c r="C93" s="194" t="s">
        <v>269</v>
      </c>
      <c r="D93" s="166">
        <f>'Rate Class Customer Model '!C23*12</f>
        <v>54093.18111355425</v>
      </c>
      <c r="E93" s="184">
        <v>0.57</v>
      </c>
      <c r="F93" s="168">
        <f>D93*E93</f>
        <v>30833.113234725923</v>
      </c>
    </row>
    <row r="94" spans="1:6" ht="12.75">
      <c r="A94" s="159" t="s">
        <v>156</v>
      </c>
      <c r="B94" s="160"/>
      <c r="C94" s="164"/>
      <c r="D94" s="160">
        <f>SUM(D92:D93)</f>
        <v>670418.4712188657</v>
      </c>
      <c r="E94" s="169"/>
      <c r="F94" s="185">
        <f>SUM(F92:F93)</f>
        <v>382138.52859475336</v>
      </c>
    </row>
    <row r="95" spans="1:2" ht="12.75">
      <c r="A95" s="140"/>
      <c r="B95" s="188">
        <v>2020</v>
      </c>
    </row>
    <row r="96" spans="1:2" ht="12.75">
      <c r="A96" s="189" t="s">
        <v>165</v>
      </c>
      <c r="B96" s="190">
        <f>F21</f>
        <v>157213986.41244286</v>
      </c>
    </row>
    <row r="97" spans="1:2" ht="12.75">
      <c r="A97" s="189" t="s">
        <v>166</v>
      </c>
      <c r="B97" s="191">
        <f>F55+F88</f>
        <v>5138766.785193269</v>
      </c>
    </row>
    <row r="98" spans="1:2" ht="12.75">
      <c r="A98" s="189" t="s">
        <v>167</v>
      </c>
      <c r="B98" s="191">
        <f>F33</f>
        <v>9066054.575431064</v>
      </c>
    </row>
    <row r="99" spans="1:2" ht="12.75">
      <c r="A99" s="189" t="s">
        <v>168</v>
      </c>
      <c r="B99" s="191">
        <f>F44</f>
        <v>6392603.258375779</v>
      </c>
    </row>
    <row r="100" spans="1:2" ht="12.75">
      <c r="A100" s="192" t="s">
        <v>277</v>
      </c>
      <c r="B100" s="191">
        <f>F77</f>
        <v>548784.1133344455</v>
      </c>
    </row>
    <row r="101" spans="1:2" ht="12.75">
      <c r="A101" s="192" t="s">
        <v>169</v>
      </c>
      <c r="B101" s="190">
        <f>+F94</f>
        <v>382138.52859475336</v>
      </c>
    </row>
    <row r="102" spans="1:2" ht="12.75">
      <c r="A102" s="161" t="s">
        <v>156</v>
      </c>
      <c r="B102" s="185">
        <f>SUM(B96:B101)</f>
        <v>178742333.67337215</v>
      </c>
    </row>
    <row r="103" spans="1:2" ht="12.75">
      <c r="A103" s="296" t="s">
        <v>313</v>
      </c>
      <c r="B103" s="278">
        <f>F66</f>
        <v>-27099211.28300574</v>
      </c>
    </row>
    <row r="104" spans="2:6" ht="12.75">
      <c r="B104" s="297">
        <f>SUM(B102:B103)</f>
        <v>151643122.3903664</v>
      </c>
      <c r="F104" s="278">
        <f>F21+F33+F44+F55+F66+F77+F88+F94</f>
        <v>151643122.3903664</v>
      </c>
    </row>
    <row r="106" ht="12.75">
      <c r="F106" s="278">
        <f>F104-B104</f>
        <v>0</v>
      </c>
    </row>
  </sheetData>
  <sheetProtection/>
  <mergeCells count="10">
    <mergeCell ref="D69:F69"/>
    <mergeCell ref="D91:F91"/>
    <mergeCell ref="B12:B13"/>
    <mergeCell ref="C12:C13"/>
    <mergeCell ref="D13:F13"/>
    <mergeCell ref="D25:F25"/>
    <mergeCell ref="D36:F36"/>
    <mergeCell ref="D47:F47"/>
    <mergeCell ref="D58:F58"/>
    <mergeCell ref="D80:F80"/>
  </mergeCells>
  <printOptions/>
  <pageMargins left="0.25" right="0.27" top="0.75" bottom="0.75" header="0.3" footer="0.3"/>
  <pageSetup orientation="portrait" scale="90" r:id="rId3"/>
  <legacyDrawing r:id="rId2"/>
</worksheet>
</file>

<file path=xl/worksheets/sheet14.xml><?xml version="1.0" encoding="utf-8"?>
<worksheet xmlns="http://schemas.openxmlformats.org/spreadsheetml/2006/main" xmlns:r="http://schemas.openxmlformats.org/officeDocument/2006/relationships">
  <dimension ref="A1:I105"/>
  <sheetViews>
    <sheetView tabSelected="1" zoomScalePageLayoutView="0" workbookViewId="0" topLeftCell="A28">
      <selection activeCell="E37" sqref="E37"/>
    </sheetView>
  </sheetViews>
  <sheetFormatPr defaultColWidth="9.140625" defaultRowHeight="12.75"/>
  <cols>
    <col min="1" max="1" width="31.421875" style="0" bestFit="1" customWidth="1"/>
    <col min="2" max="2" width="29.7109375" style="0" bestFit="1" customWidth="1"/>
    <col min="3" max="3" width="16.57421875" style="0" bestFit="1" customWidth="1"/>
    <col min="4" max="4" width="13.421875" style="0" bestFit="1" customWidth="1"/>
    <col min="5" max="5" width="9.140625" style="32" customWidth="1"/>
    <col min="6" max="6" width="14.421875" style="0" customWidth="1"/>
    <col min="8" max="8" width="14.421875" style="0" bestFit="1" customWidth="1"/>
  </cols>
  <sheetData>
    <row r="1" spans="1:5" ht="12.75">
      <c r="A1" s="151" t="s">
        <v>262</v>
      </c>
      <c r="B1" s="152" t="s">
        <v>141</v>
      </c>
      <c r="C1" s="152" t="s">
        <v>155</v>
      </c>
      <c r="E1" s="153"/>
    </row>
    <row r="2" spans="1:3" ht="12.75">
      <c r="A2" s="154" t="str">
        <f>'Rate Class Energy Model'!H2</f>
        <v>Residential</v>
      </c>
      <c r="B2" s="155">
        <f>Summary!U20</f>
        <v>453679525</v>
      </c>
      <c r="C2" s="156"/>
    </row>
    <row r="3" spans="1:5" ht="12.75">
      <c r="A3" s="154" t="str">
        <f>'Rate Class Energy Model'!I2</f>
        <v>GS&lt;50</v>
      </c>
      <c r="B3" s="155">
        <f>Summary!U24</f>
        <v>131690457</v>
      </c>
      <c r="C3" s="156"/>
      <c r="E3" s="153"/>
    </row>
    <row r="4" spans="1:5" ht="12.75">
      <c r="A4" s="158" t="s">
        <v>311</v>
      </c>
      <c r="B4" s="155">
        <f>Summary!U28</f>
        <v>689956286.42</v>
      </c>
      <c r="C4" s="273">
        <f>Summary!U29</f>
        <v>1765045.8398735856</v>
      </c>
      <c r="E4" s="76"/>
    </row>
    <row r="5" spans="1:3" ht="12.75">
      <c r="A5" s="158" t="s">
        <v>318</v>
      </c>
      <c r="B5" s="155">
        <f>Summary!U33</f>
        <v>2808332.58</v>
      </c>
      <c r="C5" s="157">
        <f>Summary!U34</f>
        <v>6805.700126414409</v>
      </c>
    </row>
    <row r="6" spans="1:5" ht="12.75">
      <c r="A6" s="154" t="str">
        <f>'Rate Class Energy Model'!L2</f>
        <v>Sentinels</v>
      </c>
      <c r="B6" s="155">
        <f>Summary!U38</f>
        <v>218613.49388199602</v>
      </c>
      <c r="C6" s="157">
        <f>Summary!U39</f>
        <v>653.0146660245107</v>
      </c>
      <c r="E6" s="148"/>
    </row>
    <row r="7" spans="1:5" ht="12.75">
      <c r="A7" s="154" t="str">
        <f>'Rate Class Energy Model'!M2</f>
        <v>Streetlights</v>
      </c>
      <c r="B7" s="155">
        <f>Summary!U43</f>
        <v>4469100.636382417</v>
      </c>
      <c r="C7" s="157">
        <f>Summary!U44</f>
        <v>12544.534497773584</v>
      </c>
      <c r="E7" s="76"/>
    </row>
    <row r="8" spans="1:3" ht="12.75">
      <c r="A8" s="158" t="str">
        <f>'Rate Class Energy Model'!N2</f>
        <v>USL</v>
      </c>
      <c r="B8" s="155">
        <f>Summary!U48</f>
        <v>1481613.5613358333</v>
      </c>
      <c r="C8" s="156"/>
    </row>
    <row r="9" spans="1:3" ht="12.75">
      <c r="A9" s="159" t="s">
        <v>156</v>
      </c>
      <c r="B9" s="160">
        <f>SUM(B2:B8)</f>
        <v>1284303928.6916</v>
      </c>
      <c r="C9" s="160">
        <f>SUM(C2:C8)</f>
        <v>1785049.0891637981</v>
      </c>
    </row>
    <row r="10" spans="2:3" ht="12.75">
      <c r="B10" s="48"/>
      <c r="C10" s="48"/>
    </row>
    <row r="11" ht="12.75"/>
    <row r="12" spans="1:6" ht="12.75">
      <c r="A12" s="151" t="s">
        <v>267</v>
      </c>
      <c r="B12" s="332" t="s">
        <v>263</v>
      </c>
      <c r="C12" s="334" t="s">
        <v>264</v>
      </c>
      <c r="D12" s="161"/>
      <c r="E12" s="300"/>
      <c r="F12" s="163"/>
    </row>
    <row r="13" spans="1:6" ht="12.75">
      <c r="A13" s="164" t="s">
        <v>157</v>
      </c>
      <c r="B13" s="333"/>
      <c r="C13" s="335"/>
      <c r="D13" s="336" t="s">
        <v>268</v>
      </c>
      <c r="E13" s="337"/>
      <c r="F13" s="338"/>
    </row>
    <row r="14" spans="1:6" ht="12.75">
      <c r="A14" s="154" t="str">
        <f aca="true" t="shared" si="0" ref="A14:A20">A2</f>
        <v>Residential</v>
      </c>
      <c r="B14" s="155">
        <f aca="true" t="shared" si="1" ref="B14:B20">B2</f>
        <v>453679525</v>
      </c>
      <c r="C14" s="165">
        <v>1.042257322576859</v>
      </c>
      <c r="D14" s="166">
        <f aca="true" t="shared" si="2" ref="D14:D20">B14*C14</f>
        <v>472850807.0344412</v>
      </c>
      <c r="E14" s="167">
        <f>F14/D14</f>
        <v>0.13346312936966223</v>
      </c>
      <c r="F14" s="168">
        <v>63108148.43178681</v>
      </c>
    </row>
    <row r="15" spans="1:6" ht="12.75">
      <c r="A15" s="154" t="str">
        <f t="shared" si="0"/>
        <v>GS&lt;50</v>
      </c>
      <c r="B15" s="155">
        <f t="shared" si="1"/>
        <v>131690457</v>
      </c>
      <c r="C15" s="165">
        <f aca="true" t="shared" si="3" ref="C15:C20">$C$14</f>
        <v>1.042257322576859</v>
      </c>
      <c r="D15" s="166">
        <f t="shared" si="2"/>
        <v>137255343.12174296</v>
      </c>
      <c r="E15" s="167">
        <f aca="true" t="shared" si="4" ref="E15:E20">F15/D15</f>
        <v>0.13300287007107692</v>
      </c>
      <c r="F15" s="168">
        <v>18255354.56778226</v>
      </c>
    </row>
    <row r="16" spans="1:6" ht="12.75">
      <c r="A16" s="154" t="str">
        <f t="shared" si="0"/>
        <v>GS&gt;50 </v>
      </c>
      <c r="B16" s="155">
        <f t="shared" si="1"/>
        <v>689956286.42</v>
      </c>
      <c r="C16" s="165">
        <f t="shared" si="3"/>
        <v>1.042257322576859</v>
      </c>
      <c r="D16" s="166">
        <f t="shared" si="2"/>
        <v>719111991.7791816</v>
      </c>
      <c r="E16" s="167">
        <f t="shared" si="4"/>
        <v>0.11773082197604393</v>
      </c>
      <c r="F16" s="168">
        <v>84661645.8849932</v>
      </c>
    </row>
    <row r="17" spans="1:8" ht="12.75">
      <c r="A17" s="154" t="str">
        <f t="shared" si="0"/>
        <v>Embedded Distributor</v>
      </c>
      <c r="B17" s="155">
        <f t="shared" si="1"/>
        <v>2808332.58</v>
      </c>
      <c r="C17" s="165">
        <f t="shared" si="3"/>
        <v>1.042257322576859</v>
      </c>
      <c r="D17" s="166">
        <v>2927005.195736163</v>
      </c>
      <c r="E17" s="167">
        <f t="shared" si="4"/>
        <v>0.13034</v>
      </c>
      <c r="F17" s="168">
        <v>381505.85721225146</v>
      </c>
      <c r="H17" s="274"/>
    </row>
    <row r="18" spans="1:6" ht="12.75">
      <c r="A18" s="154" t="str">
        <f t="shared" si="0"/>
        <v>Sentinels</v>
      </c>
      <c r="B18" s="155">
        <f t="shared" si="1"/>
        <v>218613.49388199602</v>
      </c>
      <c r="C18" s="165">
        <f t="shared" si="3"/>
        <v>1.042257322576859</v>
      </c>
      <c r="D18" s="166">
        <f t="shared" si="2"/>
        <v>227851.51481262172</v>
      </c>
      <c r="E18" s="167">
        <f t="shared" si="4"/>
        <v>0.13358</v>
      </c>
      <c r="F18" s="168">
        <v>30436.40534867001</v>
      </c>
    </row>
    <row r="19" spans="1:6" ht="12.75">
      <c r="A19" s="154" t="str">
        <f t="shared" si="0"/>
        <v>Streetlights</v>
      </c>
      <c r="B19" s="155">
        <f t="shared" si="1"/>
        <v>4469100.636382417</v>
      </c>
      <c r="C19" s="165">
        <f t="shared" si="3"/>
        <v>1.042257322576859</v>
      </c>
      <c r="D19" s="166">
        <f t="shared" si="2"/>
        <v>4657952.863602474</v>
      </c>
      <c r="E19" s="167">
        <f t="shared" si="4"/>
        <v>0.13034</v>
      </c>
      <c r="F19" s="168">
        <v>607117.5762419465</v>
      </c>
    </row>
    <row r="20" spans="1:6" ht="12.75">
      <c r="A20" s="154" t="str">
        <f t="shared" si="0"/>
        <v>USL</v>
      </c>
      <c r="B20" s="155">
        <f t="shared" si="1"/>
        <v>1481613.5613358333</v>
      </c>
      <c r="C20" s="165">
        <f t="shared" si="3"/>
        <v>1.042257322576859</v>
      </c>
      <c r="D20" s="166">
        <f t="shared" si="2"/>
        <v>1544222.5835314505</v>
      </c>
      <c r="E20" s="167">
        <f t="shared" si="4"/>
        <v>0.13358</v>
      </c>
      <c r="F20" s="168">
        <v>206277.25270813116</v>
      </c>
    </row>
    <row r="21" spans="1:9" ht="12.75">
      <c r="A21" s="159" t="s">
        <v>156</v>
      </c>
      <c r="B21" s="160">
        <f>SUM(B14:B20)</f>
        <v>1284303928.6916</v>
      </c>
      <c r="C21" s="164"/>
      <c r="D21" s="160">
        <f>SUM(D14:D20)</f>
        <v>1338575174.0930483</v>
      </c>
      <c r="E21" s="301"/>
      <c r="F21" s="170">
        <f>SUM(F14:F20)</f>
        <v>167250485.97607324</v>
      </c>
      <c r="I21" s="278"/>
    </row>
    <row r="22" spans="1:6" ht="12.75">
      <c r="A22" s="171"/>
      <c r="B22" s="172"/>
      <c r="C22" s="173"/>
      <c r="D22" s="172"/>
      <c r="E22" s="302"/>
      <c r="F22" s="175"/>
    </row>
    <row r="23" spans="1:6" ht="12.75">
      <c r="A23" s="176" t="s">
        <v>158</v>
      </c>
      <c r="B23" s="177"/>
      <c r="C23" s="178" t="s">
        <v>159</v>
      </c>
      <c r="D23" s="179"/>
      <c r="E23" s="303"/>
      <c r="F23" s="177"/>
    </row>
    <row r="24" spans="1:6" ht="12.75">
      <c r="A24" s="164" t="s">
        <v>157</v>
      </c>
      <c r="B24" s="181"/>
      <c r="C24" s="182" t="s">
        <v>160</v>
      </c>
      <c r="D24" s="339">
        <v>2021</v>
      </c>
      <c r="E24" s="330"/>
      <c r="F24" s="331"/>
    </row>
    <row r="25" spans="1:6" ht="12.75">
      <c r="A25" s="154" t="str">
        <f>A14</f>
        <v>Residential</v>
      </c>
      <c r="B25" s="166"/>
      <c r="C25" s="183" t="s">
        <v>141</v>
      </c>
      <c r="D25" s="166">
        <f>D14</f>
        <v>472850807.0344412</v>
      </c>
      <c r="E25" s="184">
        <v>0.0078</v>
      </c>
      <c r="F25" s="168">
        <f aca="true" t="shared" si="5" ref="F25:F31">D25*E25</f>
        <v>3688236.294868641</v>
      </c>
    </row>
    <row r="26" spans="1:6" ht="12.75">
      <c r="A26" s="154" t="str">
        <f aca="true" t="shared" si="6" ref="A26:A31">A15</f>
        <v>GS&lt;50</v>
      </c>
      <c r="B26" s="166"/>
      <c r="C26" s="183" t="s">
        <v>141</v>
      </c>
      <c r="D26" s="166">
        <f>D15</f>
        <v>137255343.12174296</v>
      </c>
      <c r="E26" s="184">
        <v>0.0071</v>
      </c>
      <c r="F26" s="168">
        <f t="shared" si="5"/>
        <v>974512.936164375</v>
      </c>
    </row>
    <row r="27" spans="1:6" ht="12.75">
      <c r="A27" s="154" t="str">
        <f t="shared" si="6"/>
        <v>GS&gt;50 </v>
      </c>
      <c r="B27" s="166"/>
      <c r="C27" s="183" t="s">
        <v>155</v>
      </c>
      <c r="D27" s="166">
        <f>C4</f>
        <v>1765045.8398735856</v>
      </c>
      <c r="E27" s="184">
        <v>2.9114</v>
      </c>
      <c r="F27" s="168">
        <f t="shared" si="5"/>
        <v>5138754.458207957</v>
      </c>
    </row>
    <row r="28" spans="1:6" ht="12.75">
      <c r="A28" s="154" t="str">
        <f t="shared" si="6"/>
        <v>Embedded Distributor</v>
      </c>
      <c r="B28" s="166"/>
      <c r="C28" s="183" t="s">
        <v>155</v>
      </c>
      <c r="D28" s="166">
        <f>C5</f>
        <v>6805.700126414409</v>
      </c>
      <c r="E28" s="184">
        <f>E27</f>
        <v>2.9114</v>
      </c>
      <c r="F28" s="168">
        <v>19814.11534804291</v>
      </c>
    </row>
    <row r="29" spans="1:6" ht="12.75">
      <c r="A29" s="154" t="str">
        <f t="shared" si="6"/>
        <v>Sentinels</v>
      </c>
      <c r="B29" s="166"/>
      <c r="C29" s="183" t="s">
        <v>155</v>
      </c>
      <c r="D29" s="166">
        <f>C6</f>
        <v>653.0146660245107</v>
      </c>
      <c r="E29" s="184">
        <v>2.1555</v>
      </c>
      <c r="F29" s="168">
        <f t="shared" si="5"/>
        <v>1407.5731126158328</v>
      </c>
    </row>
    <row r="30" spans="1:6" ht="12.75">
      <c r="A30" s="154" t="str">
        <f t="shared" si="6"/>
        <v>Streetlights</v>
      </c>
      <c r="B30" s="166"/>
      <c r="C30" s="194" t="s">
        <v>155</v>
      </c>
      <c r="D30" s="166">
        <f>C7</f>
        <v>12544.534497773584</v>
      </c>
      <c r="E30" s="184">
        <v>2.2007</v>
      </c>
      <c r="F30" s="168">
        <f t="shared" si="5"/>
        <v>27606.757069250325</v>
      </c>
    </row>
    <row r="31" spans="1:6" ht="12.75">
      <c r="A31" s="154" t="str">
        <f t="shared" si="6"/>
        <v>USL</v>
      </c>
      <c r="B31" s="155"/>
      <c r="C31" s="195" t="s">
        <v>141</v>
      </c>
      <c r="D31" s="166">
        <f>D20</f>
        <v>1544222.5835314505</v>
      </c>
      <c r="E31" s="184">
        <v>0.0071</v>
      </c>
      <c r="F31" s="193">
        <f t="shared" si="5"/>
        <v>10963.980343073299</v>
      </c>
    </row>
    <row r="32" spans="1:6" ht="12.75">
      <c r="A32" s="159" t="s">
        <v>156</v>
      </c>
      <c r="B32" s="160"/>
      <c r="C32" s="164"/>
      <c r="D32" s="160"/>
      <c r="E32" s="301"/>
      <c r="F32" s="185">
        <f>SUM(F25:F31)</f>
        <v>9861296.115113957</v>
      </c>
    </row>
    <row r="33" ht="12.75"/>
    <row r="34" spans="1:6" ht="12.75">
      <c r="A34" s="176" t="s">
        <v>161</v>
      </c>
      <c r="B34" s="177"/>
      <c r="C34" s="186" t="s">
        <v>159</v>
      </c>
      <c r="D34" s="179"/>
      <c r="E34" s="303"/>
      <c r="F34" s="177"/>
    </row>
    <row r="35" spans="1:6" ht="12.75">
      <c r="A35" s="164" t="s">
        <v>157</v>
      </c>
      <c r="B35" s="181"/>
      <c r="C35" s="187" t="s">
        <v>160</v>
      </c>
      <c r="D35" s="339">
        <v>2021</v>
      </c>
      <c r="E35" s="330"/>
      <c r="F35" s="331"/>
    </row>
    <row r="36" spans="1:6" ht="12.75">
      <c r="A36" s="154" t="str">
        <f aca="true" t="shared" si="7" ref="A36:A42">A25</f>
        <v>Residential</v>
      </c>
      <c r="B36" s="166"/>
      <c r="C36" s="183" t="str">
        <f aca="true" t="shared" si="8" ref="C36:D41">C25</f>
        <v>kWh</v>
      </c>
      <c r="D36" s="166">
        <f t="shared" si="8"/>
        <v>472850807.0344412</v>
      </c>
      <c r="E36" s="184">
        <v>0.0051</v>
      </c>
      <c r="F36" s="168">
        <f aca="true" t="shared" si="9" ref="F36:F42">D36*E36</f>
        <v>2411539.11587565</v>
      </c>
    </row>
    <row r="37" spans="1:6" ht="12.75">
      <c r="A37" s="154" t="str">
        <f t="shared" si="7"/>
        <v>GS&lt;50</v>
      </c>
      <c r="B37" s="166"/>
      <c r="C37" s="183" t="str">
        <f t="shared" si="8"/>
        <v>kWh</v>
      </c>
      <c r="D37" s="166">
        <f t="shared" si="8"/>
        <v>137255343.12174296</v>
      </c>
      <c r="E37" s="184">
        <v>0.0044</v>
      </c>
      <c r="F37" s="168">
        <f t="shared" si="9"/>
        <v>603923.5097356691</v>
      </c>
    </row>
    <row r="38" spans="1:6" ht="12.75">
      <c r="A38" s="154" t="str">
        <f t="shared" si="7"/>
        <v>GS&gt;50 </v>
      </c>
      <c r="B38" s="166"/>
      <c r="C38" s="183" t="str">
        <f t="shared" si="8"/>
        <v>kW</v>
      </c>
      <c r="D38" s="166">
        <f t="shared" si="8"/>
        <v>1765045.8398735856</v>
      </c>
      <c r="E38" s="184">
        <v>1.7843</v>
      </c>
      <c r="F38" s="168">
        <f t="shared" si="9"/>
        <v>3149371.2920864387</v>
      </c>
    </row>
    <row r="39" spans="1:6" ht="12.75">
      <c r="A39" s="154" t="str">
        <f t="shared" si="7"/>
        <v>Embedded Distributor</v>
      </c>
      <c r="B39" s="166"/>
      <c r="C39" s="183" t="str">
        <f t="shared" si="8"/>
        <v>kW</v>
      </c>
      <c r="D39" s="166">
        <f t="shared" si="8"/>
        <v>6805.700126414409</v>
      </c>
      <c r="E39" s="184">
        <f>E38</f>
        <v>1.7843</v>
      </c>
      <c r="F39" s="168">
        <v>12143.41073556123</v>
      </c>
    </row>
    <row r="40" spans="1:6" ht="12.75">
      <c r="A40" s="154" t="str">
        <f t="shared" si="7"/>
        <v>Sentinels</v>
      </c>
      <c r="B40" s="166"/>
      <c r="C40" s="183" t="str">
        <f t="shared" si="8"/>
        <v>kW</v>
      </c>
      <c r="D40" s="166">
        <f t="shared" si="8"/>
        <v>653.0146660245107</v>
      </c>
      <c r="E40" s="184">
        <v>1.4911</v>
      </c>
      <c r="F40" s="168">
        <f t="shared" si="9"/>
        <v>973.7101685091479</v>
      </c>
    </row>
    <row r="41" spans="1:6" ht="12.75">
      <c r="A41" s="154" t="str">
        <f t="shared" si="7"/>
        <v>Streetlights</v>
      </c>
      <c r="B41" s="166"/>
      <c r="C41" s="183" t="str">
        <f t="shared" si="8"/>
        <v>kW</v>
      </c>
      <c r="D41" s="166">
        <f t="shared" si="8"/>
        <v>12544.534497773584</v>
      </c>
      <c r="E41" s="184">
        <v>1.3708</v>
      </c>
      <c r="F41" s="168">
        <f t="shared" si="9"/>
        <v>17196.04788954803</v>
      </c>
    </row>
    <row r="42" spans="1:6" ht="12.75">
      <c r="A42" s="154" t="str">
        <f t="shared" si="7"/>
        <v>USL</v>
      </c>
      <c r="B42" s="155"/>
      <c r="C42" s="195" t="s">
        <v>141</v>
      </c>
      <c r="D42" s="155">
        <f>D31</f>
        <v>1544222.5835314505</v>
      </c>
      <c r="E42" s="184">
        <v>0.0044</v>
      </c>
      <c r="F42" s="193">
        <f t="shared" si="9"/>
        <v>6794.579367538383</v>
      </c>
    </row>
    <row r="43" spans="1:6" ht="12.75">
      <c r="A43" s="159" t="s">
        <v>156</v>
      </c>
      <c r="B43" s="160"/>
      <c r="C43" s="164"/>
      <c r="D43" s="160"/>
      <c r="E43" s="301"/>
      <c r="F43" s="185">
        <f>SUM(F36:F42)</f>
        <v>6201941.665858914</v>
      </c>
    </row>
    <row r="44" ht="12.75"/>
    <row r="45" spans="1:6" ht="12.75">
      <c r="A45" s="176" t="s">
        <v>162</v>
      </c>
      <c r="B45" s="177"/>
      <c r="C45" s="186"/>
      <c r="D45" s="179"/>
      <c r="E45" s="303"/>
      <c r="F45" s="177"/>
    </row>
    <row r="46" spans="1:6" ht="12.75">
      <c r="A46" s="164" t="s">
        <v>157</v>
      </c>
      <c r="B46" s="181"/>
      <c r="C46" s="187"/>
      <c r="D46" s="339">
        <v>2021</v>
      </c>
      <c r="E46" s="330"/>
      <c r="F46" s="340"/>
    </row>
    <row r="47" spans="1:6" ht="12.75">
      <c r="A47" s="154" t="str">
        <f aca="true" t="shared" si="10" ref="A47:A53">A36</f>
        <v>Residential</v>
      </c>
      <c r="B47" s="166"/>
      <c r="C47" s="183" t="str">
        <f>C36</f>
        <v>kWh</v>
      </c>
      <c r="D47" s="166">
        <f aca="true" t="shared" si="11" ref="D47:D53">D14</f>
        <v>472850807.0344412</v>
      </c>
      <c r="E47" s="184">
        <f>F47/D47</f>
        <v>0.0034</v>
      </c>
      <c r="F47" s="168">
        <v>1607692.7439171</v>
      </c>
    </row>
    <row r="48" spans="1:6" ht="12.75">
      <c r="A48" s="154" t="str">
        <f t="shared" si="10"/>
        <v>GS&lt;50</v>
      </c>
      <c r="B48" s="166"/>
      <c r="C48" s="183" t="s">
        <v>141</v>
      </c>
      <c r="D48" s="166">
        <f t="shared" si="11"/>
        <v>137255343.12174296</v>
      </c>
      <c r="E48" s="184">
        <f aca="true" t="shared" si="12" ref="E48:E53">F48/D48</f>
        <v>0.0034</v>
      </c>
      <c r="F48" s="168">
        <v>466668.16661392606</v>
      </c>
    </row>
    <row r="49" spans="1:6" ht="12.75">
      <c r="A49" s="154" t="str">
        <f t="shared" si="10"/>
        <v>GS&gt;50 </v>
      </c>
      <c r="B49" s="166"/>
      <c r="C49" s="183" t="s">
        <v>141</v>
      </c>
      <c r="D49" s="166">
        <f t="shared" si="11"/>
        <v>719111991.7791816</v>
      </c>
      <c r="E49" s="184">
        <f t="shared" si="12"/>
        <v>0.003489610520571145</v>
      </c>
      <c r="F49" s="168">
        <v>2509420.771981503</v>
      </c>
    </row>
    <row r="50" spans="1:6" ht="12.75">
      <c r="A50" s="154" t="str">
        <f t="shared" si="10"/>
        <v>Embedded Distributor</v>
      </c>
      <c r="B50" s="166"/>
      <c r="C50" s="183" t="s">
        <v>141</v>
      </c>
      <c r="D50" s="166">
        <f>D17</f>
        <v>2927005.195736163</v>
      </c>
      <c r="E50" s="184">
        <f t="shared" si="12"/>
        <v>0.0034</v>
      </c>
      <c r="F50" s="168">
        <f>D50*0.0034</f>
        <v>9951.817665502953</v>
      </c>
    </row>
    <row r="51" spans="1:6" ht="12.75">
      <c r="A51" s="154" t="str">
        <f t="shared" si="10"/>
        <v>Sentinels</v>
      </c>
      <c r="B51" s="166"/>
      <c r="C51" s="183" t="s">
        <v>141</v>
      </c>
      <c r="D51" s="166">
        <f t="shared" si="11"/>
        <v>227851.51481262172</v>
      </c>
      <c r="E51" s="184">
        <f t="shared" si="12"/>
        <v>0.0034</v>
      </c>
      <c r="F51" s="168">
        <v>774.6951503629139</v>
      </c>
    </row>
    <row r="52" spans="1:6" ht="12.75">
      <c r="A52" s="154" t="str">
        <f t="shared" si="10"/>
        <v>Streetlights</v>
      </c>
      <c r="B52" s="166"/>
      <c r="C52" s="183" t="s">
        <v>141</v>
      </c>
      <c r="D52" s="166">
        <f t="shared" si="11"/>
        <v>4657952.863602474</v>
      </c>
      <c r="E52" s="184">
        <f t="shared" si="12"/>
        <v>0.0034</v>
      </c>
      <c r="F52" s="168">
        <v>15837.039736248413</v>
      </c>
    </row>
    <row r="53" spans="1:6" ht="12.75">
      <c r="A53" s="158" t="str">
        <f t="shared" si="10"/>
        <v>USL</v>
      </c>
      <c r="B53" s="166"/>
      <c r="C53" s="183" t="s">
        <v>141</v>
      </c>
      <c r="D53" s="166">
        <f t="shared" si="11"/>
        <v>1544222.5835314505</v>
      </c>
      <c r="E53" s="184">
        <f t="shared" si="12"/>
        <v>0.0034000000000000002</v>
      </c>
      <c r="F53" s="168">
        <v>5250.356784006932</v>
      </c>
    </row>
    <row r="54" spans="1:6" ht="12.75">
      <c r="A54" s="159" t="s">
        <v>156</v>
      </c>
      <c r="B54" s="160"/>
      <c r="C54" s="164"/>
      <c r="D54" s="160">
        <f>SUM(D47:D53)</f>
        <v>1338575174.0930483</v>
      </c>
      <c r="E54" s="301"/>
      <c r="F54" s="185">
        <f>SUM(F47:F53)</f>
        <v>4615595.591848651</v>
      </c>
    </row>
    <row r="55" ht="12.75"/>
    <row r="56" spans="1:6" ht="12.75">
      <c r="A56" s="176" t="s">
        <v>317</v>
      </c>
      <c r="B56" s="177"/>
      <c r="C56" s="186"/>
      <c r="D56" s="179"/>
      <c r="E56" s="303"/>
      <c r="F56" s="177"/>
    </row>
    <row r="57" spans="1:6" ht="12.75">
      <c r="A57" s="164"/>
      <c r="B57" s="181"/>
      <c r="C57" s="187"/>
      <c r="D57" s="339"/>
      <c r="E57" s="330"/>
      <c r="F57" s="340"/>
    </row>
    <row r="58" spans="1:6" ht="12.75">
      <c r="A58" s="154"/>
      <c r="B58" s="166"/>
      <c r="C58" s="183"/>
      <c r="D58" s="166"/>
      <c r="E58" s="184"/>
      <c r="F58" s="168"/>
    </row>
    <row r="59" spans="1:6" ht="12.75">
      <c r="A59" s="154"/>
      <c r="B59" s="166"/>
      <c r="C59" s="183"/>
      <c r="D59" s="166"/>
      <c r="E59" s="184"/>
      <c r="F59" s="168"/>
    </row>
    <row r="60" spans="1:6" ht="12.75">
      <c r="A60" s="154"/>
      <c r="B60" s="166"/>
      <c r="C60" s="183"/>
      <c r="D60" s="166"/>
      <c r="E60" s="184"/>
      <c r="F60" s="168"/>
    </row>
    <row r="61" spans="1:6" ht="12.75">
      <c r="A61" s="154"/>
      <c r="B61" s="166"/>
      <c r="C61" s="194"/>
      <c r="D61" s="155"/>
      <c r="E61" s="184"/>
      <c r="F61" s="193"/>
    </row>
    <row r="62" spans="1:6" ht="12.75">
      <c r="A62" s="154"/>
      <c r="B62" s="166"/>
      <c r="C62" s="183"/>
      <c r="D62" s="166"/>
      <c r="E62" s="184"/>
      <c r="F62" s="168"/>
    </row>
    <row r="63" spans="1:6" ht="12.75">
      <c r="A63" s="154"/>
      <c r="B63" s="166"/>
      <c r="C63" s="183"/>
      <c r="D63" s="166"/>
      <c r="E63" s="184"/>
      <c r="F63" s="168"/>
    </row>
    <row r="64" spans="1:6" ht="12.75">
      <c r="A64" s="158"/>
      <c r="B64" s="166"/>
      <c r="C64" s="183"/>
      <c r="D64" s="166"/>
      <c r="E64" s="184"/>
      <c r="F64" s="168"/>
    </row>
    <row r="65" spans="1:6" ht="12.75">
      <c r="A65" s="159" t="s">
        <v>156</v>
      </c>
      <c r="B65" s="160"/>
      <c r="C65" s="164"/>
      <c r="D65" s="160">
        <f>SUM(D58:D64)</f>
        <v>0</v>
      </c>
      <c r="E65" s="301"/>
      <c r="F65" s="185">
        <v>-30186327.003298968</v>
      </c>
    </row>
    <row r="66" ht="12.75"/>
    <row r="67" spans="1:6" ht="12.75">
      <c r="A67" s="176" t="s">
        <v>276</v>
      </c>
      <c r="B67" s="177"/>
      <c r="C67" s="186"/>
      <c r="D67" s="179"/>
      <c r="E67" s="303"/>
      <c r="F67" s="177"/>
    </row>
    <row r="68" spans="1:6" ht="12.75">
      <c r="A68" s="164" t="s">
        <v>157</v>
      </c>
      <c r="B68" s="181"/>
      <c r="C68" s="187"/>
      <c r="D68" s="329">
        <v>2021</v>
      </c>
      <c r="E68" s="330"/>
      <c r="F68" s="331"/>
    </row>
    <row r="69" spans="1:6" ht="12.75">
      <c r="A69" s="154" t="str">
        <f aca="true" t="shared" si="13" ref="A69:A75">A47</f>
        <v>Residential</v>
      </c>
      <c r="B69" s="166"/>
      <c r="C69" s="183">
        <f>C58</f>
        <v>0</v>
      </c>
      <c r="D69" s="166">
        <f>B2</f>
        <v>453679525</v>
      </c>
      <c r="E69" s="184">
        <v>0.0014</v>
      </c>
      <c r="F69" s="168">
        <f aca="true" t="shared" si="14" ref="F69:F75">D69*E69</f>
        <v>635151.335</v>
      </c>
    </row>
    <row r="70" spans="1:6" ht="12.75">
      <c r="A70" s="154" t="str">
        <f t="shared" si="13"/>
        <v>GS&lt;50</v>
      </c>
      <c r="B70" s="166"/>
      <c r="C70" s="183" t="s">
        <v>141</v>
      </c>
      <c r="D70" s="166">
        <f>B3</f>
        <v>131690457</v>
      </c>
      <c r="E70" s="184">
        <v>0.0012</v>
      </c>
      <c r="F70" s="168">
        <f t="shared" si="14"/>
        <v>158028.5484</v>
      </c>
    </row>
    <row r="71" spans="1:6" ht="12.75">
      <c r="A71" s="154" t="str">
        <f t="shared" si="13"/>
        <v>GS&gt;50 </v>
      </c>
      <c r="B71" s="166"/>
      <c r="C71" s="194" t="s">
        <v>155</v>
      </c>
      <c r="D71" s="166">
        <f>C4</f>
        <v>1765045.8398735856</v>
      </c>
      <c r="E71" s="184">
        <v>0.478</v>
      </c>
      <c r="F71" s="168">
        <f t="shared" si="14"/>
        <v>843691.9114595739</v>
      </c>
    </row>
    <row r="72" spans="1:6" ht="12.75">
      <c r="A72" s="154" t="str">
        <f t="shared" si="13"/>
        <v>Embedded Distributor</v>
      </c>
      <c r="B72" s="166"/>
      <c r="C72" s="194" t="s">
        <v>155</v>
      </c>
      <c r="D72" s="166">
        <f>C5</f>
        <v>6805.700126414409</v>
      </c>
      <c r="E72" s="184">
        <f>E71</f>
        <v>0.478</v>
      </c>
      <c r="F72" s="168">
        <f t="shared" si="14"/>
        <v>3253.1246604260873</v>
      </c>
    </row>
    <row r="73" spans="1:6" ht="12.75">
      <c r="A73" s="154" t="str">
        <f t="shared" si="13"/>
        <v>Sentinels</v>
      </c>
      <c r="B73" s="166"/>
      <c r="C73" s="194" t="s">
        <v>155</v>
      </c>
      <c r="D73" s="166">
        <f>C6</f>
        <v>653.0146660245107</v>
      </c>
      <c r="E73" s="184">
        <v>0.3994</v>
      </c>
      <c r="F73" s="168">
        <f t="shared" si="14"/>
        <v>260.81405761018954</v>
      </c>
    </row>
    <row r="74" spans="1:6" ht="12.75">
      <c r="A74" s="154" t="str">
        <f t="shared" si="13"/>
        <v>Streetlights</v>
      </c>
      <c r="B74" s="166"/>
      <c r="C74" s="194" t="s">
        <v>155</v>
      </c>
      <c r="D74" s="166">
        <f>C7</f>
        <v>12544.534497773584</v>
      </c>
      <c r="E74" s="184">
        <v>0.3672</v>
      </c>
      <c r="F74" s="168">
        <f t="shared" si="14"/>
        <v>4606.35306758246</v>
      </c>
    </row>
    <row r="75" spans="1:6" ht="12.75">
      <c r="A75" s="158" t="str">
        <f t="shared" si="13"/>
        <v>USL</v>
      </c>
      <c r="B75" s="166"/>
      <c r="C75" s="183" t="s">
        <v>141</v>
      </c>
      <c r="D75" s="166">
        <f>B8</f>
        <v>1481613.5613358333</v>
      </c>
      <c r="E75" s="184">
        <v>0.0012</v>
      </c>
      <c r="F75" s="168">
        <f t="shared" si="14"/>
        <v>1777.9362736029998</v>
      </c>
    </row>
    <row r="76" spans="1:6" ht="12.75">
      <c r="A76" s="159" t="s">
        <v>156</v>
      </c>
      <c r="B76" s="160"/>
      <c r="C76" s="164"/>
      <c r="D76" s="160">
        <f>SUM(D69:D75)</f>
        <v>588636644.6504996</v>
      </c>
      <c r="E76" s="301"/>
      <c r="F76" s="185">
        <f>SUM(F69:F75)</f>
        <v>1646770.0229187955</v>
      </c>
    </row>
    <row r="77" ht="12.75"/>
    <row r="78" spans="1:6" ht="12.75">
      <c r="A78" s="176" t="s">
        <v>163</v>
      </c>
      <c r="B78" s="177"/>
      <c r="C78" s="186"/>
      <c r="D78" s="179"/>
      <c r="E78" s="303"/>
      <c r="F78" s="177"/>
    </row>
    <row r="79" spans="1:6" ht="12.75">
      <c r="A79" s="164" t="s">
        <v>157</v>
      </c>
      <c r="B79" s="181"/>
      <c r="C79" s="187"/>
      <c r="D79" s="329">
        <v>2021</v>
      </c>
      <c r="E79" s="330"/>
      <c r="F79" s="331"/>
    </row>
    <row r="80" spans="1:6" ht="12.75">
      <c r="A80" s="154" t="str">
        <f aca="true" t="shared" si="15" ref="A80:A86">A47</f>
        <v>Residential</v>
      </c>
      <c r="B80" s="166"/>
      <c r="C80" s="183">
        <f>C58</f>
        <v>0</v>
      </c>
      <c r="D80" s="166">
        <f aca="true" t="shared" si="16" ref="D80:D86">D47</f>
        <v>472850807.0344412</v>
      </c>
      <c r="E80" s="184">
        <v>0.0005</v>
      </c>
      <c r="F80" s="168">
        <f aca="true" t="shared" si="17" ref="F80:F86">D80*E80</f>
        <v>236425.4035172206</v>
      </c>
    </row>
    <row r="81" spans="1:6" ht="12.75">
      <c r="A81" s="154" t="str">
        <f t="shared" si="15"/>
        <v>GS&lt;50</v>
      </c>
      <c r="B81" s="166"/>
      <c r="C81" s="183" t="s">
        <v>141</v>
      </c>
      <c r="D81" s="166">
        <f t="shared" si="16"/>
        <v>137255343.12174296</v>
      </c>
      <c r="E81" s="184">
        <f aca="true" t="shared" si="18" ref="E81:E86">E80</f>
        <v>0.0005</v>
      </c>
      <c r="F81" s="168">
        <f t="shared" si="17"/>
        <v>68627.67156087149</v>
      </c>
    </row>
    <row r="82" spans="1:6" ht="12.75">
      <c r="A82" s="154" t="str">
        <f t="shared" si="15"/>
        <v>GS&gt;50 </v>
      </c>
      <c r="B82" s="166"/>
      <c r="C82" s="183" t="s">
        <v>141</v>
      </c>
      <c r="D82" s="166">
        <f t="shared" si="16"/>
        <v>719111991.7791816</v>
      </c>
      <c r="E82" s="184">
        <f t="shared" si="18"/>
        <v>0.0005</v>
      </c>
      <c r="F82" s="168">
        <f t="shared" si="17"/>
        <v>359555.9958895908</v>
      </c>
    </row>
    <row r="83" spans="1:6" ht="12.75">
      <c r="A83" s="154" t="str">
        <f t="shared" si="15"/>
        <v>Embedded Distributor</v>
      </c>
      <c r="B83" s="166"/>
      <c r="C83" s="183" t="s">
        <v>141</v>
      </c>
      <c r="D83" s="166">
        <f t="shared" si="16"/>
        <v>2927005.195736163</v>
      </c>
      <c r="E83" s="184">
        <f t="shared" si="18"/>
        <v>0.0005</v>
      </c>
      <c r="F83" s="168">
        <f t="shared" si="17"/>
        <v>1463.5025978680815</v>
      </c>
    </row>
    <row r="84" spans="1:6" ht="12.75">
      <c r="A84" s="154" t="str">
        <f t="shared" si="15"/>
        <v>Sentinels</v>
      </c>
      <c r="B84" s="166"/>
      <c r="C84" s="183" t="s">
        <v>141</v>
      </c>
      <c r="D84" s="166">
        <f t="shared" si="16"/>
        <v>227851.51481262172</v>
      </c>
      <c r="E84" s="184">
        <f t="shared" si="18"/>
        <v>0.0005</v>
      </c>
      <c r="F84" s="168">
        <f t="shared" si="17"/>
        <v>113.92575740631086</v>
      </c>
    </row>
    <row r="85" spans="1:6" ht="12.75">
      <c r="A85" s="154" t="str">
        <f t="shared" si="15"/>
        <v>Streetlights</v>
      </c>
      <c r="B85" s="166"/>
      <c r="C85" s="183" t="s">
        <v>141</v>
      </c>
      <c r="D85" s="166">
        <f t="shared" si="16"/>
        <v>4657952.863602474</v>
      </c>
      <c r="E85" s="184">
        <f t="shared" si="18"/>
        <v>0.0005</v>
      </c>
      <c r="F85" s="168">
        <f t="shared" si="17"/>
        <v>2328.976431801237</v>
      </c>
    </row>
    <row r="86" spans="1:6" ht="12.75">
      <c r="A86" s="158" t="str">
        <f t="shared" si="15"/>
        <v>USL</v>
      </c>
      <c r="B86" s="166"/>
      <c r="C86" s="183" t="s">
        <v>141</v>
      </c>
      <c r="D86" s="166">
        <f t="shared" si="16"/>
        <v>1544222.5835314505</v>
      </c>
      <c r="E86" s="184">
        <f t="shared" si="18"/>
        <v>0.0005</v>
      </c>
      <c r="F86" s="168">
        <f t="shared" si="17"/>
        <v>772.1112917657252</v>
      </c>
    </row>
    <row r="87" spans="1:6" ht="12.75">
      <c r="A87" s="159" t="s">
        <v>156</v>
      </c>
      <c r="B87" s="160"/>
      <c r="C87" s="164"/>
      <c r="D87" s="160">
        <f>SUM(D80:D86)</f>
        <v>1338575174.0930483</v>
      </c>
      <c r="E87" s="301"/>
      <c r="F87" s="185">
        <f>SUM(F80:F86)</f>
        <v>669287.5870465242</v>
      </c>
    </row>
    <row r="88" ht="12.75"/>
    <row r="89" spans="1:6" ht="12.75">
      <c r="A89" s="176" t="s">
        <v>164</v>
      </c>
      <c r="B89" s="177"/>
      <c r="C89" s="186"/>
      <c r="D89" s="179"/>
      <c r="E89" s="303"/>
      <c r="F89" s="177"/>
    </row>
    <row r="90" spans="1:6" ht="12.75">
      <c r="A90" s="164" t="s">
        <v>270</v>
      </c>
      <c r="B90" s="181"/>
      <c r="C90" s="187"/>
      <c r="D90" s="329">
        <v>2021</v>
      </c>
      <c r="E90" s="330"/>
      <c r="F90" s="331"/>
    </row>
    <row r="91" spans="1:6" ht="12.75">
      <c r="A91" s="154" t="str">
        <f>A80</f>
        <v>Residential</v>
      </c>
      <c r="B91" s="166"/>
      <c r="C91" s="194" t="s">
        <v>269</v>
      </c>
      <c r="D91" s="166">
        <f>'Rate Class Customer Model '!B24*12</f>
        <v>623222.9209708159</v>
      </c>
      <c r="E91" s="184">
        <v>0.57</v>
      </c>
      <c r="F91" s="168">
        <f>D91*E91</f>
        <v>355237.0649533651</v>
      </c>
    </row>
    <row r="92" spans="1:6" ht="12.75">
      <c r="A92" s="154" t="str">
        <f>A81</f>
        <v>GS&lt;50</v>
      </c>
      <c r="B92" s="166"/>
      <c r="C92" s="194" t="s">
        <v>269</v>
      </c>
      <c r="D92" s="166">
        <f>'Rate Class Customer Model '!C24*12</f>
        <v>54489.241023906565</v>
      </c>
      <c r="E92" s="184">
        <v>0.57</v>
      </c>
      <c r="F92" s="168">
        <f>D92*E92</f>
        <v>31058.86738362674</v>
      </c>
    </row>
    <row r="93" spans="1:6" ht="12.75">
      <c r="A93" s="159" t="s">
        <v>156</v>
      </c>
      <c r="B93" s="160"/>
      <c r="C93" s="164"/>
      <c r="D93" s="160">
        <f>SUM(D91:D92)</f>
        <v>677712.1619947224</v>
      </c>
      <c r="E93" s="301"/>
      <c r="F93" s="185">
        <f>SUM(F91:F92)</f>
        <v>386295.9323369918</v>
      </c>
    </row>
    <row r="94" spans="1:2" ht="12.75">
      <c r="A94" s="140"/>
      <c r="B94" s="188">
        <v>2021</v>
      </c>
    </row>
    <row r="95" spans="1:2" ht="12.75">
      <c r="A95" s="189" t="s">
        <v>165</v>
      </c>
      <c r="B95" s="190">
        <f>F21</f>
        <v>167250485.97607324</v>
      </c>
    </row>
    <row r="96" spans="1:2" ht="12.75">
      <c r="A96" s="189" t="s">
        <v>166</v>
      </c>
      <c r="B96" s="191">
        <f>F54+F87</f>
        <v>5284883.178895175</v>
      </c>
    </row>
    <row r="97" spans="1:2" ht="12.75">
      <c r="A97" s="189" t="s">
        <v>167</v>
      </c>
      <c r="B97" s="191">
        <f>F32</f>
        <v>9861296.115113957</v>
      </c>
    </row>
    <row r="98" spans="1:2" ht="12.75">
      <c r="A98" s="189" t="s">
        <v>168</v>
      </c>
      <c r="B98" s="191">
        <f>F43</f>
        <v>6201941.665858914</v>
      </c>
    </row>
    <row r="99" spans="1:2" ht="12.75">
      <c r="A99" s="192" t="s">
        <v>278</v>
      </c>
      <c r="B99" s="191">
        <f>F76</f>
        <v>1646770.0229187955</v>
      </c>
    </row>
    <row r="100" spans="1:2" ht="12.75">
      <c r="A100" s="192" t="s">
        <v>169</v>
      </c>
      <c r="B100" s="190">
        <f>+F93</f>
        <v>386295.9323369918</v>
      </c>
    </row>
    <row r="101" spans="1:2" ht="12.75">
      <c r="A101" s="161" t="s">
        <v>156</v>
      </c>
      <c r="B101" s="185">
        <f>SUM(B95:B100)</f>
        <v>190631672.89119706</v>
      </c>
    </row>
    <row r="102" spans="1:2" ht="12.75">
      <c r="A102" s="296" t="s">
        <v>313</v>
      </c>
      <c r="B102" s="278">
        <f>F65</f>
        <v>-30186327.003298968</v>
      </c>
    </row>
    <row r="103" ht="12.75">
      <c r="B103" s="297">
        <f>SUM(B101:B102)</f>
        <v>160445345.8878981</v>
      </c>
    </row>
    <row r="104" ht="12.75">
      <c r="F104" s="278">
        <f>F21+F32+F43+F54+F65+F76+F87+F93</f>
        <v>160445345.8878981</v>
      </c>
    </row>
    <row r="105" ht="12.75">
      <c r="F105" s="278">
        <f>B103-F104</f>
        <v>0</v>
      </c>
    </row>
  </sheetData>
  <sheetProtection/>
  <mergeCells count="10">
    <mergeCell ref="D24:F24"/>
    <mergeCell ref="D35:F35"/>
    <mergeCell ref="D46:F46"/>
    <mergeCell ref="D79:F79"/>
    <mergeCell ref="D90:F90"/>
    <mergeCell ref="B12:B13"/>
    <mergeCell ref="C12:C13"/>
    <mergeCell ref="D13:F13"/>
    <mergeCell ref="D57:F57"/>
    <mergeCell ref="D68:F68"/>
  </mergeCells>
  <printOptions/>
  <pageMargins left="0.25" right="0.25" top="0.45" bottom="0.41" header="0.3" footer="0.3"/>
  <pageSetup orientation="portrait" scale="90" r:id="rId3"/>
  <legacyDrawing r:id="rId2"/>
</worksheet>
</file>

<file path=xl/worksheets/sheet15.xml><?xml version="1.0" encoding="utf-8"?>
<worksheet xmlns="http://schemas.openxmlformats.org/spreadsheetml/2006/main" xmlns:r="http://schemas.openxmlformats.org/officeDocument/2006/relationships">
  <dimension ref="A1:F227"/>
  <sheetViews>
    <sheetView zoomScalePageLayoutView="0" workbookViewId="0" topLeftCell="A1">
      <pane ySplit="7" topLeftCell="A224" activePane="bottomLeft" state="frozen"/>
      <selection pane="topLeft" activeCell="A1" sqref="A1"/>
      <selection pane="bottomLeft" activeCell="I225" sqref="I225"/>
    </sheetView>
  </sheetViews>
  <sheetFormatPr defaultColWidth="9.140625" defaultRowHeight="12.75"/>
  <cols>
    <col min="1" max="2" width="12.00390625" style="0" customWidth="1"/>
    <col min="3" max="3" width="13.7109375" style="0" customWidth="1"/>
    <col min="4" max="4" width="11.7109375" style="0" customWidth="1"/>
    <col min="5" max="5" width="19.28125" style="0" customWidth="1"/>
    <col min="6" max="6" width="17.28125" style="0" customWidth="1"/>
  </cols>
  <sheetData>
    <row r="1" ht="12.75">
      <c r="A1" s="19" t="s">
        <v>192</v>
      </c>
    </row>
    <row r="4" ht="12.75">
      <c r="A4" s="199"/>
    </row>
    <row r="5" ht="12.75">
      <c r="A5" s="199"/>
    </row>
    <row r="6" ht="12.75">
      <c r="A6" s="199"/>
    </row>
    <row r="7" spans="1:6" s="131" customFormat="1" ht="38.25">
      <c r="A7" s="220" t="s">
        <v>153</v>
      </c>
      <c r="B7" s="220" t="s">
        <v>189</v>
      </c>
      <c r="C7" s="220" t="s">
        <v>190</v>
      </c>
      <c r="D7" s="220" t="s">
        <v>187</v>
      </c>
      <c r="E7" s="220" t="s">
        <v>188</v>
      </c>
      <c r="F7" s="220" t="s">
        <v>191</v>
      </c>
    </row>
    <row r="8" spans="1:6" ht="12.75">
      <c r="A8" s="2">
        <f>'Purchased Power Model'!A75</f>
        <v>37275</v>
      </c>
      <c r="B8" s="48">
        <f>'Purchased Power Model'!E75</f>
        <v>98398774.07602799</v>
      </c>
      <c r="C8" s="221">
        <f>'Purchased Power Model'!O75</f>
        <v>97603664.64146474</v>
      </c>
      <c r="D8" s="48">
        <f>B8-C8</f>
        <v>795109.4345632493</v>
      </c>
      <c r="E8" s="48">
        <f>ABS(D8)</f>
        <v>795109.4345632493</v>
      </c>
      <c r="F8">
        <f>E8/B8</f>
        <v>0.008080481103848984</v>
      </c>
    </row>
    <row r="9" spans="1:6" ht="12.75">
      <c r="A9" s="2">
        <f>'Purchased Power Model'!A76</f>
        <v>37308</v>
      </c>
      <c r="B9" s="48">
        <f>'Purchased Power Model'!E76</f>
        <v>87515454.44591543</v>
      </c>
      <c r="C9" s="221">
        <f>'Purchased Power Model'!O76</f>
        <v>88835770.34732112</v>
      </c>
      <c r="D9" s="48">
        <f aca="true" t="shared" si="0" ref="D9:D72">B9-C9</f>
        <v>-1320315.901405692</v>
      </c>
      <c r="E9" s="48">
        <f aca="true" t="shared" si="1" ref="E9:E72">ABS(D9)</f>
        <v>1320315.901405692</v>
      </c>
      <c r="F9">
        <f aca="true" t="shared" si="2" ref="F9:F72">E9/B9</f>
        <v>0.0150866599478341</v>
      </c>
    </row>
    <row r="10" spans="1:6" ht="12.75">
      <c r="A10" s="2">
        <f>'Purchased Power Model'!A77</f>
        <v>37341</v>
      </c>
      <c r="B10" s="48">
        <f>'Purchased Power Model'!E77</f>
        <v>94028461.32406956</v>
      </c>
      <c r="C10" s="221">
        <f>'Purchased Power Model'!O77</f>
        <v>92776111.61873136</v>
      </c>
      <c r="D10" s="48">
        <f t="shared" si="0"/>
        <v>1252349.705338195</v>
      </c>
      <c r="E10" s="48">
        <f t="shared" si="1"/>
        <v>1252349.705338195</v>
      </c>
      <c r="F10">
        <f t="shared" si="2"/>
        <v>0.013318836527824968</v>
      </c>
    </row>
    <row r="11" spans="1:6" ht="12.75">
      <c r="A11" s="2">
        <f>'Purchased Power Model'!A78</f>
        <v>37374</v>
      </c>
      <c r="B11" s="48">
        <f>'Purchased Power Model'!E78</f>
        <v>86184465.62416014</v>
      </c>
      <c r="C11" s="221">
        <f>'Purchased Power Model'!O78</f>
        <v>85426733.2786949</v>
      </c>
      <c r="D11" s="48">
        <f t="shared" si="0"/>
        <v>757732.3454652429</v>
      </c>
      <c r="E11" s="48">
        <f t="shared" si="1"/>
        <v>757732.3454652429</v>
      </c>
      <c r="F11">
        <f t="shared" si="2"/>
        <v>0.00879198287043538</v>
      </c>
    </row>
    <row r="12" spans="1:6" ht="12.75">
      <c r="A12" s="2">
        <f>'Purchased Power Model'!A79</f>
        <v>37407</v>
      </c>
      <c r="B12" s="48">
        <f>'Purchased Power Model'!E79</f>
        <v>85447299.00560406</v>
      </c>
      <c r="C12" s="221">
        <f>'Purchased Power Model'!O79</f>
        <v>86644232.92355259</v>
      </c>
      <c r="D12" s="48">
        <f t="shared" si="0"/>
        <v>-1196933.9179485291</v>
      </c>
      <c r="E12" s="48">
        <f t="shared" si="1"/>
        <v>1196933.9179485291</v>
      </c>
      <c r="F12">
        <f t="shared" si="2"/>
        <v>0.014007861358730932</v>
      </c>
    </row>
    <row r="13" spans="1:6" ht="12.75">
      <c r="A13" s="2">
        <f>'Purchased Power Model'!A80</f>
        <v>37408</v>
      </c>
      <c r="B13" s="48">
        <f>'Purchased Power Model'!E80</f>
        <v>95651672.75514369</v>
      </c>
      <c r="C13" s="221">
        <f>'Purchased Power Model'!O80</f>
        <v>95218363.90847203</v>
      </c>
      <c r="D13" s="48">
        <f t="shared" si="0"/>
        <v>433308.8466716558</v>
      </c>
      <c r="E13" s="48">
        <f t="shared" si="1"/>
        <v>433308.8466716558</v>
      </c>
      <c r="F13">
        <f t="shared" si="2"/>
        <v>0.004530070768138809</v>
      </c>
    </row>
    <row r="14" spans="1:6" ht="12.75">
      <c r="A14" s="2">
        <f>'Purchased Power Model'!A81</f>
        <v>37440</v>
      </c>
      <c r="B14" s="48">
        <f>'Purchased Power Model'!E81</f>
        <v>119450096.05526412</v>
      </c>
      <c r="C14" s="221">
        <f>'Purchased Power Model'!O81</f>
        <v>125076816.21367316</v>
      </c>
      <c r="D14" s="48">
        <f t="shared" si="0"/>
        <v>-5626720.158409044</v>
      </c>
      <c r="E14" s="48">
        <f t="shared" si="1"/>
        <v>5626720.158409044</v>
      </c>
      <c r="F14">
        <f t="shared" si="2"/>
        <v>0.04710519576146525</v>
      </c>
    </row>
    <row r="15" spans="1:6" ht="12.75">
      <c r="A15" s="2">
        <f>'Purchased Power Model'!A82</f>
        <v>37473</v>
      </c>
      <c r="B15" s="48">
        <f>'Purchased Power Model'!E82</f>
        <v>114483162.95551597</v>
      </c>
      <c r="C15" s="221">
        <f>'Purchased Power Model'!O82</f>
        <v>117850981.1021003</v>
      </c>
      <c r="D15" s="48">
        <f t="shared" si="0"/>
        <v>-3367818.146584332</v>
      </c>
      <c r="E15" s="48">
        <f t="shared" si="1"/>
        <v>3367818.146584332</v>
      </c>
      <c r="F15">
        <f t="shared" si="2"/>
        <v>0.029417584731590136</v>
      </c>
    </row>
    <row r="16" spans="1:6" ht="12.75">
      <c r="A16" s="2">
        <f>'Purchased Power Model'!A83</f>
        <v>37506</v>
      </c>
      <c r="B16" s="48">
        <f>'Purchased Power Model'!E83</f>
        <v>96936653.29524302</v>
      </c>
      <c r="C16" s="221">
        <f>'Purchased Power Model'!O83</f>
        <v>97963092.8486663</v>
      </c>
      <c r="D16" s="48">
        <f t="shared" si="0"/>
        <v>-1026439.5534232706</v>
      </c>
      <c r="E16" s="48">
        <f t="shared" si="1"/>
        <v>1026439.5534232706</v>
      </c>
      <c r="F16">
        <f t="shared" si="2"/>
        <v>0.010588766153263113</v>
      </c>
    </row>
    <row r="17" spans="1:6" ht="12.75">
      <c r="A17" s="2">
        <f>'Purchased Power Model'!A84</f>
        <v>37539</v>
      </c>
      <c r="B17" s="48">
        <f>'Purchased Power Model'!E84</f>
        <v>90917730.90590566</v>
      </c>
      <c r="C17" s="221">
        <f>'Purchased Power Model'!O84</f>
        <v>89914335.95309174</v>
      </c>
      <c r="D17" s="48">
        <f t="shared" si="0"/>
        <v>1003394.9528139234</v>
      </c>
      <c r="E17" s="48">
        <f t="shared" si="1"/>
        <v>1003394.9528139234</v>
      </c>
      <c r="F17">
        <f t="shared" si="2"/>
        <v>0.011036295591806798</v>
      </c>
    </row>
    <row r="18" spans="1:6" ht="12.75">
      <c r="A18" s="2">
        <f>'Purchased Power Model'!A85</f>
        <v>37572</v>
      </c>
      <c r="B18" s="48">
        <f>'Purchased Power Model'!E85</f>
        <v>90920617.54078616</v>
      </c>
      <c r="C18" s="221">
        <f>'Purchased Power Model'!O85</f>
        <v>88735939.80024035</v>
      </c>
      <c r="D18" s="48">
        <f t="shared" si="0"/>
        <v>2184677.7405458093</v>
      </c>
      <c r="E18" s="48">
        <f t="shared" si="1"/>
        <v>2184677.7405458093</v>
      </c>
      <c r="F18">
        <f t="shared" si="2"/>
        <v>0.024028408513237193</v>
      </c>
    </row>
    <row r="19" spans="1:6" ht="12.75">
      <c r="A19" s="2">
        <f>'Purchased Power Model'!A86</f>
        <v>37605</v>
      </c>
      <c r="B19" s="48">
        <f>'Purchased Power Model'!E86</f>
        <v>102776285.796761</v>
      </c>
      <c r="C19" s="221">
        <f>'Purchased Power Model'!O86</f>
        <v>101120863.66701928</v>
      </c>
      <c r="D19" s="48">
        <f t="shared" si="0"/>
        <v>1655422.1297417283</v>
      </c>
      <c r="E19" s="48">
        <f t="shared" si="1"/>
        <v>1655422.1297417283</v>
      </c>
      <c r="F19">
        <f t="shared" si="2"/>
        <v>0.016107043730061502</v>
      </c>
    </row>
    <row r="20" spans="1:6" ht="12.75">
      <c r="A20" s="2">
        <f>'Purchased Power Model'!A87</f>
        <v>37622</v>
      </c>
      <c r="B20" s="48">
        <f>'Purchased Power Model'!E87</f>
        <v>104493534.93325901</v>
      </c>
      <c r="C20" s="221">
        <f>'Purchased Power Model'!O87</f>
        <v>104733435.39449382</v>
      </c>
      <c r="D20" s="48">
        <f t="shared" si="0"/>
        <v>-239900.46123480797</v>
      </c>
      <c r="E20" s="48">
        <f t="shared" si="1"/>
        <v>239900.46123480797</v>
      </c>
      <c r="F20">
        <f t="shared" si="2"/>
        <v>0.0022958402296183646</v>
      </c>
    </row>
    <row r="21" spans="1:6" ht="12.75">
      <c r="A21" s="2">
        <f>'Purchased Power Model'!A88</f>
        <v>37653</v>
      </c>
      <c r="B21" s="48">
        <f>'Purchased Power Model'!E88</f>
        <v>96011347.4612544</v>
      </c>
      <c r="C21" s="221">
        <f>'Purchased Power Model'!O88</f>
        <v>94810571.29397216</v>
      </c>
      <c r="D21" s="48">
        <f t="shared" si="0"/>
        <v>1200776.1672822386</v>
      </c>
      <c r="E21" s="48">
        <f t="shared" si="1"/>
        <v>1200776.1672822386</v>
      </c>
      <c r="F21">
        <f t="shared" si="2"/>
        <v>0.012506606760902034</v>
      </c>
    </row>
    <row r="22" spans="1:6" ht="12.75">
      <c r="A22" s="2">
        <f>'Purchased Power Model'!A89</f>
        <v>37681</v>
      </c>
      <c r="B22" s="48">
        <f>'Purchased Power Model'!E89</f>
        <v>95684640.11626172</v>
      </c>
      <c r="C22" s="221">
        <f>'Purchased Power Model'!O89</f>
        <v>96240576.9890833</v>
      </c>
      <c r="D22" s="48">
        <f t="shared" si="0"/>
        <v>-555936.8728215843</v>
      </c>
      <c r="E22" s="48">
        <f t="shared" si="1"/>
        <v>555936.8728215843</v>
      </c>
      <c r="F22">
        <f t="shared" si="2"/>
        <v>0.005810095247743971</v>
      </c>
    </row>
    <row r="23" spans="1:6" ht="12.75">
      <c r="A23" s="2">
        <f>'Purchased Power Model'!A90</f>
        <v>37712</v>
      </c>
      <c r="B23" s="48">
        <f>'Purchased Power Model'!E90</f>
        <v>86343957.47688204</v>
      </c>
      <c r="C23" s="221">
        <f>'Purchased Power Model'!O90</f>
        <v>90044279.24796914</v>
      </c>
      <c r="D23" s="48">
        <f t="shared" si="0"/>
        <v>-3700321.771087095</v>
      </c>
      <c r="E23" s="48">
        <f t="shared" si="1"/>
        <v>3700321.771087095</v>
      </c>
      <c r="F23">
        <f t="shared" si="2"/>
        <v>0.04285559614380461</v>
      </c>
    </row>
    <row r="24" spans="1:6" ht="12.75">
      <c r="A24" s="2">
        <f>'Purchased Power Model'!A91</f>
        <v>37742</v>
      </c>
      <c r="B24" s="48">
        <f>'Purchased Power Model'!E91</f>
        <v>84100206.04600699</v>
      </c>
      <c r="C24" s="221">
        <f>'Purchased Power Model'!O91</f>
        <v>88897993.79015273</v>
      </c>
      <c r="D24" s="48">
        <f t="shared" si="0"/>
        <v>-4797787.744145736</v>
      </c>
      <c r="E24" s="48">
        <f t="shared" si="1"/>
        <v>4797787.744145736</v>
      </c>
      <c r="F24">
        <f t="shared" si="2"/>
        <v>0.05704846598736164</v>
      </c>
    </row>
    <row r="25" spans="1:6" ht="12.75">
      <c r="A25" s="2">
        <f>'Purchased Power Model'!A92</f>
        <v>37773</v>
      </c>
      <c r="B25" s="48">
        <f>'Purchased Power Model'!E92</f>
        <v>90485412.53994009</v>
      </c>
      <c r="C25" s="221">
        <f>'Purchased Power Model'!O92</f>
        <v>96393832.08939803</v>
      </c>
      <c r="D25" s="48">
        <f t="shared" si="0"/>
        <v>-5908419.5494579375</v>
      </c>
      <c r="E25" s="48">
        <f t="shared" si="1"/>
        <v>5908419.5494579375</v>
      </c>
      <c r="F25">
        <f t="shared" si="2"/>
        <v>0.06529692890387136</v>
      </c>
    </row>
    <row r="26" spans="1:6" ht="12.75">
      <c r="A26" s="2">
        <f>'Purchased Power Model'!A93</f>
        <v>37803</v>
      </c>
      <c r="B26" s="48">
        <f>'Purchased Power Model'!E93</f>
        <v>107838219.04581785</v>
      </c>
      <c r="C26" s="221">
        <f>'Purchased Power Model'!O93</f>
        <v>109827742.36148973</v>
      </c>
      <c r="D26" s="48">
        <f t="shared" si="0"/>
        <v>-1989523.315671876</v>
      </c>
      <c r="E26" s="48">
        <f t="shared" si="1"/>
        <v>1989523.315671876</v>
      </c>
      <c r="F26">
        <f t="shared" si="2"/>
        <v>0.01844914848627624</v>
      </c>
    </row>
    <row r="27" spans="1:6" ht="12.75">
      <c r="A27" s="2">
        <f>'Purchased Power Model'!A94</f>
        <v>37834</v>
      </c>
      <c r="B27" s="48">
        <f>'Purchased Power Model'!E94</f>
        <v>111720633.46704757</v>
      </c>
      <c r="C27" s="221">
        <f>'Purchased Power Model'!O94</f>
        <v>117757681.15289102</v>
      </c>
      <c r="D27" s="48">
        <f t="shared" si="0"/>
        <v>-6037047.685843453</v>
      </c>
      <c r="E27" s="48">
        <f t="shared" si="1"/>
        <v>6037047.685843453</v>
      </c>
      <c r="F27">
        <f t="shared" si="2"/>
        <v>0.05403699834573623</v>
      </c>
    </row>
    <row r="28" spans="1:6" ht="12.75">
      <c r="A28" s="2">
        <f>'Purchased Power Model'!A95</f>
        <v>37865</v>
      </c>
      <c r="B28" s="48">
        <f>'Purchased Power Model'!E95</f>
        <v>90994823.96504186</v>
      </c>
      <c r="C28" s="221">
        <f>'Purchased Power Model'!O95</f>
        <v>87323649.08239312</v>
      </c>
      <c r="D28" s="48">
        <f t="shared" si="0"/>
        <v>3671174.8826487362</v>
      </c>
      <c r="E28" s="48">
        <f t="shared" si="1"/>
        <v>3671174.8826487362</v>
      </c>
      <c r="F28">
        <f t="shared" si="2"/>
        <v>0.04034487592458136</v>
      </c>
    </row>
    <row r="29" spans="1:6" ht="12.75">
      <c r="A29" s="2">
        <f>'Purchased Power Model'!A96</f>
        <v>37895</v>
      </c>
      <c r="B29" s="48">
        <f>'Purchased Power Model'!E96</f>
        <v>90574201.447299</v>
      </c>
      <c r="C29" s="221">
        <f>'Purchased Power Model'!O96</f>
        <v>89954940.61145079</v>
      </c>
      <c r="D29" s="48">
        <f t="shared" si="0"/>
        <v>619260.8358482122</v>
      </c>
      <c r="E29" s="48">
        <f t="shared" si="1"/>
        <v>619260.8358482122</v>
      </c>
      <c r="F29">
        <f t="shared" si="2"/>
        <v>0.006837055430276489</v>
      </c>
    </row>
    <row r="30" spans="1:6" ht="12.75">
      <c r="A30" s="2">
        <f>'Purchased Power Model'!A97</f>
        <v>37926</v>
      </c>
      <c r="B30" s="48">
        <f>'Purchased Power Model'!E97</f>
        <v>91660392.38326548</v>
      </c>
      <c r="C30" s="221">
        <f>'Purchased Power Model'!O97</f>
        <v>89948637.62753041</v>
      </c>
      <c r="D30" s="48">
        <f t="shared" si="0"/>
        <v>1711754.7557350695</v>
      </c>
      <c r="E30" s="48">
        <f t="shared" si="1"/>
        <v>1711754.7557350695</v>
      </c>
      <c r="F30">
        <f t="shared" si="2"/>
        <v>0.01867496648473421</v>
      </c>
    </row>
    <row r="31" spans="1:6" ht="12.75">
      <c r="A31" s="2">
        <f>'Purchased Power Model'!A98</f>
        <v>37956</v>
      </c>
      <c r="B31" s="48">
        <f>'Purchased Power Model'!E98</f>
        <v>102135791.28634423</v>
      </c>
      <c r="C31" s="221">
        <f>'Purchased Power Model'!O98</f>
        <v>101672121.61502205</v>
      </c>
      <c r="D31" s="48">
        <f t="shared" si="0"/>
        <v>463669.6713221818</v>
      </c>
      <c r="E31" s="48">
        <f t="shared" si="1"/>
        <v>463669.6713221818</v>
      </c>
      <c r="F31">
        <f t="shared" si="2"/>
        <v>0.004539737397463875</v>
      </c>
    </row>
    <row r="32" spans="1:6" ht="12.75">
      <c r="A32" s="2">
        <f>'Purchased Power Model'!A99</f>
        <v>37987</v>
      </c>
      <c r="B32" s="48">
        <f>'Purchased Power Model'!E99</f>
        <v>110906403.35247804</v>
      </c>
      <c r="C32" s="221">
        <f>'Purchased Power Model'!O99</f>
        <v>107782944.47373384</v>
      </c>
      <c r="D32" s="48">
        <f t="shared" si="0"/>
        <v>3123458.8787442</v>
      </c>
      <c r="E32" s="48">
        <f t="shared" si="1"/>
        <v>3123458.8787442</v>
      </c>
      <c r="F32">
        <f t="shared" si="2"/>
        <v>0.02816301660073995</v>
      </c>
    </row>
    <row r="33" spans="1:6" ht="12.75">
      <c r="A33" s="2">
        <f>'Purchased Power Model'!A100</f>
        <v>38018</v>
      </c>
      <c r="B33" s="48">
        <f>'Purchased Power Model'!E100</f>
        <v>98773309.57666007</v>
      </c>
      <c r="C33" s="221">
        <f>'Purchased Power Model'!O100</f>
        <v>98410876.14263602</v>
      </c>
      <c r="D33" s="48">
        <f t="shared" si="0"/>
        <v>362433.43402405083</v>
      </c>
      <c r="E33" s="48">
        <f t="shared" si="1"/>
        <v>362433.43402405083</v>
      </c>
      <c r="F33">
        <f t="shared" si="2"/>
        <v>0.0036693458544360966</v>
      </c>
    </row>
    <row r="34" spans="1:6" ht="12.75">
      <c r="A34" s="2">
        <f>'Purchased Power Model'!A101</f>
        <v>38047</v>
      </c>
      <c r="B34" s="48">
        <f>'Purchased Power Model'!E101</f>
        <v>100169246.38921793</v>
      </c>
      <c r="C34" s="221">
        <f>'Purchased Power Model'!O101</f>
        <v>96684754.2299363</v>
      </c>
      <c r="D34" s="48">
        <f t="shared" si="0"/>
        <v>3484492.1592816263</v>
      </c>
      <c r="E34" s="48">
        <f t="shared" si="1"/>
        <v>3484492.1592816263</v>
      </c>
      <c r="F34">
        <f t="shared" si="2"/>
        <v>0.0347860474635326</v>
      </c>
    </row>
    <row r="35" spans="1:6" ht="12.75">
      <c r="A35" s="2">
        <f>'Purchased Power Model'!A102</f>
        <v>38078</v>
      </c>
      <c r="B35" s="48">
        <f>'Purchased Power Model'!E102</f>
        <v>89485332.90863304</v>
      </c>
      <c r="C35" s="221">
        <f>'Purchased Power Model'!O102</f>
        <v>90694675.64154866</v>
      </c>
      <c r="D35" s="48">
        <f t="shared" si="0"/>
        <v>-1209342.732915625</v>
      </c>
      <c r="E35" s="48">
        <f t="shared" si="1"/>
        <v>1209342.732915625</v>
      </c>
      <c r="F35">
        <f t="shared" si="2"/>
        <v>0.013514424024665548</v>
      </c>
    </row>
    <row r="36" spans="1:6" ht="12.75">
      <c r="A36" s="2">
        <f>'Purchased Power Model'!A103</f>
        <v>38108</v>
      </c>
      <c r="B36" s="48">
        <f>'Purchased Power Model'!E103</f>
        <v>90686143.15718225</v>
      </c>
      <c r="C36" s="221">
        <f>'Purchased Power Model'!O103</f>
        <v>89746284.47054502</v>
      </c>
      <c r="D36" s="48">
        <f t="shared" si="0"/>
        <v>939858.6866372228</v>
      </c>
      <c r="E36" s="48">
        <f t="shared" si="1"/>
        <v>939858.6866372228</v>
      </c>
      <c r="F36">
        <f t="shared" si="2"/>
        <v>0.010363862150452331</v>
      </c>
    </row>
    <row r="37" spans="1:6" ht="12.75">
      <c r="A37" s="2">
        <f>'Purchased Power Model'!A104</f>
        <v>38139</v>
      </c>
      <c r="B37" s="48">
        <f>'Purchased Power Model'!E104</f>
        <v>96517444.23320028</v>
      </c>
      <c r="C37" s="221">
        <f>'Purchased Power Model'!O104</f>
        <v>94231918.81352714</v>
      </c>
      <c r="D37" s="48">
        <f t="shared" si="0"/>
        <v>2285525.419673145</v>
      </c>
      <c r="E37" s="48">
        <f t="shared" si="1"/>
        <v>2285525.419673145</v>
      </c>
      <c r="F37">
        <f t="shared" si="2"/>
        <v>0.02367992063850117</v>
      </c>
    </row>
    <row r="38" spans="1:6" ht="12.75">
      <c r="A38" s="2">
        <f>'Purchased Power Model'!A105</f>
        <v>38169</v>
      </c>
      <c r="B38" s="48">
        <f>'Purchased Power Model'!E105</f>
        <v>110297641.91792004</v>
      </c>
      <c r="C38" s="221">
        <f>'Purchased Power Model'!O105</f>
        <v>106872523.77250387</v>
      </c>
      <c r="D38" s="48">
        <f t="shared" si="0"/>
        <v>3425118.1454161704</v>
      </c>
      <c r="E38" s="48">
        <f t="shared" si="1"/>
        <v>3425118.1454161704</v>
      </c>
      <c r="F38">
        <f t="shared" si="2"/>
        <v>0.03105341225667393</v>
      </c>
    </row>
    <row r="39" spans="1:6" ht="12.75">
      <c r="A39" s="2">
        <f>'Purchased Power Model'!A106</f>
        <v>38200</v>
      </c>
      <c r="B39" s="48">
        <f>'Purchased Power Model'!E106</f>
        <v>109063695.09172532</v>
      </c>
      <c r="C39" s="221">
        <f>'Purchased Power Model'!O106</f>
        <v>108247845.03511052</v>
      </c>
      <c r="D39" s="48">
        <f t="shared" si="0"/>
        <v>815850.0566148013</v>
      </c>
      <c r="E39" s="48">
        <f t="shared" si="1"/>
        <v>815850.0566148013</v>
      </c>
      <c r="F39">
        <f t="shared" si="2"/>
        <v>0.007480491614818761</v>
      </c>
    </row>
    <row r="40" spans="1:6" ht="12.75">
      <c r="A40" s="2">
        <f>'Purchased Power Model'!A107</f>
        <v>38231</v>
      </c>
      <c r="B40" s="48">
        <f>'Purchased Power Model'!E107</f>
        <v>103094592.03886008</v>
      </c>
      <c r="C40" s="221">
        <f>'Purchased Power Model'!O107</f>
        <v>97179968.77508923</v>
      </c>
      <c r="D40" s="48">
        <f t="shared" si="0"/>
        <v>5914623.2637708485</v>
      </c>
      <c r="E40" s="48">
        <f t="shared" si="1"/>
        <v>5914623.2637708485</v>
      </c>
      <c r="F40">
        <f t="shared" si="2"/>
        <v>0.05737083921474186</v>
      </c>
    </row>
    <row r="41" spans="1:6" ht="12.75">
      <c r="A41" s="2">
        <f>'Purchased Power Model'!A108</f>
        <v>38261</v>
      </c>
      <c r="B41" s="48">
        <f>'Purchased Power Model'!E108</f>
        <v>93329245.59290485</v>
      </c>
      <c r="C41" s="221">
        <f>'Purchased Power Model'!O108</f>
        <v>91764711.29773633</v>
      </c>
      <c r="D41" s="48">
        <f t="shared" si="0"/>
        <v>1564534.295168519</v>
      </c>
      <c r="E41" s="48">
        <f t="shared" si="1"/>
        <v>1564534.295168519</v>
      </c>
      <c r="F41">
        <f t="shared" si="2"/>
        <v>0.01676360164736464</v>
      </c>
    </row>
    <row r="42" spans="1:6" ht="12.75">
      <c r="A42" s="2">
        <f>'Purchased Power Model'!A109</f>
        <v>38292</v>
      </c>
      <c r="B42" s="48">
        <f>'Purchased Power Model'!E109</f>
        <v>94434398.73386222</v>
      </c>
      <c r="C42" s="221">
        <f>'Purchased Power Model'!O109</f>
        <v>92309735.69210562</v>
      </c>
      <c r="D42" s="48">
        <f t="shared" si="0"/>
        <v>2124663.0417566</v>
      </c>
      <c r="E42" s="48">
        <f t="shared" si="1"/>
        <v>2124663.0417566</v>
      </c>
      <c r="F42">
        <f t="shared" si="2"/>
        <v>0.022498825324703847</v>
      </c>
    </row>
    <row r="43" spans="1:6" ht="12.75">
      <c r="A43" s="2">
        <f>'Purchased Power Model'!A110</f>
        <v>38322</v>
      </c>
      <c r="B43" s="48">
        <f>'Purchased Power Model'!E110</f>
        <v>108483620.83553149</v>
      </c>
      <c r="C43" s="221">
        <f>'Purchased Power Model'!O110</f>
        <v>105647536.61305994</v>
      </c>
      <c r="D43" s="48">
        <f t="shared" si="0"/>
        <v>2836084.22247155</v>
      </c>
      <c r="E43" s="48">
        <f t="shared" si="1"/>
        <v>2836084.22247155</v>
      </c>
      <c r="F43">
        <f t="shared" si="2"/>
        <v>0.026142971635978538</v>
      </c>
    </row>
    <row r="44" spans="1:6" ht="12.75">
      <c r="A44" s="2">
        <f>'Purchased Power Model'!A111</f>
        <v>38353</v>
      </c>
      <c r="B44" s="48">
        <f>'Purchased Power Model'!E111</f>
        <v>111357551.02040815</v>
      </c>
      <c r="C44" s="221">
        <f>'Purchased Power Model'!O111</f>
        <v>108984105.71170229</v>
      </c>
      <c r="D44" s="48">
        <f t="shared" si="0"/>
        <v>2373445.3087058663</v>
      </c>
      <c r="E44" s="48">
        <f t="shared" si="1"/>
        <v>2373445.3087058663</v>
      </c>
      <c r="F44">
        <f t="shared" si="2"/>
        <v>0.021313734784549027</v>
      </c>
    </row>
    <row r="45" spans="1:6" ht="12.75">
      <c r="A45" s="2">
        <f>'Purchased Power Model'!A112</f>
        <v>38384</v>
      </c>
      <c r="B45" s="48">
        <f>'Purchased Power Model'!E112</f>
        <v>97354644.10154305</v>
      </c>
      <c r="C45" s="221">
        <f>'Purchased Power Model'!O112</f>
        <v>98407111.57552262</v>
      </c>
      <c r="D45" s="48">
        <f t="shared" si="0"/>
        <v>-1052467.4739795625</v>
      </c>
      <c r="E45" s="48">
        <f t="shared" si="1"/>
        <v>1052467.4739795625</v>
      </c>
      <c r="F45">
        <f t="shared" si="2"/>
        <v>0.010810655040573262</v>
      </c>
    </row>
    <row r="46" spans="1:6" ht="12.75">
      <c r="A46" s="2">
        <f>'Purchased Power Model'!A113</f>
        <v>38412</v>
      </c>
      <c r="B46" s="48">
        <f>'Purchased Power Model'!E113</f>
        <v>103696306.62020905</v>
      </c>
      <c r="C46" s="221">
        <f>'Purchased Power Model'!O113</f>
        <v>101672735.22537424</v>
      </c>
      <c r="D46" s="48">
        <f t="shared" si="0"/>
        <v>2023571.3948348165</v>
      </c>
      <c r="E46" s="48">
        <f t="shared" si="1"/>
        <v>2023571.3948348165</v>
      </c>
      <c r="F46">
        <f t="shared" si="2"/>
        <v>0.019514401821910683</v>
      </c>
    </row>
    <row r="47" spans="1:6" ht="12.75">
      <c r="A47" s="2">
        <f>'Purchased Power Model'!A114</f>
        <v>38443</v>
      </c>
      <c r="B47" s="48">
        <f>'Purchased Power Model'!E114</f>
        <v>91002648.0836237</v>
      </c>
      <c r="C47" s="221">
        <f>'Purchased Power Model'!O114</f>
        <v>93538147.48905732</v>
      </c>
      <c r="D47" s="48">
        <f t="shared" si="0"/>
        <v>-2535499.40543361</v>
      </c>
      <c r="E47" s="48">
        <f t="shared" si="1"/>
        <v>2535499.40543361</v>
      </c>
      <c r="F47">
        <f t="shared" si="2"/>
        <v>0.027861820054991163</v>
      </c>
    </row>
    <row r="48" spans="1:6" ht="12.75">
      <c r="A48" s="2">
        <f>'Purchased Power Model'!A115</f>
        <v>38473</v>
      </c>
      <c r="B48" s="48">
        <f>'Purchased Power Model'!E115</f>
        <v>90914554.50472873</v>
      </c>
      <c r="C48" s="221">
        <f>'Purchased Power Model'!O115</f>
        <v>93269884.60505886</v>
      </c>
      <c r="D48" s="48">
        <f t="shared" si="0"/>
        <v>-2355330.1003301293</v>
      </c>
      <c r="E48" s="48">
        <f t="shared" si="1"/>
        <v>2355330.1003301293</v>
      </c>
      <c r="F48">
        <f t="shared" si="2"/>
        <v>0.02590707410008396</v>
      </c>
    </row>
    <row r="49" spans="1:6" ht="12.75">
      <c r="A49" s="2">
        <f>'Purchased Power Model'!A116</f>
        <v>38504</v>
      </c>
      <c r="B49" s="48">
        <f>'Purchased Power Model'!E116</f>
        <v>117110313.58885016</v>
      </c>
      <c r="C49" s="221">
        <f>'Purchased Power Model'!O116</f>
        <v>112647772.85005929</v>
      </c>
      <c r="D49" s="48">
        <f t="shared" si="0"/>
        <v>4462540.73879087</v>
      </c>
      <c r="E49" s="48">
        <f t="shared" si="1"/>
        <v>4462540.73879087</v>
      </c>
      <c r="F49">
        <f t="shared" si="2"/>
        <v>0.0381054460707698</v>
      </c>
    </row>
    <row r="50" spans="1:6" ht="12.75">
      <c r="A50" s="2">
        <f>'Purchased Power Model'!A117</f>
        <v>38534</v>
      </c>
      <c r="B50" s="48">
        <f>'Purchased Power Model'!E117</f>
        <v>130492623.1956197</v>
      </c>
      <c r="C50" s="221">
        <f>'Purchased Power Model'!O117</f>
        <v>130747435.18798542</v>
      </c>
      <c r="D50" s="48">
        <f t="shared" si="0"/>
        <v>-254811.9923657179</v>
      </c>
      <c r="E50" s="48">
        <f t="shared" si="1"/>
        <v>254811.9923657179</v>
      </c>
      <c r="F50">
        <f t="shared" si="2"/>
        <v>0.0019526926973008484</v>
      </c>
    </row>
    <row r="51" spans="1:6" ht="12.75">
      <c r="A51" s="2">
        <f>'Purchased Power Model'!A118</f>
        <v>38565</v>
      </c>
      <c r="B51" s="48">
        <f>'Purchased Power Model'!E118</f>
        <v>125304430.0647088</v>
      </c>
      <c r="C51" s="221">
        <f>'Purchased Power Model'!O118</f>
        <v>127345851.89066726</v>
      </c>
      <c r="D51" s="48">
        <f t="shared" si="0"/>
        <v>-2041421.8259584606</v>
      </c>
      <c r="E51" s="48">
        <f t="shared" si="1"/>
        <v>2041421.8259584606</v>
      </c>
      <c r="F51">
        <f t="shared" si="2"/>
        <v>0.016291697148331025</v>
      </c>
    </row>
    <row r="52" spans="1:6" ht="12.75">
      <c r="A52" s="2">
        <f>'Purchased Power Model'!A119</f>
        <v>38596</v>
      </c>
      <c r="B52" s="48">
        <f>'Purchased Power Model'!E119</f>
        <v>103515709.3081135</v>
      </c>
      <c r="C52" s="221">
        <f>'Purchased Power Model'!O119</f>
        <v>102003965.90108486</v>
      </c>
      <c r="D52" s="48">
        <f t="shared" si="0"/>
        <v>1511743.4070286453</v>
      </c>
      <c r="E52" s="48">
        <f t="shared" si="1"/>
        <v>1511743.4070286453</v>
      </c>
      <c r="F52">
        <f t="shared" si="2"/>
        <v>0.014603999886905627</v>
      </c>
    </row>
    <row r="53" spans="1:6" ht="12.75">
      <c r="A53" s="2">
        <f>'Purchased Power Model'!A120</f>
        <v>38626</v>
      </c>
      <c r="B53" s="48">
        <f>'Purchased Power Model'!E120</f>
        <v>95683703.33499254</v>
      </c>
      <c r="C53" s="221">
        <f>'Purchased Power Model'!O120</f>
        <v>97174573.79781748</v>
      </c>
      <c r="D53" s="48">
        <f t="shared" si="0"/>
        <v>-1490870.4628249407</v>
      </c>
      <c r="E53" s="48">
        <f t="shared" si="1"/>
        <v>1490870.4628249407</v>
      </c>
      <c r="F53">
        <f t="shared" si="2"/>
        <v>0.015581237043107984</v>
      </c>
    </row>
    <row r="54" spans="1:6" ht="12.75">
      <c r="A54" s="2">
        <f>'Purchased Power Model'!A121</f>
        <v>38657</v>
      </c>
      <c r="B54" s="48">
        <f>'Purchased Power Model'!E121</f>
        <v>95832424.09158786</v>
      </c>
      <c r="C54" s="221">
        <f>'Purchased Power Model'!O121</f>
        <v>95728817.88839538</v>
      </c>
      <c r="D54" s="48">
        <f t="shared" si="0"/>
        <v>103606.20319247246</v>
      </c>
      <c r="E54" s="48">
        <f t="shared" si="1"/>
        <v>103606.20319247246</v>
      </c>
      <c r="F54">
        <f t="shared" si="2"/>
        <v>0.0010811184645966498</v>
      </c>
    </row>
    <row r="55" spans="1:6" ht="12.75">
      <c r="A55" s="2">
        <f>'Purchased Power Model'!A122</f>
        <v>38687</v>
      </c>
      <c r="B55" s="48">
        <f>'Purchased Power Model'!E122</f>
        <v>109926431.06022897</v>
      </c>
      <c r="C55" s="221">
        <f>'Purchased Power Model'!O122</f>
        <v>110203773.87443286</v>
      </c>
      <c r="D55" s="48">
        <f t="shared" si="0"/>
        <v>-277342.8142038882</v>
      </c>
      <c r="E55" s="48">
        <f t="shared" si="1"/>
        <v>277342.8142038882</v>
      </c>
      <c r="F55">
        <f t="shared" si="2"/>
        <v>0.0025229857053389766</v>
      </c>
    </row>
    <row r="56" spans="1:6" ht="12.75">
      <c r="A56" s="2">
        <f>'Purchased Power Model'!A123</f>
        <v>38718</v>
      </c>
      <c r="B56" s="48">
        <f>'Purchased Power Model'!E123</f>
        <v>105189785.96316576</v>
      </c>
      <c r="C56" s="221">
        <f>'Purchased Power Model'!O123</f>
        <v>107357385.6322808</v>
      </c>
      <c r="D56" s="48">
        <f t="shared" si="0"/>
        <v>-2167599.6691150367</v>
      </c>
      <c r="E56" s="48">
        <f t="shared" si="1"/>
        <v>2167599.6691150367</v>
      </c>
      <c r="F56">
        <f t="shared" si="2"/>
        <v>0.0206065603163606</v>
      </c>
    </row>
    <row r="57" spans="1:6" ht="12.75">
      <c r="A57" s="2">
        <f>'Purchased Power Model'!A124</f>
        <v>38749</v>
      </c>
      <c r="B57" s="48">
        <f>'Purchased Power Model'!E124</f>
        <v>97673987.05823794</v>
      </c>
      <c r="C57" s="221">
        <f>'Purchased Power Model'!O124</f>
        <v>100482764.93375264</v>
      </c>
      <c r="D57" s="48">
        <f t="shared" si="0"/>
        <v>-2808777.875514701</v>
      </c>
      <c r="E57" s="48">
        <f t="shared" si="1"/>
        <v>2808777.875514701</v>
      </c>
      <c r="F57">
        <f t="shared" si="2"/>
        <v>0.028756662445242172</v>
      </c>
    </row>
    <row r="58" spans="1:6" ht="12.75">
      <c r="A58" s="2">
        <f>'Purchased Power Model'!A125</f>
        <v>38777</v>
      </c>
      <c r="B58" s="48">
        <f>'Purchased Power Model'!E125</f>
        <v>102138407.16774514</v>
      </c>
      <c r="C58" s="221">
        <f>'Purchased Power Model'!O125</f>
        <v>101908985.67576334</v>
      </c>
      <c r="D58" s="48">
        <f t="shared" si="0"/>
        <v>229421.49198180437</v>
      </c>
      <c r="E58" s="48">
        <f t="shared" si="1"/>
        <v>229421.49198180437</v>
      </c>
      <c r="F58">
        <f t="shared" si="2"/>
        <v>0.002246182394493564</v>
      </c>
    </row>
    <row r="59" spans="1:6" ht="12.75">
      <c r="A59" s="2">
        <f>'Purchased Power Model'!A126</f>
        <v>38808</v>
      </c>
      <c r="B59" s="48">
        <f>'Purchased Power Model'!E126</f>
        <v>89654385.26630163</v>
      </c>
      <c r="C59" s="221">
        <f>'Purchased Power Model'!O126</f>
        <v>94613806.72541684</v>
      </c>
      <c r="D59" s="48">
        <f t="shared" si="0"/>
        <v>-4959421.459115207</v>
      </c>
      <c r="E59" s="48">
        <f t="shared" si="1"/>
        <v>4959421.459115207</v>
      </c>
      <c r="F59">
        <f t="shared" si="2"/>
        <v>0.0553171096358998</v>
      </c>
    </row>
    <row r="60" spans="1:6" ht="12.75">
      <c r="A60" s="2">
        <f>'Purchased Power Model'!A127</f>
        <v>38838</v>
      </c>
      <c r="B60" s="48">
        <f>'Purchased Power Model'!E127</f>
        <v>96375370.83125934</v>
      </c>
      <c r="C60" s="221">
        <f>'Purchased Power Model'!O127</f>
        <v>99405717.52029923</v>
      </c>
      <c r="D60" s="48">
        <f t="shared" si="0"/>
        <v>-3030346.689039886</v>
      </c>
      <c r="E60" s="48">
        <f t="shared" si="1"/>
        <v>3030346.689039886</v>
      </c>
      <c r="F60">
        <f t="shared" si="2"/>
        <v>0.03144316502133752</v>
      </c>
    </row>
    <row r="61" spans="1:6" ht="12.75">
      <c r="A61" s="2">
        <f>'Purchased Power Model'!A128</f>
        <v>38869</v>
      </c>
      <c r="B61" s="48">
        <f>'Purchased Power Model'!E128</f>
        <v>106149795.91836734</v>
      </c>
      <c r="C61" s="221">
        <f>'Purchased Power Model'!O128</f>
        <v>106205378.43206474</v>
      </c>
      <c r="D61" s="48">
        <f t="shared" si="0"/>
        <v>-55582.51369740069</v>
      </c>
      <c r="E61" s="48">
        <f t="shared" si="1"/>
        <v>55582.51369740069</v>
      </c>
      <c r="F61">
        <f t="shared" si="2"/>
        <v>0.00052362336843441</v>
      </c>
    </row>
    <row r="62" spans="1:6" ht="12.75">
      <c r="A62" s="2">
        <f>'Purchased Power Model'!A129</f>
        <v>38899</v>
      </c>
      <c r="B62" s="48">
        <f>'Purchased Power Model'!E129</f>
        <v>129944897.9591837</v>
      </c>
      <c r="C62" s="221">
        <f>'Purchased Power Model'!O129</f>
        <v>129266321.07280113</v>
      </c>
      <c r="D62" s="48">
        <f t="shared" si="0"/>
        <v>678576.8863825649</v>
      </c>
      <c r="E62" s="48">
        <f t="shared" si="1"/>
        <v>678576.8863825649</v>
      </c>
      <c r="F62">
        <f t="shared" si="2"/>
        <v>0.005222035624636137</v>
      </c>
    </row>
    <row r="63" spans="1:6" ht="12.75">
      <c r="A63" s="2">
        <f>'Purchased Power Model'!A130</f>
        <v>38930</v>
      </c>
      <c r="B63" s="48">
        <f>'Purchased Power Model'!E130</f>
        <v>120333539.07416625</v>
      </c>
      <c r="C63" s="221">
        <f>'Purchased Power Model'!O130</f>
        <v>116549328.93159042</v>
      </c>
      <c r="D63" s="48">
        <f t="shared" si="0"/>
        <v>3784210.14257583</v>
      </c>
      <c r="E63" s="48">
        <f t="shared" si="1"/>
        <v>3784210.14257583</v>
      </c>
      <c r="F63">
        <f t="shared" si="2"/>
        <v>0.03144767594879325</v>
      </c>
    </row>
    <row r="64" spans="1:6" ht="12.75">
      <c r="A64" s="2">
        <f>'Purchased Power Model'!A131</f>
        <v>38961</v>
      </c>
      <c r="B64" s="48">
        <f>'Purchased Power Model'!E131</f>
        <v>95914534.59432554</v>
      </c>
      <c r="C64" s="221">
        <f>'Purchased Power Model'!O131</f>
        <v>92471654.79754901</v>
      </c>
      <c r="D64" s="48">
        <f t="shared" si="0"/>
        <v>3442879.796776533</v>
      </c>
      <c r="E64" s="48">
        <f t="shared" si="1"/>
        <v>3442879.796776533</v>
      </c>
      <c r="F64">
        <f t="shared" si="2"/>
        <v>0.03589528752173312</v>
      </c>
    </row>
    <row r="65" spans="1:6" ht="12.75">
      <c r="A65" s="2">
        <f>'Purchased Power Model'!A132</f>
        <v>38991</v>
      </c>
      <c r="B65" s="48">
        <f>'Purchased Power Model'!E132</f>
        <v>99436286.70980588</v>
      </c>
      <c r="C65" s="221">
        <f>'Purchased Power Model'!O132</f>
        <v>96515701.9205783</v>
      </c>
      <c r="D65" s="48">
        <f t="shared" si="0"/>
        <v>2920584.789227575</v>
      </c>
      <c r="E65" s="48">
        <f t="shared" si="1"/>
        <v>2920584.789227575</v>
      </c>
      <c r="F65">
        <f t="shared" si="2"/>
        <v>0.029371418481776056</v>
      </c>
    </row>
    <row r="66" spans="1:6" ht="12.75">
      <c r="A66" s="2">
        <f>'Purchased Power Model'!A133</f>
        <v>39022</v>
      </c>
      <c r="B66" s="48">
        <f>'Purchased Power Model'!E133</f>
        <v>98699342.95669487</v>
      </c>
      <c r="C66" s="221">
        <f>'Purchased Power Model'!O133</f>
        <v>96492799.2421257</v>
      </c>
      <c r="D66" s="48">
        <f t="shared" si="0"/>
        <v>2206543.7145691663</v>
      </c>
      <c r="E66" s="48">
        <f t="shared" si="1"/>
        <v>2206543.7145691663</v>
      </c>
      <c r="F66">
        <f t="shared" si="2"/>
        <v>0.022356214828474646</v>
      </c>
    </row>
    <row r="67" spans="1:6" ht="12.75">
      <c r="A67" s="2">
        <f>'Purchased Power Model'!A134</f>
        <v>39052</v>
      </c>
      <c r="B67" s="48">
        <f>'Purchased Power Model'!E134</f>
        <v>106547506.22200099</v>
      </c>
      <c r="C67" s="221">
        <f>'Purchased Power Model'!O134</f>
        <v>106719631.6313867</v>
      </c>
      <c r="D67" s="48">
        <f t="shared" si="0"/>
        <v>-172125.40938571095</v>
      </c>
      <c r="E67" s="48">
        <f t="shared" si="1"/>
        <v>172125.40938571095</v>
      </c>
      <c r="F67">
        <f t="shared" si="2"/>
        <v>0.0016154804132822473</v>
      </c>
    </row>
    <row r="68" spans="1:6" ht="12.75">
      <c r="A68" s="2">
        <f>'Purchased Power Model'!A135</f>
        <v>39083</v>
      </c>
      <c r="B68" s="48">
        <f>'Purchased Power Model'!E135</f>
        <v>110076804.3802887</v>
      </c>
      <c r="C68" s="221">
        <f>'Purchased Power Model'!O135</f>
        <v>110021655.28588508</v>
      </c>
      <c r="D68" s="48">
        <f t="shared" si="0"/>
        <v>55149.094403624535</v>
      </c>
      <c r="E68" s="48">
        <f t="shared" si="1"/>
        <v>55149.094403624535</v>
      </c>
      <c r="F68">
        <f t="shared" si="2"/>
        <v>0.0005010055907246159</v>
      </c>
    </row>
    <row r="69" spans="1:6" ht="12.75">
      <c r="A69" s="2">
        <f>'Purchased Power Model'!A136</f>
        <v>39114</v>
      </c>
      <c r="B69" s="48">
        <f>'Purchased Power Model'!E136</f>
        <v>106214902.93678446</v>
      </c>
      <c r="C69" s="221">
        <f>'Purchased Power Model'!O136</f>
        <v>103950099.96024266</v>
      </c>
      <c r="D69" s="48">
        <f t="shared" si="0"/>
        <v>2264802.9765418023</v>
      </c>
      <c r="E69" s="48">
        <f t="shared" si="1"/>
        <v>2264802.9765418023</v>
      </c>
      <c r="F69">
        <f t="shared" si="2"/>
        <v>0.0213228361926738</v>
      </c>
    </row>
    <row r="70" spans="1:6" ht="12.75">
      <c r="A70" s="2">
        <f>'Purchased Power Model'!A137</f>
        <v>39142</v>
      </c>
      <c r="B70" s="48">
        <f>'Purchased Power Model'!E137</f>
        <v>105901314.08661026</v>
      </c>
      <c r="C70" s="221">
        <f>'Purchased Power Model'!O137</f>
        <v>103679816.59365427</v>
      </c>
      <c r="D70" s="48">
        <f t="shared" si="0"/>
        <v>2221497.4929559827</v>
      </c>
      <c r="E70" s="48">
        <f t="shared" si="1"/>
        <v>2221497.4929559827</v>
      </c>
      <c r="F70">
        <f t="shared" si="2"/>
        <v>0.020977053137784057</v>
      </c>
    </row>
    <row r="71" spans="1:6" ht="12.75">
      <c r="A71" s="2">
        <f>'Purchased Power Model'!A138</f>
        <v>39173</v>
      </c>
      <c r="B71" s="48">
        <f>'Purchased Power Model'!E138</f>
        <v>96871139.87058239</v>
      </c>
      <c r="C71" s="221">
        <f>'Purchased Power Model'!O138</f>
        <v>97263819.57211298</v>
      </c>
      <c r="D71" s="48">
        <f t="shared" si="0"/>
        <v>-392679.70153059065</v>
      </c>
      <c r="E71" s="48">
        <f t="shared" si="1"/>
        <v>392679.70153059065</v>
      </c>
      <c r="F71">
        <f t="shared" si="2"/>
        <v>0.004053629409700368</v>
      </c>
    </row>
    <row r="72" spans="1:6" ht="12.75">
      <c r="A72" s="2">
        <f>'Purchased Power Model'!A139</f>
        <v>39203</v>
      </c>
      <c r="B72" s="48">
        <f>'Purchased Power Model'!E139</f>
        <v>96387834.74365357</v>
      </c>
      <c r="C72" s="221">
        <f>'Purchased Power Model'!O139</f>
        <v>97755196.87730177</v>
      </c>
      <c r="D72" s="48">
        <f t="shared" si="0"/>
        <v>-1367362.1336482018</v>
      </c>
      <c r="E72" s="48">
        <f t="shared" si="1"/>
        <v>1367362.1336482018</v>
      </c>
      <c r="F72">
        <f t="shared" si="2"/>
        <v>0.014186044714924283</v>
      </c>
    </row>
    <row r="73" spans="1:6" ht="12.75">
      <c r="A73" s="2">
        <f>'Purchased Power Model'!A140</f>
        <v>39234</v>
      </c>
      <c r="B73" s="48">
        <f>'Purchased Power Model'!E140</f>
        <v>113036515.67944252</v>
      </c>
      <c r="C73" s="221">
        <f>'Purchased Power Model'!O140</f>
        <v>110272623.38171062</v>
      </c>
      <c r="D73" s="48">
        <f aca="true" t="shared" si="3" ref="D73:D136">B73-C73</f>
        <v>2763892.297731906</v>
      </c>
      <c r="E73" s="48">
        <f aca="true" t="shared" si="4" ref="E73:E136">ABS(D73)</f>
        <v>2763892.297731906</v>
      </c>
      <c r="F73">
        <f aca="true" t="shared" si="5" ref="F73:F136">E73/B73</f>
        <v>0.02445132248741602</v>
      </c>
    </row>
    <row r="74" spans="1:6" ht="12.75">
      <c r="A74" s="2">
        <f>'Purchased Power Model'!A141</f>
        <v>39264</v>
      </c>
      <c r="B74" s="48">
        <f>'Purchased Power Model'!E141</f>
        <v>116239482.32951717</v>
      </c>
      <c r="C74" s="221">
        <f>'Purchased Power Model'!O141</f>
        <v>118303843.63639137</v>
      </c>
      <c r="D74" s="48">
        <f t="shared" si="3"/>
        <v>-2064361.3068742007</v>
      </c>
      <c r="E74" s="48">
        <f t="shared" si="4"/>
        <v>2064361.3068742007</v>
      </c>
      <c r="F74">
        <f t="shared" si="5"/>
        <v>0.017759553514029965</v>
      </c>
    </row>
    <row r="75" spans="1:6" ht="12.75">
      <c r="A75" s="2">
        <f>'Purchased Power Model'!A142</f>
        <v>39295</v>
      </c>
      <c r="B75" s="48">
        <f>'Purchased Power Model'!E142</f>
        <v>124879950.22399203</v>
      </c>
      <c r="C75" s="221">
        <f>'Purchased Power Model'!O142</f>
        <v>125343181.34297721</v>
      </c>
      <c r="D75" s="48">
        <f t="shared" si="3"/>
        <v>-463231.1189851761</v>
      </c>
      <c r="E75" s="48">
        <f t="shared" si="4"/>
        <v>463231.1189851761</v>
      </c>
      <c r="F75">
        <f t="shared" si="5"/>
        <v>0.0037094114640044097</v>
      </c>
    </row>
    <row r="76" spans="1:6" ht="12.75">
      <c r="A76" s="2">
        <f>'Purchased Power Model'!A143</f>
        <v>39326</v>
      </c>
      <c r="B76" s="48">
        <f>'Purchased Power Model'!E143</f>
        <v>104023175.70930812</v>
      </c>
      <c r="C76" s="221">
        <f>'Purchased Power Model'!O143</f>
        <v>100204827.64063156</v>
      </c>
      <c r="D76" s="48">
        <f t="shared" si="3"/>
        <v>3818348.068676561</v>
      </c>
      <c r="E76" s="48">
        <f t="shared" si="4"/>
        <v>3818348.068676561</v>
      </c>
      <c r="F76">
        <f t="shared" si="5"/>
        <v>0.03670670543021012</v>
      </c>
    </row>
    <row r="77" spans="1:6" ht="12.75">
      <c r="A77" s="2">
        <f>'Purchased Power Model'!A144</f>
        <v>39356</v>
      </c>
      <c r="B77" s="48">
        <f>'Purchased Power Model'!E144</f>
        <v>99226202.09059234</v>
      </c>
      <c r="C77" s="221">
        <f>'Purchased Power Model'!O144</f>
        <v>98041030.92792633</v>
      </c>
      <c r="D77" s="48">
        <f t="shared" si="3"/>
        <v>1185171.1626660079</v>
      </c>
      <c r="E77" s="48">
        <f t="shared" si="4"/>
        <v>1185171.1626660079</v>
      </c>
      <c r="F77">
        <f t="shared" si="5"/>
        <v>0.011944135094316728</v>
      </c>
    </row>
    <row r="78" spans="1:6" ht="12.75">
      <c r="A78" s="2">
        <f>'Purchased Power Model'!A145</f>
        <v>39387</v>
      </c>
      <c r="B78" s="48">
        <f>'Purchased Power Model'!E145</f>
        <v>100079143.85266301</v>
      </c>
      <c r="C78" s="221">
        <f>'Purchased Power Model'!O145</f>
        <v>98124941.72462621</v>
      </c>
      <c r="D78" s="48">
        <f t="shared" si="3"/>
        <v>1954202.128036797</v>
      </c>
      <c r="E78" s="48">
        <f t="shared" si="4"/>
        <v>1954202.128036797</v>
      </c>
      <c r="F78">
        <f t="shared" si="5"/>
        <v>0.01952656720279085</v>
      </c>
    </row>
    <row r="79" spans="1:6" ht="12.75">
      <c r="A79" s="2">
        <f>'Purchased Power Model'!A146</f>
        <v>39417</v>
      </c>
      <c r="B79" s="48">
        <f>'Purchased Power Model'!E146</f>
        <v>110979900.44798407</v>
      </c>
      <c r="C79" s="221">
        <f>'Purchased Power Model'!O146</f>
        <v>110208194.40578744</v>
      </c>
      <c r="D79" s="48">
        <f t="shared" si="3"/>
        <v>771706.0421966314</v>
      </c>
      <c r="E79" s="48">
        <f t="shared" si="4"/>
        <v>771706.0421966314</v>
      </c>
      <c r="F79">
        <f t="shared" si="5"/>
        <v>0.0069535658176079155</v>
      </c>
    </row>
    <row r="80" spans="1:6" ht="12.75">
      <c r="A80" s="2">
        <f>'Purchased Power Model'!A147</f>
        <v>39448</v>
      </c>
      <c r="B80" s="48">
        <f>'Purchased Power Model'!E147</f>
        <v>109511197.84635808</v>
      </c>
      <c r="C80" s="221">
        <f>'Purchased Power Model'!O147</f>
        <v>110061170.2969209</v>
      </c>
      <c r="D80" s="48">
        <f t="shared" si="3"/>
        <v>-549972.4505628198</v>
      </c>
      <c r="E80" s="48">
        <f t="shared" si="4"/>
        <v>549972.4505628198</v>
      </c>
      <c r="F80">
        <f t="shared" si="5"/>
        <v>0.005022065883476316</v>
      </c>
    </row>
    <row r="81" spans="1:6" ht="12.75">
      <c r="A81" s="2">
        <f>'Purchased Power Model'!A148</f>
        <v>39479</v>
      </c>
      <c r="B81" s="48">
        <f>'Purchased Power Model'!E148</f>
        <v>104697001.72888668</v>
      </c>
      <c r="C81" s="221">
        <f>'Purchased Power Model'!O148</f>
        <v>105568825.89020468</v>
      </c>
      <c r="D81" s="48">
        <f t="shared" si="3"/>
        <v>-871824.1613180041</v>
      </c>
      <c r="E81" s="48">
        <f t="shared" si="4"/>
        <v>871824.1613180041</v>
      </c>
      <c r="F81">
        <f t="shared" si="5"/>
        <v>0.008327116793426391</v>
      </c>
    </row>
    <row r="82" spans="1:6" ht="12.75">
      <c r="A82" s="2">
        <f>'Purchased Power Model'!A149</f>
        <v>39508</v>
      </c>
      <c r="B82" s="48">
        <f>'Purchased Power Model'!E149</f>
        <v>105342735.92500415</v>
      </c>
      <c r="C82" s="221">
        <f>'Purchased Power Model'!O149</f>
        <v>104754545.5029873</v>
      </c>
      <c r="D82" s="48">
        <f t="shared" si="3"/>
        <v>588190.422016859</v>
      </c>
      <c r="E82" s="48">
        <f t="shared" si="4"/>
        <v>588190.422016859</v>
      </c>
      <c r="F82">
        <f t="shared" si="5"/>
        <v>0.005583587865380722</v>
      </c>
    </row>
    <row r="83" spans="1:6" ht="12.75">
      <c r="A83" s="2">
        <f>'Purchased Power Model'!A150</f>
        <v>39539</v>
      </c>
      <c r="B83" s="48">
        <f>'Purchased Power Model'!E150</f>
        <v>86730112.72938445</v>
      </c>
      <c r="C83" s="221">
        <f>'Purchased Power Model'!O150</f>
        <v>96023882.93855846</v>
      </c>
      <c r="D83" s="48">
        <f t="shared" si="3"/>
        <v>-9293770.209174007</v>
      </c>
      <c r="E83" s="48">
        <f t="shared" si="4"/>
        <v>9293770.209174007</v>
      </c>
      <c r="F83">
        <f t="shared" si="5"/>
        <v>0.1071573634196978</v>
      </c>
    </row>
    <row r="84" spans="1:6" ht="12.75">
      <c r="A84" s="2">
        <f>'Purchased Power Model'!A151</f>
        <v>39569</v>
      </c>
      <c r="B84" s="48">
        <f>'Purchased Power Model'!E151</f>
        <v>95591665.74083292</v>
      </c>
      <c r="C84" s="221">
        <f>'Purchased Power Model'!O151</f>
        <v>95967362.8683033</v>
      </c>
      <c r="D84" s="48">
        <f t="shared" si="3"/>
        <v>-375697.1274703741</v>
      </c>
      <c r="E84" s="48">
        <f t="shared" si="4"/>
        <v>375697.1274703741</v>
      </c>
      <c r="F84">
        <f t="shared" si="5"/>
        <v>0.003930228901847573</v>
      </c>
    </row>
    <row r="85" spans="1:6" ht="12.75">
      <c r="A85" s="2">
        <f>'Purchased Power Model'!A152</f>
        <v>39600</v>
      </c>
      <c r="B85" s="48">
        <f>'Purchased Power Model'!E152</f>
        <v>106359410.88767216</v>
      </c>
      <c r="C85" s="221">
        <f>'Purchased Power Model'!O152</f>
        <v>106894294.62972808</v>
      </c>
      <c r="D85" s="48">
        <f t="shared" si="3"/>
        <v>-534883.7420559227</v>
      </c>
      <c r="E85" s="48">
        <f t="shared" si="4"/>
        <v>534883.7420559227</v>
      </c>
      <c r="F85">
        <f t="shared" si="5"/>
        <v>0.0050290212929142855</v>
      </c>
    </row>
    <row r="86" spans="1:6" ht="12.75">
      <c r="A86" s="2">
        <f>'Purchased Power Model'!A153</f>
        <v>39630</v>
      </c>
      <c r="B86" s="48">
        <f>'Purchased Power Model'!E153</f>
        <v>120281780.22565123</v>
      </c>
      <c r="C86" s="221">
        <f>'Purchased Power Model'!O153</f>
        <v>119593978.44985697</v>
      </c>
      <c r="D86" s="48">
        <f t="shared" si="3"/>
        <v>687801.7757942677</v>
      </c>
      <c r="E86" s="48">
        <f t="shared" si="4"/>
        <v>687801.7757942677</v>
      </c>
      <c r="F86">
        <f t="shared" si="5"/>
        <v>0.005718254040669639</v>
      </c>
    </row>
    <row r="87" spans="1:6" ht="12.75">
      <c r="A87" s="2">
        <f>'Purchased Power Model'!A154</f>
        <v>39661</v>
      </c>
      <c r="B87" s="48">
        <f>'Purchased Power Model'!E154</f>
        <v>112895209.79259998</v>
      </c>
      <c r="C87" s="221">
        <f>'Purchased Power Model'!O154</f>
        <v>113616634.09252451</v>
      </c>
      <c r="D87" s="48">
        <f t="shared" si="3"/>
        <v>-721424.2999245375</v>
      </c>
      <c r="E87" s="48">
        <f t="shared" si="4"/>
        <v>721424.2999245375</v>
      </c>
      <c r="F87">
        <f t="shared" si="5"/>
        <v>0.006390211783563427</v>
      </c>
    </row>
    <row r="88" spans="1:6" ht="12.75">
      <c r="A88" s="2">
        <f>'Purchased Power Model'!A155</f>
        <v>39692</v>
      </c>
      <c r="B88" s="48">
        <f>'Purchased Power Model'!E155</f>
        <v>101394891.22614901</v>
      </c>
      <c r="C88" s="221">
        <f>'Purchased Power Model'!O155</f>
        <v>97441355.99373972</v>
      </c>
      <c r="D88" s="48">
        <f t="shared" si="3"/>
        <v>3953535.2324092835</v>
      </c>
      <c r="E88" s="48">
        <f t="shared" si="4"/>
        <v>3953535.2324092835</v>
      </c>
      <c r="F88">
        <f t="shared" si="5"/>
        <v>0.03899146381637121</v>
      </c>
    </row>
    <row r="89" spans="1:6" ht="12.75">
      <c r="A89" s="2">
        <f>'Purchased Power Model'!A156</f>
        <v>39722</v>
      </c>
      <c r="B89" s="48">
        <f>'Purchased Power Model'!E156</f>
        <v>95461451.70399868</v>
      </c>
      <c r="C89" s="221">
        <f>'Purchased Power Model'!O156</f>
        <v>96244393.783442</v>
      </c>
      <c r="D89" s="48">
        <f t="shared" si="3"/>
        <v>-782942.0794433206</v>
      </c>
      <c r="E89" s="48">
        <f t="shared" si="4"/>
        <v>782942.0794433206</v>
      </c>
      <c r="F89">
        <f t="shared" si="5"/>
        <v>0.008201656956475184</v>
      </c>
    </row>
    <row r="90" spans="1:6" ht="12.75">
      <c r="A90" s="2">
        <f>'Purchased Power Model'!A157</f>
        <v>39753</v>
      </c>
      <c r="B90" s="48">
        <f>'Purchased Power Model'!E157</f>
        <v>97537399.9369504</v>
      </c>
      <c r="C90" s="221">
        <f>'Purchased Power Model'!O157</f>
        <v>98690050.19774494</v>
      </c>
      <c r="D90" s="48">
        <f t="shared" si="3"/>
        <v>-1152650.2607945353</v>
      </c>
      <c r="E90" s="48">
        <f t="shared" si="4"/>
        <v>1152650.2607945353</v>
      </c>
      <c r="F90">
        <f t="shared" si="5"/>
        <v>0.011817520884702948</v>
      </c>
    </row>
    <row r="91" spans="1:6" ht="12.75">
      <c r="A91" s="2">
        <f>'Purchased Power Model'!A158</f>
        <v>39783</v>
      </c>
      <c r="B91" s="48">
        <f>'Purchased Power Model'!E158</f>
        <v>111557280.4745313</v>
      </c>
      <c r="C91" s="221">
        <f>'Purchased Power Model'!O158</f>
        <v>111130082.91151533</v>
      </c>
      <c r="D91" s="48">
        <f t="shared" si="3"/>
        <v>427197.5630159676</v>
      </c>
      <c r="E91" s="48">
        <f t="shared" si="4"/>
        <v>427197.5630159676</v>
      </c>
      <c r="F91">
        <f t="shared" si="5"/>
        <v>0.003829401014427718</v>
      </c>
    </row>
    <row r="92" spans="1:6" ht="12.75">
      <c r="A92" s="2">
        <f>'Purchased Power Model'!A159</f>
        <v>39814</v>
      </c>
      <c r="B92" s="48">
        <f>'Purchased Power Model'!E159</f>
        <v>117644798.53857641</v>
      </c>
      <c r="C92" s="221">
        <f>'Purchased Power Model'!O159</f>
        <v>113450722.55623862</v>
      </c>
      <c r="D92" s="48">
        <f t="shared" si="3"/>
        <v>4194075.9823377877</v>
      </c>
      <c r="E92" s="48">
        <f t="shared" si="4"/>
        <v>4194075.9823377877</v>
      </c>
      <c r="F92">
        <f t="shared" si="5"/>
        <v>0.035650330779074146</v>
      </c>
    </row>
    <row r="93" spans="1:6" ht="12.75">
      <c r="A93" s="2">
        <f>'Purchased Power Model'!A160</f>
        <v>39845</v>
      </c>
      <c r="B93" s="48">
        <f>'Purchased Power Model'!E160</f>
        <v>97575928.4539572</v>
      </c>
      <c r="C93" s="221">
        <f>'Purchased Power Model'!O160</f>
        <v>100561362.14273721</v>
      </c>
      <c r="D93" s="48">
        <f t="shared" si="3"/>
        <v>-2985433.6887800097</v>
      </c>
      <c r="E93" s="48">
        <f t="shared" si="4"/>
        <v>2985433.6887800097</v>
      </c>
      <c r="F93">
        <f t="shared" si="5"/>
        <v>0.030596005962564173</v>
      </c>
    </row>
    <row r="94" spans="1:6" ht="12.75">
      <c r="A94" s="2">
        <f>'Purchased Power Model'!A161</f>
        <v>39873</v>
      </c>
      <c r="B94" s="48">
        <f>'Purchased Power Model'!E161</f>
        <v>101971896.59731211</v>
      </c>
      <c r="C94" s="221">
        <f>'Purchased Power Model'!O161</f>
        <v>102830699.32084249</v>
      </c>
      <c r="D94" s="48">
        <f t="shared" si="3"/>
        <v>-858802.7235303819</v>
      </c>
      <c r="E94" s="48">
        <f t="shared" si="4"/>
        <v>858802.7235303819</v>
      </c>
      <c r="F94">
        <f t="shared" si="5"/>
        <v>0.008421954991401222</v>
      </c>
    </row>
    <row r="95" spans="1:6" ht="12.75">
      <c r="A95" s="2">
        <f>'Purchased Power Model'!A162</f>
        <v>39904</v>
      </c>
      <c r="B95" s="48">
        <f>'Purchased Power Model'!E162</f>
        <v>92172702.96864112</v>
      </c>
      <c r="C95" s="221">
        <f>'Purchased Power Model'!O162</f>
        <v>95155861.16633576</v>
      </c>
      <c r="D95" s="48">
        <f t="shared" si="3"/>
        <v>-2983158.1976946443</v>
      </c>
      <c r="E95" s="48">
        <f t="shared" si="4"/>
        <v>2983158.1976946443</v>
      </c>
      <c r="F95">
        <f t="shared" si="5"/>
        <v>0.03236487703642119</v>
      </c>
    </row>
    <row r="96" spans="1:6" ht="12.75">
      <c r="A96" s="2">
        <f>'Purchased Power Model'!A163</f>
        <v>39934</v>
      </c>
      <c r="B96" s="48">
        <f>'Purchased Power Model'!E163</f>
        <v>90679049.02676417</v>
      </c>
      <c r="C96" s="221">
        <f>'Purchased Power Model'!O163</f>
        <v>94438859.93865699</v>
      </c>
      <c r="D96" s="48">
        <f t="shared" si="3"/>
        <v>-3759810.9118928164</v>
      </c>
      <c r="E96" s="48">
        <f t="shared" si="4"/>
        <v>3759810.9118928164</v>
      </c>
      <c r="F96">
        <f t="shared" si="5"/>
        <v>0.041462840118483134</v>
      </c>
    </row>
    <row r="97" spans="1:6" ht="12.75">
      <c r="A97" s="2">
        <f>'Purchased Power Model'!A164</f>
        <v>39965</v>
      </c>
      <c r="B97" s="48">
        <f>'Purchased Power Model'!E164</f>
        <v>97810557.2398055</v>
      </c>
      <c r="C97" s="221">
        <f>'Purchased Power Model'!O164</f>
        <v>100214665.07988475</v>
      </c>
      <c r="D97" s="48">
        <f t="shared" si="3"/>
        <v>-2404107.840079248</v>
      </c>
      <c r="E97" s="48">
        <f t="shared" si="4"/>
        <v>2404107.840079248</v>
      </c>
      <c r="F97">
        <f t="shared" si="5"/>
        <v>0.024579226495816953</v>
      </c>
    </row>
    <row r="98" spans="1:6" ht="12.75">
      <c r="A98" s="2">
        <f>'Purchased Power Model'!A165</f>
        <v>39995</v>
      </c>
      <c r="B98" s="48">
        <f>'Purchased Power Model'!E165</f>
        <v>106317705.8403339</v>
      </c>
      <c r="C98" s="221">
        <f>'Purchased Power Model'!O165</f>
        <v>105905042.96929216</v>
      </c>
      <c r="D98" s="48">
        <f t="shared" si="3"/>
        <v>412662.87104173005</v>
      </c>
      <c r="E98" s="48">
        <f t="shared" si="4"/>
        <v>412662.87104173005</v>
      </c>
      <c r="F98">
        <f t="shared" si="5"/>
        <v>0.0038814124870363556</v>
      </c>
    </row>
    <row r="99" spans="1:6" ht="12.75">
      <c r="A99" s="2">
        <f>'Purchased Power Model'!A166</f>
        <v>40026</v>
      </c>
      <c r="B99" s="48">
        <f>'Purchased Power Model'!E166</f>
        <v>118314175.57269213</v>
      </c>
      <c r="C99" s="221">
        <f>'Purchased Power Model'!O166</f>
        <v>118400635.72920346</v>
      </c>
      <c r="D99" s="48">
        <f t="shared" si="3"/>
        <v>-86460.15651133657</v>
      </c>
      <c r="E99" s="48">
        <f t="shared" si="4"/>
        <v>86460.15651133657</v>
      </c>
      <c r="F99">
        <f t="shared" si="5"/>
        <v>0.0007307675187088256</v>
      </c>
    </row>
    <row r="100" spans="1:6" ht="12.75">
      <c r="A100" s="2">
        <f>'Purchased Power Model'!A167</f>
        <v>40057</v>
      </c>
      <c r="B100" s="48">
        <f>'Purchased Power Model'!E167</f>
        <v>96760283.4717617</v>
      </c>
      <c r="C100" s="221">
        <f>'Purchased Power Model'!O167</f>
        <v>93327097.25279525</v>
      </c>
      <c r="D100" s="48">
        <f t="shared" si="3"/>
        <v>3433186.2189664543</v>
      </c>
      <c r="E100" s="48">
        <f t="shared" si="4"/>
        <v>3433186.2189664543</v>
      </c>
      <c r="F100">
        <f t="shared" si="5"/>
        <v>0.03548135759615036</v>
      </c>
    </row>
    <row r="101" spans="1:6" ht="12.75">
      <c r="A101" s="2">
        <f>'Purchased Power Model'!A168</f>
        <v>40087</v>
      </c>
      <c r="B101" s="48">
        <f>'Purchased Power Model'!E168</f>
        <v>93898385.09139642</v>
      </c>
      <c r="C101" s="221">
        <f>'Purchased Power Model'!O168</f>
        <v>94656494.62038231</v>
      </c>
      <c r="D101" s="48">
        <f t="shared" si="3"/>
        <v>-758109.5289858878</v>
      </c>
      <c r="E101" s="48">
        <f t="shared" si="4"/>
        <v>758109.5289858878</v>
      </c>
      <c r="F101">
        <f t="shared" si="5"/>
        <v>0.008073722761557383</v>
      </c>
    </row>
    <row r="102" spans="1:6" ht="12.75">
      <c r="A102" s="2">
        <f>'Purchased Power Model'!A169</f>
        <v>40118</v>
      </c>
      <c r="B102" s="48">
        <f>'Purchased Power Model'!E169</f>
        <v>93733128.7449554</v>
      </c>
      <c r="C102" s="221">
        <f>'Purchased Power Model'!O169</f>
        <v>93692190.25064775</v>
      </c>
      <c r="D102" s="48">
        <f t="shared" si="3"/>
        <v>40938.494307652116</v>
      </c>
      <c r="E102" s="48">
        <f t="shared" si="4"/>
        <v>40938.494307652116</v>
      </c>
      <c r="F102">
        <f t="shared" si="5"/>
        <v>0.00043675587122504294</v>
      </c>
    </row>
    <row r="103" spans="1:6" ht="12.75">
      <c r="A103" s="2">
        <f>'Purchased Power Model'!A170</f>
        <v>40148</v>
      </c>
      <c r="B103" s="48">
        <f>'Purchased Power Model'!E170</f>
        <v>109929207.9270973</v>
      </c>
      <c r="C103" s="221">
        <f>'Purchased Power Model'!O170</f>
        <v>107185346.46429144</v>
      </c>
      <c r="D103" s="48">
        <f t="shared" si="3"/>
        <v>2743861.462805867</v>
      </c>
      <c r="E103" s="48">
        <f t="shared" si="4"/>
        <v>2743861.462805867</v>
      </c>
      <c r="F103">
        <f t="shared" si="5"/>
        <v>0.02496025864777937</v>
      </c>
    </row>
    <row r="104" spans="1:6" ht="12.75">
      <c r="A104" s="2">
        <f>'Purchased Power Model'!A171</f>
        <v>40179</v>
      </c>
      <c r="B104" s="48">
        <f>'Purchased Power Model'!E171</f>
        <v>112728743.41792473</v>
      </c>
      <c r="C104" s="221">
        <f>'Purchased Power Model'!O171</f>
        <v>109371256.17179047</v>
      </c>
      <c r="D104" s="48">
        <f t="shared" si="3"/>
        <v>3357487.2461342663</v>
      </c>
      <c r="E104" s="48">
        <f t="shared" si="4"/>
        <v>3357487.2461342663</v>
      </c>
      <c r="F104">
        <f t="shared" si="5"/>
        <v>0.029783772481938267</v>
      </c>
    </row>
    <row r="105" spans="1:6" ht="12.75">
      <c r="A105" s="2">
        <f>'Purchased Power Model'!A172</f>
        <v>40210</v>
      </c>
      <c r="B105" s="48">
        <f>'Purchased Power Model'!E172</f>
        <v>99258445.31102118</v>
      </c>
      <c r="C105" s="221">
        <f>'Purchased Power Model'!O172</f>
        <v>98952070.79445106</v>
      </c>
      <c r="D105" s="48">
        <f t="shared" si="3"/>
        <v>306374.51657012105</v>
      </c>
      <c r="E105" s="48">
        <f t="shared" si="4"/>
        <v>306374.51657012105</v>
      </c>
      <c r="F105">
        <f t="shared" si="5"/>
        <v>0.00308663424668916</v>
      </c>
    </row>
    <row r="106" spans="1:6" ht="12.75">
      <c r="A106" s="2">
        <f>'Purchased Power Model'!A173</f>
        <v>40238</v>
      </c>
      <c r="B106" s="48">
        <f>'Purchased Power Model'!E173</f>
        <v>100040210.32377149</v>
      </c>
      <c r="C106" s="221">
        <f>'Purchased Power Model'!O173</f>
        <v>99438877.36831395</v>
      </c>
      <c r="D106" s="48">
        <f t="shared" si="3"/>
        <v>601332.9554575384</v>
      </c>
      <c r="E106" s="48">
        <f t="shared" si="4"/>
        <v>601332.9554575384</v>
      </c>
      <c r="F106">
        <f t="shared" si="5"/>
        <v>0.006010912547178542</v>
      </c>
    </row>
    <row r="107" spans="1:6" ht="12.75">
      <c r="A107" s="2">
        <f>'Purchased Power Model'!A174</f>
        <v>40269</v>
      </c>
      <c r="B107" s="48">
        <f>'Purchased Power Model'!E174</f>
        <v>89357236.0693395</v>
      </c>
      <c r="C107" s="221">
        <f>'Purchased Power Model'!O174</f>
        <v>92454068.99056208</v>
      </c>
      <c r="D107" s="48">
        <f t="shared" si="3"/>
        <v>-3096832.9212225825</v>
      </c>
      <c r="E107" s="48">
        <f t="shared" si="4"/>
        <v>3096832.9212225825</v>
      </c>
      <c r="F107">
        <f t="shared" si="5"/>
        <v>0.03465676712314042</v>
      </c>
    </row>
    <row r="108" spans="1:6" ht="12.75">
      <c r="A108" s="2">
        <f>'Purchased Power Model'!A175</f>
        <v>40299</v>
      </c>
      <c r="B108" s="48">
        <f>'Purchased Power Model'!E175</f>
        <v>98050856.1469518</v>
      </c>
      <c r="C108" s="221">
        <f>'Purchased Power Model'!O175</f>
        <v>96835148.33552285</v>
      </c>
      <c r="D108" s="48">
        <f t="shared" si="3"/>
        <v>1215707.8114289492</v>
      </c>
      <c r="E108" s="48">
        <f t="shared" si="4"/>
        <v>1215707.8114289492</v>
      </c>
      <c r="F108">
        <f t="shared" si="5"/>
        <v>0.012398747539816797</v>
      </c>
    </row>
    <row r="109" spans="1:6" ht="12.75">
      <c r="A109" s="2">
        <f>'Purchased Power Model'!A176</f>
        <v>40330</v>
      </c>
      <c r="B109" s="48">
        <f>'Purchased Power Model'!E176</f>
        <v>106969130.23926716</v>
      </c>
      <c r="C109" s="221">
        <f>'Purchased Power Model'!O176</f>
        <v>104177177.623109</v>
      </c>
      <c r="D109" s="48">
        <f t="shared" si="3"/>
        <v>2791952.6161581576</v>
      </c>
      <c r="E109" s="48">
        <f t="shared" si="4"/>
        <v>2791952.6161581576</v>
      </c>
      <c r="F109">
        <f t="shared" si="5"/>
        <v>0.02610054517516553</v>
      </c>
    </row>
    <row r="110" spans="1:6" ht="12.75">
      <c r="A110" s="2">
        <f>'Purchased Power Model'!A177</f>
        <v>40360</v>
      </c>
      <c r="B110" s="48">
        <f>'Purchased Power Model'!E177</f>
        <v>130192001.11915383</v>
      </c>
      <c r="C110" s="221">
        <f>'Purchased Power Model'!O177</f>
        <v>129954780.62556235</v>
      </c>
      <c r="D110" s="48">
        <f t="shared" si="3"/>
        <v>237220.4935914725</v>
      </c>
      <c r="E110" s="48">
        <f t="shared" si="4"/>
        <v>237220.4935914725</v>
      </c>
      <c r="F110">
        <f t="shared" si="5"/>
        <v>0.0018220819370797171</v>
      </c>
    </row>
    <row r="111" spans="1:6" ht="12.75">
      <c r="A111" s="2">
        <f>'Purchased Power Model'!A178</f>
        <v>40391</v>
      </c>
      <c r="B111" s="48">
        <f>'Purchased Power Model'!E178</f>
        <v>125435396.10659494</v>
      </c>
      <c r="C111" s="221">
        <f>'Purchased Power Model'!O178</f>
        <v>124211856.5827511</v>
      </c>
      <c r="D111" s="48">
        <f t="shared" si="3"/>
        <v>1223539.5238438398</v>
      </c>
      <c r="E111" s="48">
        <f t="shared" si="4"/>
        <v>1223539.5238438398</v>
      </c>
      <c r="F111">
        <f t="shared" si="5"/>
        <v>0.009754340176867432</v>
      </c>
    </row>
    <row r="112" spans="1:6" ht="12.75">
      <c r="A112" s="2">
        <f>'Purchased Power Model'!A179</f>
        <v>40422</v>
      </c>
      <c r="B112" s="48">
        <f>'Purchased Power Model'!E179</f>
        <v>99514707.28758816</v>
      </c>
      <c r="C112" s="221">
        <f>'Purchased Power Model'!O179</f>
        <v>96582273.44592066</v>
      </c>
      <c r="D112" s="48">
        <f t="shared" si="3"/>
        <v>2932433.841667503</v>
      </c>
      <c r="E112" s="48">
        <f t="shared" si="4"/>
        <v>2932433.841667503</v>
      </c>
      <c r="F112">
        <f t="shared" si="5"/>
        <v>0.029467341276431077</v>
      </c>
    </row>
    <row r="113" spans="1:6" ht="12.75">
      <c r="A113" s="2">
        <f>'Purchased Power Model'!A180</f>
        <v>40452</v>
      </c>
      <c r="B113" s="48">
        <f>'Purchased Power Model'!E180</f>
        <v>94152765.44334878</v>
      </c>
      <c r="C113" s="221">
        <f>'Purchased Power Model'!O180</f>
        <v>95362010.83659059</v>
      </c>
      <c r="D113" s="48">
        <f t="shared" si="3"/>
        <v>-1209245.3932418078</v>
      </c>
      <c r="E113" s="48">
        <f t="shared" si="4"/>
        <v>1209245.3932418078</v>
      </c>
      <c r="F113">
        <f t="shared" si="5"/>
        <v>0.01284343999401063</v>
      </c>
    </row>
    <row r="114" spans="1:6" ht="12.75">
      <c r="A114" s="2">
        <f>'Purchased Power Model'!A181</f>
        <v>40483</v>
      </c>
      <c r="B114" s="48">
        <f>'Purchased Power Model'!E181</f>
        <v>97120412.20809971</v>
      </c>
      <c r="C114" s="221">
        <f>'Purchased Power Model'!O181</f>
        <v>95884446.20421955</v>
      </c>
      <c r="D114" s="48">
        <f t="shared" si="3"/>
        <v>1235966.003880158</v>
      </c>
      <c r="E114" s="48">
        <f t="shared" si="4"/>
        <v>1235966.003880158</v>
      </c>
      <c r="F114">
        <f t="shared" si="5"/>
        <v>0.012726119831862495</v>
      </c>
    </row>
    <row r="115" spans="1:6" ht="12.75">
      <c r="A115" s="2">
        <f>'Purchased Power Model'!A182</f>
        <v>40513</v>
      </c>
      <c r="B115" s="48">
        <f>'Purchased Power Model'!E182</f>
        <v>111894733.27617797</v>
      </c>
      <c r="C115" s="221">
        <f>'Purchased Power Model'!O182</f>
        <v>109861626.41908112</v>
      </c>
      <c r="D115" s="48">
        <f t="shared" si="3"/>
        <v>2033106.8570968509</v>
      </c>
      <c r="E115" s="48">
        <f t="shared" si="4"/>
        <v>2033106.8570968509</v>
      </c>
      <c r="F115">
        <f t="shared" si="5"/>
        <v>0.0181698172699402</v>
      </c>
    </row>
    <row r="116" spans="1:6" ht="12.75">
      <c r="A116" s="2">
        <f>'Purchased Power Model'!A183</f>
        <v>40544</v>
      </c>
      <c r="B116" s="48">
        <f>'Purchased Power Model'!E183</f>
        <v>113829885.14897905</v>
      </c>
      <c r="C116" s="221">
        <f>'Purchased Power Model'!O183</f>
        <v>111749632.5958758</v>
      </c>
      <c r="D116" s="48">
        <f t="shared" si="3"/>
        <v>2080252.5531032532</v>
      </c>
      <c r="E116" s="48">
        <f t="shared" si="4"/>
        <v>2080252.5531032532</v>
      </c>
      <c r="F116">
        <f t="shared" si="5"/>
        <v>0.018275100167066374</v>
      </c>
    </row>
    <row r="117" spans="1:6" ht="12.75">
      <c r="A117" s="2">
        <f>'Purchased Power Model'!A184</f>
        <v>40575</v>
      </c>
      <c r="B117" s="48">
        <f>'Purchased Power Model'!E184</f>
        <v>102120252.30087246</v>
      </c>
      <c r="C117" s="221">
        <f>'Purchased Power Model'!O184</f>
        <v>101219397.55575052</v>
      </c>
      <c r="D117" s="48">
        <f t="shared" si="3"/>
        <v>900854.745121941</v>
      </c>
      <c r="E117" s="48">
        <f t="shared" si="4"/>
        <v>900854.745121941</v>
      </c>
      <c r="F117">
        <f t="shared" si="5"/>
        <v>0.00882150919944647</v>
      </c>
    </row>
    <row r="118" spans="1:6" ht="12.75">
      <c r="A118" s="2">
        <f>'Purchased Power Model'!A185</f>
        <v>40603</v>
      </c>
      <c r="B118" s="48">
        <f>'Purchased Power Model'!E185</f>
        <v>106849782.5853615</v>
      </c>
      <c r="C118" s="221">
        <f>'Purchased Power Model'!O185</f>
        <v>103122396.33076033</v>
      </c>
      <c r="D118" s="48">
        <f t="shared" si="3"/>
        <v>3727386.2546011657</v>
      </c>
      <c r="E118" s="48">
        <f t="shared" si="4"/>
        <v>3727386.2546011657</v>
      </c>
      <c r="F118">
        <f t="shared" si="5"/>
        <v>0.0348843597470438</v>
      </c>
    </row>
    <row r="119" spans="1:6" ht="12.75">
      <c r="A119" s="2">
        <f>'Purchased Power Model'!A186</f>
        <v>40634</v>
      </c>
      <c r="B119" s="48">
        <f>'Purchased Power Model'!E186</f>
        <v>94087029.29704355</v>
      </c>
      <c r="C119" s="221">
        <f>'Purchased Power Model'!O186</f>
        <v>95889037.41501318</v>
      </c>
      <c r="D119" s="48">
        <f t="shared" si="3"/>
        <v>-1802008.1179696321</v>
      </c>
      <c r="E119" s="48">
        <f t="shared" si="4"/>
        <v>1802008.1179696321</v>
      </c>
      <c r="F119">
        <f t="shared" si="5"/>
        <v>0.019152566846174786</v>
      </c>
    </row>
    <row r="120" spans="1:6" ht="12.75">
      <c r="A120" s="2">
        <f>'Purchased Power Model'!A187</f>
        <v>40664</v>
      </c>
      <c r="B120" s="48">
        <f>'Purchased Power Model'!E187</f>
        <v>95311649.19082919</v>
      </c>
      <c r="C120" s="221">
        <f>'Purchased Power Model'!O187</f>
        <v>95582811.92284368</v>
      </c>
      <c r="D120" s="48">
        <f t="shared" si="3"/>
        <v>-271162.73201449215</v>
      </c>
      <c r="E120" s="48">
        <f t="shared" si="4"/>
        <v>271162.73201449215</v>
      </c>
      <c r="F120">
        <f t="shared" si="5"/>
        <v>0.002845011436866242</v>
      </c>
    </row>
    <row r="121" spans="1:6" ht="12.75">
      <c r="A121" s="2">
        <f>'Purchased Power Model'!A188</f>
        <v>40695</v>
      </c>
      <c r="B121" s="48">
        <f>'Purchased Power Model'!E188</f>
        <v>104481387.99310356</v>
      </c>
      <c r="C121" s="221">
        <f>'Purchased Power Model'!O188</f>
        <v>101398210.64104456</v>
      </c>
      <c r="D121" s="48">
        <f t="shared" si="3"/>
        <v>3083177.3520590067</v>
      </c>
      <c r="E121" s="48">
        <f t="shared" si="4"/>
        <v>3083177.3520590067</v>
      </c>
      <c r="F121">
        <f t="shared" si="5"/>
        <v>0.02950934526503913</v>
      </c>
    </row>
    <row r="122" spans="1:6" ht="12.75">
      <c r="A122" s="2">
        <f>'Purchased Power Model'!A189</f>
        <v>40725</v>
      </c>
      <c r="B122" s="48">
        <f>'Purchased Power Model'!E189</f>
        <v>132315624.27127488</v>
      </c>
      <c r="C122" s="221">
        <f>'Purchased Power Model'!O189</f>
        <v>135163218.25796863</v>
      </c>
      <c r="D122" s="48">
        <f t="shared" si="3"/>
        <v>-2847593.986693755</v>
      </c>
      <c r="E122" s="48">
        <f t="shared" si="4"/>
        <v>2847593.986693755</v>
      </c>
      <c r="F122">
        <f t="shared" si="5"/>
        <v>0.021521222473738912</v>
      </c>
    </row>
    <row r="123" spans="1:6" ht="12.75">
      <c r="A123" s="2">
        <f>'Purchased Power Model'!A190</f>
        <v>40756</v>
      </c>
      <c r="B123" s="48">
        <f>'Purchased Power Model'!E190</f>
        <v>120979109.88007376</v>
      </c>
      <c r="C123" s="221">
        <f>'Purchased Power Model'!O190</f>
        <v>124830315.38867168</v>
      </c>
      <c r="D123" s="48">
        <f t="shared" si="3"/>
        <v>-3851205.5085979253</v>
      </c>
      <c r="E123" s="48">
        <f t="shared" si="4"/>
        <v>3851205.5085979253</v>
      </c>
      <c r="F123">
        <f t="shared" si="5"/>
        <v>0.031833640637756504</v>
      </c>
    </row>
    <row r="124" spans="1:6" ht="12.75">
      <c r="A124" s="2">
        <f>'Purchased Power Model'!A191</f>
        <v>40787</v>
      </c>
      <c r="B124" s="48">
        <f>'Purchased Power Model'!E191</f>
        <v>101456692.20170335</v>
      </c>
      <c r="C124" s="221">
        <f>'Purchased Power Model'!O191</f>
        <v>96199013.5780038</v>
      </c>
      <c r="D124" s="48">
        <f t="shared" si="3"/>
        <v>5257678.623699561</v>
      </c>
      <c r="E124" s="48">
        <f t="shared" si="4"/>
        <v>5257678.623699561</v>
      </c>
      <c r="F124">
        <f t="shared" si="5"/>
        <v>0.05182190065143174</v>
      </c>
    </row>
    <row r="125" spans="1:6" ht="12.75">
      <c r="A125" s="2">
        <f>'Purchased Power Model'!A192</f>
        <v>40817</v>
      </c>
      <c r="B125" s="48">
        <f>'Purchased Power Model'!E192</f>
        <v>95202184.84729818</v>
      </c>
      <c r="C125" s="221">
        <f>'Purchased Power Model'!O192</f>
        <v>95474646.4106662</v>
      </c>
      <c r="D125" s="48">
        <f t="shared" si="3"/>
        <v>-272461.56336802244</v>
      </c>
      <c r="E125" s="48">
        <f t="shared" si="4"/>
        <v>272461.56336802244</v>
      </c>
      <c r="F125">
        <f t="shared" si="5"/>
        <v>0.002861925530438652</v>
      </c>
    </row>
    <row r="126" spans="1:6" ht="12.75">
      <c r="A126" s="2">
        <f>'Purchased Power Model'!A193</f>
        <v>40848</v>
      </c>
      <c r="B126" s="48">
        <f>'Purchased Power Model'!E193</f>
        <v>94439501.27361053</v>
      </c>
      <c r="C126" s="221">
        <f>'Purchased Power Model'!O193</f>
        <v>94367933.27745616</v>
      </c>
      <c r="D126" s="48">
        <f t="shared" si="3"/>
        <v>71567.99615436792</v>
      </c>
      <c r="E126" s="48">
        <f t="shared" si="4"/>
        <v>71567.99615436792</v>
      </c>
      <c r="F126">
        <f t="shared" si="5"/>
        <v>0.0007578184466161126</v>
      </c>
    </row>
    <row r="127" spans="1:6" ht="12.75">
      <c r="A127" s="2">
        <f>'Purchased Power Model'!A194</f>
        <v>40878</v>
      </c>
      <c r="B127" s="48">
        <f>'Purchased Power Model'!E194</f>
        <v>105238563.4331235</v>
      </c>
      <c r="C127" s="221">
        <f>'Purchased Power Model'!O194</f>
        <v>106323783.81322974</v>
      </c>
      <c r="D127" s="48">
        <f t="shared" si="3"/>
        <v>-1085220.3801062405</v>
      </c>
      <c r="E127" s="48">
        <f t="shared" si="4"/>
        <v>1085220.3801062405</v>
      </c>
      <c r="F127">
        <f t="shared" si="5"/>
        <v>0.010312002983543872</v>
      </c>
    </row>
    <row r="128" spans="1:6" ht="12.75">
      <c r="A128" s="2">
        <f>'Purchased Power Model'!A195</f>
        <v>40909</v>
      </c>
      <c r="B128" s="48">
        <f>'Purchased Power Model'!E195</f>
        <v>109223578.46951081</v>
      </c>
      <c r="C128" s="221">
        <f>'Purchased Power Model'!O195</f>
        <v>108511723.03126246</v>
      </c>
      <c r="D128" s="48">
        <f t="shared" si="3"/>
        <v>711855.4382483512</v>
      </c>
      <c r="E128" s="48">
        <f t="shared" si="4"/>
        <v>711855.4382483512</v>
      </c>
      <c r="F128">
        <f t="shared" si="5"/>
        <v>0.006517415453908259</v>
      </c>
    </row>
    <row r="129" spans="1:6" ht="12.75">
      <c r="A129" s="2">
        <f>'Purchased Power Model'!A196</f>
        <v>40940</v>
      </c>
      <c r="B129" s="48">
        <f>'Purchased Power Model'!E196</f>
        <v>99573605.10319768</v>
      </c>
      <c r="C129" s="221">
        <f>'Purchased Power Model'!O196</f>
        <v>101323283.14244506</v>
      </c>
      <c r="D129" s="48">
        <f t="shared" si="3"/>
        <v>-1749678.0392473787</v>
      </c>
      <c r="E129" s="48">
        <f t="shared" si="4"/>
        <v>1749678.0392473787</v>
      </c>
      <c r="F129">
        <f t="shared" si="5"/>
        <v>0.017571705246927832</v>
      </c>
    </row>
    <row r="130" spans="1:6" ht="12.75">
      <c r="A130" s="2">
        <f>'Purchased Power Model'!A197</f>
        <v>40969</v>
      </c>
      <c r="B130" s="48">
        <f>'Purchased Power Model'!E197</f>
        <v>96940328.99663873</v>
      </c>
      <c r="C130" s="221">
        <f>'Purchased Power Model'!O197</f>
        <v>98935012.6297459</v>
      </c>
      <c r="D130" s="48">
        <f t="shared" si="3"/>
        <v>-1994683.6331071705</v>
      </c>
      <c r="E130" s="48">
        <f t="shared" si="4"/>
        <v>1994683.6331071705</v>
      </c>
      <c r="F130">
        <f t="shared" si="5"/>
        <v>0.020576406679786833</v>
      </c>
    </row>
    <row r="131" spans="1:6" ht="12.75">
      <c r="A131" s="2">
        <f>'Purchased Power Model'!A198</f>
        <v>41000</v>
      </c>
      <c r="B131" s="48">
        <f>'Purchased Power Model'!E198</f>
        <v>90395437.38412581</v>
      </c>
      <c r="C131" s="221">
        <f>'Purchased Power Model'!O198</f>
        <v>94476602.50900568</v>
      </c>
      <c r="D131" s="48">
        <f t="shared" si="3"/>
        <v>-4081165.124879867</v>
      </c>
      <c r="E131" s="48">
        <f t="shared" si="4"/>
        <v>4081165.124879867</v>
      </c>
      <c r="F131">
        <f t="shared" si="5"/>
        <v>0.045147910591298863</v>
      </c>
    </row>
    <row r="132" spans="1:6" ht="12.75">
      <c r="A132" s="2">
        <f>'Purchased Power Model'!A199</f>
        <v>41030</v>
      </c>
      <c r="B132" s="48">
        <f>'Purchased Power Model'!E199</f>
        <v>100200864.44101663</v>
      </c>
      <c r="C132" s="221">
        <f>'Purchased Power Model'!O199</f>
        <v>96863738.83846967</v>
      </c>
      <c r="D132" s="48">
        <f t="shared" si="3"/>
        <v>3337125.60254696</v>
      </c>
      <c r="E132" s="48">
        <f t="shared" si="4"/>
        <v>3337125.60254696</v>
      </c>
      <c r="F132">
        <f t="shared" si="5"/>
        <v>0.03330435941010632</v>
      </c>
    </row>
    <row r="133" spans="1:6" ht="12.75">
      <c r="A133" s="2">
        <f>'Purchased Power Model'!A200</f>
        <v>41061</v>
      </c>
      <c r="B133" s="48">
        <f>'Purchased Power Model'!E200</f>
        <v>110427095.97285067</v>
      </c>
      <c r="C133" s="221">
        <f>'Purchased Power Model'!O200</f>
        <v>114010245.87221877</v>
      </c>
      <c r="D133" s="48">
        <f t="shared" si="3"/>
        <v>-3583149.8993681073</v>
      </c>
      <c r="E133" s="48">
        <f t="shared" si="4"/>
        <v>3583149.8993681073</v>
      </c>
      <c r="F133">
        <f t="shared" si="5"/>
        <v>0.03244810404367649</v>
      </c>
    </row>
    <row r="134" spans="1:6" ht="12.75">
      <c r="A134" s="2">
        <f>'Purchased Power Model'!A201</f>
        <v>41091</v>
      </c>
      <c r="B134" s="48">
        <f>'Purchased Power Model'!E201</f>
        <v>134019462.29349864</v>
      </c>
      <c r="C134" s="221">
        <f>'Purchased Power Model'!O201</f>
        <v>136160917.90547282</v>
      </c>
      <c r="D134" s="48">
        <f t="shared" si="3"/>
        <v>-2141455.6119741797</v>
      </c>
      <c r="E134" s="48">
        <f t="shared" si="4"/>
        <v>2141455.6119741797</v>
      </c>
      <c r="F134">
        <f t="shared" si="5"/>
        <v>0.015978691268619297</v>
      </c>
    </row>
    <row r="135" spans="1:6" ht="12.75">
      <c r="A135" s="2">
        <f>'Purchased Power Model'!A202</f>
        <v>41122</v>
      </c>
      <c r="B135" s="48">
        <f>'Purchased Power Model'!E202</f>
        <v>122137536.59835409</v>
      </c>
      <c r="C135" s="221">
        <f>'Purchased Power Model'!O202</f>
        <v>124947404.49168098</v>
      </c>
      <c r="D135" s="48">
        <f t="shared" si="3"/>
        <v>-2809867.8933268934</v>
      </c>
      <c r="E135" s="48">
        <f t="shared" si="4"/>
        <v>2809867.8933268934</v>
      </c>
      <c r="F135">
        <f t="shared" si="5"/>
        <v>0.02300576850970121</v>
      </c>
    </row>
    <row r="136" spans="1:6" ht="12.75">
      <c r="A136" s="2">
        <f>'Purchased Power Model'!A203</f>
        <v>41153</v>
      </c>
      <c r="B136" s="48">
        <f>'Purchased Power Model'!E203</f>
        <v>100247713.37838936</v>
      </c>
      <c r="C136" s="221">
        <f>'Purchased Power Model'!O203</f>
        <v>98193321.10200404</v>
      </c>
      <c r="D136" s="48">
        <f t="shared" si="3"/>
        <v>2054392.2763853222</v>
      </c>
      <c r="E136" s="48">
        <f t="shared" si="4"/>
        <v>2054392.2763853222</v>
      </c>
      <c r="F136">
        <f t="shared" si="5"/>
        <v>0.02049315846867179</v>
      </c>
    </row>
    <row r="137" spans="1:6" ht="12.75">
      <c r="A137" s="2">
        <f>'Purchased Power Model'!A204</f>
        <v>41183</v>
      </c>
      <c r="B137" s="48">
        <f>'Purchased Power Model'!E204</f>
        <v>95198439.7032457</v>
      </c>
      <c r="C137" s="221">
        <f>'Purchased Power Model'!O204</f>
        <v>94899607.48809794</v>
      </c>
      <c r="D137" s="48">
        <f aca="true" t="shared" si="6" ref="D137:D151">B137-C137</f>
        <v>298832.2151477635</v>
      </c>
      <c r="E137" s="48">
        <f aca="true" t="shared" si="7" ref="E137:E151">ABS(D137)</f>
        <v>298832.2151477635</v>
      </c>
      <c r="F137">
        <f aca="true" t="shared" si="8" ref="F137:F151">E137/B137</f>
        <v>0.0031390453045164256</v>
      </c>
    </row>
    <row r="138" spans="1:6" ht="12.75">
      <c r="A138" s="2">
        <f>'Purchased Power Model'!A205</f>
        <v>41214</v>
      </c>
      <c r="B138" s="48">
        <f>'Purchased Power Model'!E205</f>
        <v>97032089.23277192</v>
      </c>
      <c r="C138" s="221">
        <f>'Purchased Power Model'!O205</f>
        <v>96304814.40085734</v>
      </c>
      <c r="D138" s="48">
        <f t="shared" si="6"/>
        <v>727274.8319145739</v>
      </c>
      <c r="E138" s="48">
        <f t="shared" si="7"/>
        <v>727274.8319145739</v>
      </c>
      <c r="F138">
        <f t="shared" si="8"/>
        <v>0.007495199141491244</v>
      </c>
    </row>
    <row r="139" spans="1:6" ht="12.75">
      <c r="A139" s="2">
        <f>'Purchased Power Model'!A206</f>
        <v>41244</v>
      </c>
      <c r="B139" s="48">
        <f>'Purchased Power Model'!E206</f>
        <v>105393299.32567206</v>
      </c>
      <c r="C139" s="221">
        <f>'Purchased Power Model'!O206</f>
        <v>105842500.31971246</v>
      </c>
      <c r="D139" s="48">
        <f t="shared" si="6"/>
        <v>-449200.9940403998</v>
      </c>
      <c r="E139" s="48">
        <f t="shared" si="7"/>
        <v>449200.9940403998</v>
      </c>
      <c r="F139">
        <f t="shared" si="8"/>
        <v>0.004262139973930789</v>
      </c>
    </row>
    <row r="140" spans="1:6" ht="12.75">
      <c r="A140" s="2">
        <f>'Purchased Power Model'!A207</f>
        <v>41275</v>
      </c>
      <c r="B140" s="48">
        <f>'Purchased Power Model'!E207</f>
        <v>110326118.70140305</v>
      </c>
      <c r="C140" s="221">
        <f>'Purchased Power Model'!O207</f>
        <v>108207866.85906246</v>
      </c>
      <c r="D140" s="48">
        <f t="shared" si="6"/>
        <v>2118251.8423405886</v>
      </c>
      <c r="E140" s="48">
        <f t="shared" si="7"/>
        <v>2118251.8423405886</v>
      </c>
      <c r="F140">
        <f t="shared" si="8"/>
        <v>0.019199912652357723</v>
      </c>
    </row>
    <row r="141" spans="1:6" ht="12.75">
      <c r="A141" s="2">
        <f>'Purchased Power Model'!A208</f>
        <v>41306</v>
      </c>
      <c r="B141" s="48">
        <f>'Purchased Power Model'!E208</f>
        <v>99801280.1492212</v>
      </c>
      <c r="C141" s="221">
        <f>'Purchased Power Model'!O208</f>
        <v>100445854.97739165</v>
      </c>
      <c r="D141" s="48">
        <f t="shared" si="6"/>
        <v>-644574.8281704485</v>
      </c>
      <c r="E141" s="48">
        <f t="shared" si="7"/>
        <v>644574.8281704485</v>
      </c>
      <c r="F141">
        <f t="shared" si="8"/>
        <v>0.00645858276774297</v>
      </c>
    </row>
    <row r="142" spans="1:6" ht="12.75">
      <c r="A142" s="2">
        <f>'Purchased Power Model'!A209</f>
        <v>41334</v>
      </c>
      <c r="B142" s="48">
        <f>'Purchased Power Model'!E209</f>
        <v>103245324.02229238</v>
      </c>
      <c r="C142" s="221">
        <f>'Purchased Power Model'!O209</f>
        <v>102300764.34183522</v>
      </c>
      <c r="D142" s="48">
        <f t="shared" si="6"/>
        <v>944559.6804571599</v>
      </c>
      <c r="E142" s="48">
        <f t="shared" si="7"/>
        <v>944559.6804571599</v>
      </c>
      <c r="F142">
        <f t="shared" si="8"/>
        <v>0.009148692102057947</v>
      </c>
    </row>
    <row r="143" spans="1:6" ht="12.75">
      <c r="A143" s="2">
        <f>'Purchased Power Model'!A210</f>
        <v>41365</v>
      </c>
      <c r="B143" s="48">
        <f>'Purchased Power Model'!E210</f>
        <v>93034751.16000599</v>
      </c>
      <c r="C143" s="221">
        <f>'Purchased Power Model'!O210</f>
        <v>95576685.63467416</v>
      </c>
      <c r="D143" s="48">
        <f t="shared" si="6"/>
        <v>-2541934.474668175</v>
      </c>
      <c r="E143" s="48">
        <f t="shared" si="7"/>
        <v>2541934.474668175</v>
      </c>
      <c r="F143">
        <f t="shared" si="8"/>
        <v>0.027322419235543762</v>
      </c>
    </row>
    <row r="144" spans="1:6" ht="12.75">
      <c r="A144" s="2">
        <f>'Purchased Power Model'!A211</f>
        <v>41395</v>
      </c>
      <c r="B144" s="48">
        <f>'Purchased Power Model'!E211</f>
        <v>96429712.27731146</v>
      </c>
      <c r="C144" s="221">
        <f>'Purchased Power Model'!O211</f>
        <v>96658975.13120845</v>
      </c>
      <c r="D144" s="48">
        <f t="shared" si="6"/>
        <v>-229262.85389699042</v>
      </c>
      <c r="E144" s="48">
        <f t="shared" si="7"/>
        <v>229262.85389699042</v>
      </c>
      <c r="F144">
        <f t="shared" si="8"/>
        <v>0.0023775125786715916</v>
      </c>
    </row>
    <row r="145" spans="1:6" ht="12.75">
      <c r="A145" s="2">
        <f>'Purchased Power Model'!A212</f>
        <v>41426</v>
      </c>
      <c r="B145" s="48">
        <f>'Purchased Power Model'!E212</f>
        <v>102793145.88208996</v>
      </c>
      <c r="C145" s="221">
        <f>'Purchased Power Model'!O212</f>
        <v>103013819.68367198</v>
      </c>
      <c r="D145" s="48">
        <f t="shared" si="6"/>
        <v>-220673.8015820235</v>
      </c>
      <c r="E145" s="48">
        <f t="shared" si="7"/>
        <v>220673.8015820235</v>
      </c>
      <c r="F145">
        <f t="shared" si="8"/>
        <v>0.002146775445856574</v>
      </c>
    </row>
    <row r="146" spans="1:6" ht="12.75">
      <c r="A146" s="2">
        <f>'Purchased Power Model'!A213</f>
        <v>41456</v>
      </c>
      <c r="B146" s="48">
        <f>'Purchased Power Model'!E213</f>
        <v>124848660.01316679</v>
      </c>
      <c r="C146" s="221">
        <f>'Purchased Power Model'!O213</f>
        <v>123489865.92316869</v>
      </c>
      <c r="D146" s="48">
        <f t="shared" si="6"/>
        <v>1358794.0899980962</v>
      </c>
      <c r="E146" s="48">
        <f t="shared" si="7"/>
        <v>1358794.0899980962</v>
      </c>
      <c r="F146">
        <f t="shared" si="8"/>
        <v>0.010883529625826942</v>
      </c>
    </row>
    <row r="147" spans="1:6" ht="12.75">
      <c r="A147" s="2">
        <f>'Purchased Power Model'!A214</f>
        <v>41487</v>
      </c>
      <c r="B147" s="48">
        <f>'Purchased Power Model'!E214</f>
        <v>115527155.75117904</v>
      </c>
      <c r="C147" s="221">
        <f>'Purchased Power Model'!O214</f>
        <v>116781224.19514138</v>
      </c>
      <c r="D147" s="48">
        <f t="shared" si="6"/>
        <v>-1254068.4439623356</v>
      </c>
      <c r="E147" s="48">
        <f t="shared" si="7"/>
        <v>1254068.4439623356</v>
      </c>
      <c r="F147">
        <f t="shared" si="8"/>
        <v>0.01085518323209941</v>
      </c>
    </row>
    <row r="148" spans="1:6" ht="12.75">
      <c r="A148" s="2">
        <f>'Purchased Power Model'!A215</f>
        <v>41518</v>
      </c>
      <c r="B148" s="48">
        <f>'Purchased Power Model'!E215</f>
        <v>98249629.96604548</v>
      </c>
      <c r="C148" s="221">
        <f>'Purchased Power Model'!O215</f>
        <v>95862871.69360289</v>
      </c>
      <c r="D148" s="48">
        <f t="shared" si="6"/>
        <v>2386758.272442594</v>
      </c>
      <c r="E148" s="48">
        <f t="shared" si="7"/>
        <v>2386758.272442594</v>
      </c>
      <c r="F148">
        <f t="shared" si="8"/>
        <v>0.024292796555747277</v>
      </c>
    </row>
    <row r="149" spans="1:6" ht="12.75">
      <c r="A149" s="2">
        <f>'Purchased Power Model'!A216</f>
        <v>41548</v>
      </c>
      <c r="B149" s="48">
        <f>'Purchased Power Model'!E216</f>
        <v>95945977.5212139</v>
      </c>
      <c r="C149" s="221">
        <f>'Purchased Power Model'!O216</f>
        <v>95290750.66807583</v>
      </c>
      <c r="D149" s="48">
        <f t="shared" si="6"/>
        <v>655226.8531380743</v>
      </c>
      <c r="E149" s="48">
        <f t="shared" si="7"/>
        <v>655226.8531380743</v>
      </c>
      <c r="F149">
        <f t="shared" si="8"/>
        <v>0.006829122700774005</v>
      </c>
    </row>
    <row r="150" spans="1:6" ht="12.75">
      <c r="A150" s="2">
        <f>'Purchased Power Model'!A217</f>
        <v>41579</v>
      </c>
      <c r="B150" s="48">
        <f>'Purchased Power Model'!E217</f>
        <v>99306958.65428175</v>
      </c>
      <c r="C150" s="221">
        <f>'Purchased Power Model'!O217</f>
        <v>97873446.352694</v>
      </c>
      <c r="D150" s="48">
        <f t="shared" si="6"/>
        <v>1433512.3015877455</v>
      </c>
      <c r="E150" s="48">
        <f t="shared" si="7"/>
        <v>1433512.3015877455</v>
      </c>
      <c r="F150">
        <f t="shared" si="8"/>
        <v>0.014435164675400496</v>
      </c>
    </row>
    <row r="151" spans="1:6" ht="12.75">
      <c r="A151" s="2">
        <f>'Purchased Power Model'!A218</f>
        <v>41609</v>
      </c>
      <c r="B151" s="48">
        <f>'Purchased Power Model'!E218</f>
        <v>110599609.99707253</v>
      </c>
      <c r="C151" s="221">
        <f>'Purchased Power Model'!O218</f>
        <v>110159334.88472754</v>
      </c>
      <c r="D151" s="48">
        <f t="shared" si="6"/>
        <v>440275.11234499514</v>
      </c>
      <c r="E151" s="48">
        <f t="shared" si="7"/>
        <v>440275.11234499514</v>
      </c>
      <c r="F151">
        <f t="shared" si="8"/>
        <v>0.003980801671512665</v>
      </c>
    </row>
    <row r="152" spans="1:6" ht="12.75">
      <c r="A152" s="2">
        <f>'Purchased Power Model'!A219</f>
        <v>41640</v>
      </c>
      <c r="B152" s="48">
        <f>'Purchased Power Model'!E219</f>
        <v>117947744.68665896</v>
      </c>
      <c r="C152" s="221">
        <f>'Purchased Power Model'!O219</f>
        <v>113311433.20407566</v>
      </c>
      <c r="D152" s="48">
        <f aca="true" t="shared" si="9" ref="D152:D170">B152-C152</f>
        <v>4636311.482583299</v>
      </c>
      <c r="E152" s="48">
        <f aca="true" t="shared" si="10" ref="E152:E170">ABS(D152)</f>
        <v>4636311.482583299</v>
      </c>
      <c r="F152">
        <f aca="true" t="shared" si="11" ref="F152:F170">E152/B152</f>
        <v>0.039308182576107464</v>
      </c>
    </row>
    <row r="153" spans="1:6" ht="12.75">
      <c r="A153" s="2">
        <f>'Purchased Power Model'!A220</f>
        <v>41671</v>
      </c>
      <c r="B153" s="48">
        <f>'Purchased Power Model'!E220</f>
        <v>102702837.60917431</v>
      </c>
      <c r="C153" s="221">
        <f>'Purchased Power Model'!O220</f>
        <v>103330776.82996942</v>
      </c>
      <c r="D153" s="48">
        <f t="shared" si="9"/>
        <v>-627939.2207951099</v>
      </c>
      <c r="E153" s="48">
        <f t="shared" si="10"/>
        <v>627939.2207951099</v>
      </c>
      <c r="F153">
        <f t="shared" si="11"/>
        <v>0.0061141370132797275</v>
      </c>
    </row>
    <row r="154" spans="1:6" ht="12.75">
      <c r="A154" s="2">
        <f>'Purchased Power Model'!A221</f>
        <v>41699</v>
      </c>
      <c r="B154" s="48">
        <f>'Purchased Power Model'!E221</f>
        <v>107746935.99875455</v>
      </c>
      <c r="C154" s="221">
        <f>'Purchased Power Model'!O221</f>
        <v>106269518.07977426</v>
      </c>
      <c r="D154" s="48">
        <f t="shared" si="9"/>
        <v>1477417.9189802855</v>
      </c>
      <c r="E154" s="48">
        <f t="shared" si="10"/>
        <v>1477417.9189802855</v>
      </c>
      <c r="F154">
        <f t="shared" si="11"/>
        <v>0.013711925126087697</v>
      </c>
    </row>
    <row r="155" spans="1:6" ht="12.75">
      <c r="A155" s="2">
        <f>'Purchased Power Model'!A222</f>
        <v>41730</v>
      </c>
      <c r="B155" s="48">
        <f>'Purchased Power Model'!E222</f>
        <v>89388271.90666892</v>
      </c>
      <c r="C155" s="221">
        <f>'Purchased Power Model'!O222</f>
        <v>96762059.14271063</v>
      </c>
      <c r="D155" s="48">
        <f t="shared" si="9"/>
        <v>-7373787.23604171</v>
      </c>
      <c r="E155" s="48">
        <f t="shared" si="10"/>
        <v>7373787.23604171</v>
      </c>
      <c r="F155">
        <f t="shared" si="11"/>
        <v>0.08249166337772752</v>
      </c>
    </row>
    <row r="156" spans="1:6" ht="12.75">
      <c r="A156" s="2">
        <f>'Purchased Power Model'!A223</f>
        <v>41760</v>
      </c>
      <c r="B156" s="48">
        <f>'Purchased Power Model'!E223</f>
        <v>92633302.66588068</v>
      </c>
      <c r="C156" s="221">
        <f>'Purchased Power Model'!O223</f>
        <v>95646725.85373259</v>
      </c>
      <c r="D156" s="48">
        <f t="shared" si="9"/>
        <v>-3013423.187851906</v>
      </c>
      <c r="E156" s="48">
        <f t="shared" si="10"/>
        <v>3013423.187851906</v>
      </c>
      <c r="F156">
        <f t="shared" si="11"/>
        <v>0.03253066770944171</v>
      </c>
    </row>
    <row r="157" spans="1:6" ht="12.75">
      <c r="A157" s="2">
        <f>'Purchased Power Model'!A224</f>
        <v>41791</v>
      </c>
      <c r="B157" s="48">
        <f>'Purchased Power Model'!E224</f>
        <v>105400390.24726443</v>
      </c>
      <c r="C157" s="221">
        <f>'Purchased Power Model'!O224</f>
        <v>101628968.94806015</v>
      </c>
      <c r="D157" s="48">
        <f t="shared" si="9"/>
        <v>3771421.299204275</v>
      </c>
      <c r="E157" s="48">
        <f t="shared" si="10"/>
        <v>3771421.299204275</v>
      </c>
      <c r="F157">
        <f t="shared" si="11"/>
        <v>0.03578185327736164</v>
      </c>
    </row>
    <row r="158" spans="1:6" ht="12.75">
      <c r="A158" s="2">
        <f>'Purchased Power Model'!A225</f>
        <v>41821</v>
      </c>
      <c r="B158" s="48">
        <f>'Purchased Power Model'!E225</f>
        <v>110817105.15900777</v>
      </c>
      <c r="C158" s="221">
        <f>'Purchased Power Model'!O225</f>
        <v>111631823.84267196</v>
      </c>
      <c r="D158" s="48">
        <f t="shared" si="9"/>
        <v>-814718.6836641878</v>
      </c>
      <c r="E158" s="48">
        <f t="shared" si="10"/>
        <v>814718.6836641878</v>
      </c>
      <c r="F158">
        <f t="shared" si="11"/>
        <v>0.007351921731714387</v>
      </c>
    </row>
    <row r="159" spans="1:6" ht="12.75">
      <c r="A159" s="2">
        <f>'Purchased Power Model'!A226</f>
        <v>41852</v>
      </c>
      <c r="B159" s="48">
        <f>'Purchased Power Model'!E226</f>
        <v>111725214.0343763</v>
      </c>
      <c r="C159" s="221">
        <f>'Purchased Power Model'!O226</f>
        <v>113380174.56204274</v>
      </c>
      <c r="D159" s="48">
        <f t="shared" si="9"/>
        <v>-1654960.5276664495</v>
      </c>
      <c r="E159" s="48">
        <f t="shared" si="10"/>
        <v>1654960.5276664495</v>
      </c>
      <c r="F159">
        <f t="shared" si="11"/>
        <v>0.014812775629655462</v>
      </c>
    </row>
    <row r="160" spans="1:6" ht="12.75">
      <c r="A160" s="2">
        <f>'Purchased Power Model'!A227</f>
        <v>41883</v>
      </c>
      <c r="B160" s="48">
        <f>'Purchased Power Model'!E227</f>
        <v>102594932.46168417</v>
      </c>
      <c r="C160" s="221">
        <f>'Purchased Power Model'!O227</f>
        <v>97922697.37602322</v>
      </c>
      <c r="D160" s="48">
        <f t="shared" si="9"/>
        <v>4672235.085660949</v>
      </c>
      <c r="E160" s="48">
        <f t="shared" si="10"/>
        <v>4672235.085660949</v>
      </c>
      <c r="F160">
        <f t="shared" si="11"/>
        <v>0.045540602966972814</v>
      </c>
    </row>
    <row r="161" spans="1:6" ht="12.75">
      <c r="A161" s="2">
        <f>'Purchased Power Model'!A228</f>
        <v>41913</v>
      </c>
      <c r="B161" s="48">
        <f>'Purchased Power Model'!E228</f>
        <v>91821567.30339646</v>
      </c>
      <c r="C161" s="221">
        <f>'Purchased Power Model'!O228</f>
        <v>96415272.76476574</v>
      </c>
      <c r="D161" s="48">
        <f t="shared" si="9"/>
        <v>-4593705.461369276</v>
      </c>
      <c r="E161" s="48">
        <f t="shared" si="10"/>
        <v>4593705.461369276</v>
      </c>
      <c r="F161">
        <f t="shared" si="11"/>
        <v>0.05002861088387625</v>
      </c>
    </row>
    <row r="162" spans="1:6" ht="12.75">
      <c r="A162" s="2">
        <f>'Purchased Power Model'!A229</f>
        <v>41944</v>
      </c>
      <c r="B162" s="48">
        <f>'Purchased Power Model'!E229</f>
        <v>97062678.36802869</v>
      </c>
      <c r="C162" s="221">
        <f>'Purchased Power Model'!O229</f>
        <v>98560100.52139346</v>
      </c>
      <c r="D162" s="48">
        <f t="shared" si="9"/>
        <v>-1497422.1533647776</v>
      </c>
      <c r="E162" s="48">
        <f t="shared" si="10"/>
        <v>1497422.1533647776</v>
      </c>
      <c r="F162">
        <f t="shared" si="11"/>
        <v>0.015427373100988021</v>
      </c>
    </row>
    <row r="163" spans="1:6" ht="12.75">
      <c r="A163" s="2">
        <f>'Purchased Power Model'!A230</f>
        <v>41974</v>
      </c>
      <c r="B163" s="48">
        <f>'Purchased Power Model'!E230</f>
        <v>106513110.49909274</v>
      </c>
      <c r="C163" s="221">
        <f>'Purchased Power Model'!O230</f>
        <v>108491071.37216786</v>
      </c>
      <c r="D163" s="48">
        <f t="shared" si="9"/>
        <v>-1977960.8730751127</v>
      </c>
      <c r="E163" s="48">
        <f t="shared" si="10"/>
        <v>1977960.8730751127</v>
      </c>
      <c r="F163">
        <f t="shared" si="11"/>
        <v>0.018570116521871367</v>
      </c>
    </row>
    <row r="164" spans="1:6" ht="12.75">
      <c r="A164" s="2">
        <f>'Purchased Power Model'!A231</f>
        <v>42005</v>
      </c>
      <c r="B164" s="48">
        <f>'Purchased Power Model'!E231</f>
        <v>113302855.68154852</v>
      </c>
      <c r="C164" s="221">
        <f>'Purchased Power Model'!O231</f>
        <v>112991875.84592134</v>
      </c>
      <c r="D164" s="48">
        <f t="shared" si="9"/>
        <v>310979.8356271833</v>
      </c>
      <c r="E164" s="48">
        <f t="shared" si="10"/>
        <v>310979.8356271833</v>
      </c>
      <c r="F164">
        <f t="shared" si="11"/>
        <v>0.002744677826137322</v>
      </c>
    </row>
    <row r="165" spans="1:6" ht="12.75">
      <c r="A165" s="2">
        <f>'Purchased Power Model'!A232</f>
        <v>42036</v>
      </c>
      <c r="B165" s="48">
        <f>'Purchased Power Model'!E232</f>
        <v>107452808.78190462</v>
      </c>
      <c r="C165" s="221">
        <f>'Purchased Power Model'!O232</f>
        <v>106809159.96588753</v>
      </c>
      <c r="D165" s="48">
        <f t="shared" si="9"/>
        <v>643648.8160170913</v>
      </c>
      <c r="E165" s="48">
        <f t="shared" si="10"/>
        <v>643648.8160170913</v>
      </c>
      <c r="F165">
        <f t="shared" si="11"/>
        <v>0.005990060411761741</v>
      </c>
    </row>
    <row r="166" spans="1:6" ht="12.75">
      <c r="A166" s="2">
        <f>'Purchased Power Model'!A233</f>
        <v>42064</v>
      </c>
      <c r="B166" s="48">
        <f>'Purchased Power Model'!E233</f>
        <v>105021158.972317</v>
      </c>
      <c r="C166" s="221">
        <f>'Purchased Power Model'!O233</f>
        <v>105505723.56917338</v>
      </c>
      <c r="D166" s="48">
        <f t="shared" si="9"/>
        <v>-484564.59685638547</v>
      </c>
      <c r="E166" s="48">
        <f t="shared" si="10"/>
        <v>484564.59685638547</v>
      </c>
      <c r="F166">
        <f t="shared" si="11"/>
        <v>0.00461397114255913</v>
      </c>
    </row>
    <row r="167" spans="1:6" ht="12.75">
      <c r="A167" s="2">
        <f>'Purchased Power Model'!A234</f>
        <v>42095</v>
      </c>
      <c r="B167" s="48">
        <f>'Purchased Power Model'!E234</f>
        <v>91546135.98881966</v>
      </c>
      <c r="C167" s="221">
        <f>'Purchased Power Model'!O234</f>
        <v>96090950.18195939</v>
      </c>
      <c r="D167" s="48">
        <f t="shared" si="9"/>
        <v>-4544814.193139732</v>
      </c>
      <c r="E167" s="48">
        <f t="shared" si="10"/>
        <v>4544814.193139732</v>
      </c>
      <c r="F167">
        <f t="shared" si="11"/>
        <v>0.04964506851162763</v>
      </c>
    </row>
    <row r="168" spans="1:6" ht="12.75">
      <c r="A168" s="2">
        <f>'Purchased Power Model'!A235</f>
        <v>42125</v>
      </c>
      <c r="B168" s="48">
        <f>'Purchased Power Model'!E235</f>
        <v>97180323.95512512</v>
      </c>
      <c r="C168" s="221">
        <f>'Purchased Power Model'!O235</f>
        <v>95917004.55694571</v>
      </c>
      <c r="D168" s="48">
        <f t="shared" si="9"/>
        <v>1263319.398179412</v>
      </c>
      <c r="E168" s="48">
        <f t="shared" si="10"/>
        <v>1263319.398179412</v>
      </c>
      <c r="F168">
        <f t="shared" si="11"/>
        <v>0.012999744668095302</v>
      </c>
    </row>
    <row r="169" spans="1:6" ht="12.75">
      <c r="A169" s="2">
        <f>'Purchased Power Model'!A236</f>
        <v>42156</v>
      </c>
      <c r="B169" s="48">
        <f>'Purchased Power Model'!E236</f>
        <v>100771222.83386311</v>
      </c>
      <c r="C169" s="221">
        <f>'Purchased Power Model'!O236</f>
        <v>98292261.00782704</v>
      </c>
      <c r="D169" s="48">
        <f t="shared" si="9"/>
        <v>2478961.826036066</v>
      </c>
      <c r="E169" s="48">
        <f t="shared" si="10"/>
        <v>2478961.826036066</v>
      </c>
      <c r="F169">
        <f t="shared" si="11"/>
        <v>0.024599898228118325</v>
      </c>
    </row>
    <row r="170" spans="1:6" ht="12.75">
      <c r="A170" s="2">
        <f>'Purchased Power Model'!A237</f>
        <v>42186</v>
      </c>
      <c r="B170" s="48">
        <f>'Purchased Power Model'!E237</f>
        <v>119792274.43822043</v>
      </c>
      <c r="C170" s="221">
        <f>'Purchased Power Model'!O237</f>
        <v>120203637.39213495</v>
      </c>
      <c r="D170" s="48">
        <f t="shared" si="9"/>
        <v>-411362.9539145231</v>
      </c>
      <c r="E170" s="48">
        <f t="shared" si="10"/>
        <v>411362.9539145231</v>
      </c>
      <c r="F170">
        <f t="shared" si="11"/>
        <v>0.0034339689754089467</v>
      </c>
    </row>
    <row r="171" spans="1:6" ht="12.75">
      <c r="A171" s="2">
        <f>'Purchased Power Model'!A238</f>
        <v>42217</v>
      </c>
      <c r="B171" s="48">
        <f>'Purchased Power Model'!E238</f>
        <v>115113799.4976453</v>
      </c>
      <c r="C171" s="221">
        <f>'Purchased Power Model'!O238</f>
        <v>116669221.34148741</v>
      </c>
      <c r="D171" s="48">
        <f aca="true" t="shared" si="12" ref="D171:D213">B171-C171</f>
        <v>-1555421.843842104</v>
      </c>
      <c r="E171" s="48">
        <f aca="true" t="shared" si="13" ref="E171:E213">ABS(D171)</f>
        <v>1555421.843842104</v>
      </c>
      <c r="F171">
        <f aca="true" t="shared" si="14" ref="F171:F213">E171/B171</f>
        <v>0.013512036355588461</v>
      </c>
    </row>
    <row r="172" spans="1:6" ht="12.75">
      <c r="A172" s="2">
        <f>'Purchased Power Model'!A239</f>
        <v>42248</v>
      </c>
      <c r="B172" s="48">
        <f>'Purchased Power Model'!E239</f>
        <v>109607532.72592574</v>
      </c>
      <c r="C172" s="221">
        <f>'Purchased Power Model'!O239</f>
        <v>105236621.56173226</v>
      </c>
      <c r="D172" s="48">
        <f t="shared" si="12"/>
        <v>4370911.164193481</v>
      </c>
      <c r="E172" s="48">
        <f t="shared" si="13"/>
        <v>4370911.164193481</v>
      </c>
      <c r="F172">
        <f t="shared" si="14"/>
        <v>0.03987783554185979</v>
      </c>
    </row>
    <row r="173" spans="1:6" ht="12.75">
      <c r="A173" s="2">
        <f>'Purchased Power Model'!A240</f>
        <v>42278</v>
      </c>
      <c r="B173" s="48">
        <f>'Purchased Power Model'!E240</f>
        <v>91542099.27081989</v>
      </c>
      <c r="C173" s="221">
        <f>'Purchased Power Model'!O240</f>
        <v>95235607.62582192</v>
      </c>
      <c r="D173" s="48">
        <f t="shared" si="12"/>
        <v>-3693508.3550020307</v>
      </c>
      <c r="E173" s="48">
        <f t="shared" si="13"/>
        <v>3693508.3550020307</v>
      </c>
      <c r="F173">
        <f t="shared" si="14"/>
        <v>0.04034764752417448</v>
      </c>
    </row>
    <row r="174" spans="1:6" ht="12.75">
      <c r="A174" s="2">
        <f>'Purchased Power Model'!A241</f>
        <v>42309</v>
      </c>
      <c r="B174" s="48">
        <f>'Purchased Power Model'!E241</f>
        <v>92874786.03388609</v>
      </c>
      <c r="C174" s="221">
        <f>'Purchased Power Model'!O241</f>
        <v>94515441.57840382</v>
      </c>
      <c r="D174" s="48">
        <f t="shared" si="12"/>
        <v>-1640655.5445177257</v>
      </c>
      <c r="E174" s="48">
        <f t="shared" si="13"/>
        <v>1640655.5445177257</v>
      </c>
      <c r="F174">
        <f t="shared" si="14"/>
        <v>0.01766524171500239</v>
      </c>
    </row>
    <row r="175" spans="1:6" ht="12.75">
      <c r="A175" s="2">
        <f>'Purchased Power Model'!A242</f>
        <v>42339</v>
      </c>
      <c r="B175" s="48">
        <f>'Purchased Power Model'!E242</f>
        <v>99294331.8342077</v>
      </c>
      <c r="C175" s="221">
        <f>'Purchased Power Model'!O242</f>
        <v>104190532.47734559</v>
      </c>
      <c r="D175" s="48">
        <f t="shared" si="12"/>
        <v>-4896200.643137887</v>
      </c>
      <c r="E175" s="48">
        <f t="shared" si="13"/>
        <v>4896200.643137887</v>
      </c>
      <c r="F175">
        <f t="shared" si="14"/>
        <v>0.04930997120070359</v>
      </c>
    </row>
    <row r="176" spans="1:6" ht="12.75">
      <c r="A176" s="2">
        <f>'Purchased Power Model'!A243</f>
        <v>42370</v>
      </c>
      <c r="B176" s="48">
        <f>'Purchased Power Model'!E243</f>
        <v>107913788.60543773</v>
      </c>
      <c r="C176" s="221">
        <f>'Purchased Power Model'!O243</f>
        <v>109607022.41021383</v>
      </c>
      <c r="D176" s="48">
        <f t="shared" si="12"/>
        <v>-1693233.8047761023</v>
      </c>
      <c r="E176" s="48">
        <f t="shared" si="13"/>
        <v>1693233.8047761023</v>
      </c>
      <c r="F176">
        <f t="shared" si="14"/>
        <v>0.015690615876410637</v>
      </c>
    </row>
    <row r="177" spans="1:6" ht="12.75">
      <c r="A177" s="2">
        <f>'Purchased Power Model'!A244</f>
        <v>42401</v>
      </c>
      <c r="B177" s="48">
        <f>'Purchased Power Model'!E244</f>
        <v>99584194.69109073</v>
      </c>
      <c r="C177" s="221">
        <f>'Purchased Power Model'!O244</f>
        <v>102663118.7069112</v>
      </c>
      <c r="D177" s="48">
        <f t="shared" si="12"/>
        <v>-3078924.0158204734</v>
      </c>
      <c r="E177" s="48">
        <f t="shared" si="13"/>
        <v>3078924.0158204734</v>
      </c>
      <c r="F177">
        <f t="shared" si="14"/>
        <v>0.03091779800370197</v>
      </c>
    </row>
    <row r="178" spans="1:6" ht="12.75">
      <c r="A178" s="2">
        <f>'Purchased Power Model'!A245</f>
        <v>42430</v>
      </c>
      <c r="B178" s="48">
        <f>'Purchased Power Model'!E245</f>
        <v>98838094.81801955</v>
      </c>
      <c r="C178" s="221">
        <f>'Purchased Power Model'!O245</f>
        <v>100784319.10178204</v>
      </c>
      <c r="D178" s="48">
        <f t="shared" si="12"/>
        <v>-1946224.2837624848</v>
      </c>
      <c r="E178" s="48">
        <f t="shared" si="13"/>
        <v>1946224.2837624848</v>
      </c>
      <c r="F178">
        <f t="shared" si="14"/>
        <v>0.019691033981845442</v>
      </c>
    </row>
    <row r="179" spans="1:6" ht="12.75">
      <c r="A179" s="2">
        <f>'Purchased Power Model'!A246</f>
        <v>42461</v>
      </c>
      <c r="B179" s="48">
        <f>'Purchased Power Model'!E246</f>
        <v>92071131.3796461</v>
      </c>
      <c r="C179" s="221">
        <f>'Purchased Power Model'!O246</f>
        <v>95541398.43798067</v>
      </c>
      <c r="D179" s="48">
        <f t="shared" si="12"/>
        <v>-3470267.058334574</v>
      </c>
      <c r="E179" s="48">
        <f t="shared" si="13"/>
        <v>3470267.058334574</v>
      </c>
      <c r="F179">
        <f t="shared" si="14"/>
        <v>0.03769115255057826</v>
      </c>
    </row>
    <row r="180" spans="1:6" ht="12.75">
      <c r="A180" s="2">
        <f>'Purchased Power Model'!A247</f>
        <v>42491</v>
      </c>
      <c r="B180" s="48">
        <f>'Purchased Power Model'!E247</f>
        <v>95530854.55811223</v>
      </c>
      <c r="C180" s="221">
        <f>'Purchased Power Model'!O247</f>
        <v>99883507.74146193</v>
      </c>
      <c r="D180" s="48">
        <f t="shared" si="12"/>
        <v>-4352653.183349699</v>
      </c>
      <c r="E180" s="48">
        <f t="shared" si="13"/>
        <v>4352653.183349699</v>
      </c>
      <c r="F180">
        <f t="shared" si="14"/>
        <v>0.045562799615719365</v>
      </c>
    </row>
    <row r="181" spans="1:6" ht="12.75">
      <c r="A181" s="2">
        <f>'Purchased Power Model'!A248</f>
        <v>42522</v>
      </c>
      <c r="B181" s="48">
        <f>'Purchased Power Model'!E248</f>
        <v>106535593.67033798</v>
      </c>
      <c r="C181" s="221">
        <f>'Purchased Power Model'!O248</f>
        <v>105779520.48902178</v>
      </c>
      <c r="D181" s="48">
        <f t="shared" si="12"/>
        <v>756073.1813161969</v>
      </c>
      <c r="E181" s="48">
        <f t="shared" si="13"/>
        <v>756073.1813161969</v>
      </c>
      <c r="F181">
        <f t="shared" si="14"/>
        <v>0.00709690682022928</v>
      </c>
    </row>
    <row r="182" spans="1:6" ht="12.75">
      <c r="A182" s="2">
        <f>'Purchased Power Model'!A249</f>
        <v>42552</v>
      </c>
      <c r="B182" s="48">
        <f>'Purchased Power Model'!E249</f>
        <v>128072181.29544806</v>
      </c>
      <c r="C182" s="221">
        <f>'Purchased Power Model'!O249</f>
        <v>128361863.39382553</v>
      </c>
      <c r="D182" s="48">
        <f t="shared" si="12"/>
        <v>-289682.0983774662</v>
      </c>
      <c r="E182" s="48">
        <f t="shared" si="13"/>
        <v>289682.0983774662</v>
      </c>
      <c r="F182">
        <f t="shared" si="14"/>
        <v>0.002261865890370074</v>
      </c>
    </row>
    <row r="183" spans="1:6" ht="12.75">
      <c r="A183" s="2">
        <f>'Purchased Power Model'!A250</f>
        <v>42583</v>
      </c>
      <c r="B183" s="48">
        <f>'Purchased Power Model'!E250</f>
        <v>135708397.06935012</v>
      </c>
      <c r="C183" s="221">
        <f>'Purchased Power Model'!O250</f>
        <v>134846162.61070484</v>
      </c>
      <c r="D183" s="48">
        <f t="shared" si="12"/>
        <v>862234.4586452842</v>
      </c>
      <c r="E183" s="48">
        <f t="shared" si="13"/>
        <v>862234.4586452842</v>
      </c>
      <c r="F183">
        <f t="shared" si="14"/>
        <v>0.006353582219416109</v>
      </c>
    </row>
    <row r="184" spans="1:6" ht="12.75">
      <c r="A184" s="2">
        <f>'Purchased Power Model'!A251</f>
        <v>42614</v>
      </c>
      <c r="B184" s="48">
        <f>'Purchased Power Model'!E251</f>
        <v>105682194.80664764</v>
      </c>
      <c r="C184" s="221">
        <f>'Purchased Power Model'!O251</f>
        <v>105086671.3231421</v>
      </c>
      <c r="D184" s="48">
        <f t="shared" si="12"/>
        <v>595523.483505547</v>
      </c>
      <c r="E184" s="48">
        <f t="shared" si="13"/>
        <v>595523.483505547</v>
      </c>
      <c r="F184">
        <f t="shared" si="14"/>
        <v>0.005635040837248843</v>
      </c>
    </row>
    <row r="185" spans="1:6" ht="12.75">
      <c r="A185" s="2">
        <f>'Purchased Power Model'!A252</f>
        <v>42644</v>
      </c>
      <c r="B185" s="48">
        <f>'Purchased Power Model'!E252</f>
        <v>91818770.75579955</v>
      </c>
      <c r="C185" s="221">
        <f>'Purchased Power Model'!O252</f>
        <v>95092726.74827681</v>
      </c>
      <c r="D185" s="48">
        <f t="shared" si="12"/>
        <v>-3273955.992477268</v>
      </c>
      <c r="E185" s="48">
        <f t="shared" si="13"/>
        <v>3273955.992477268</v>
      </c>
      <c r="F185">
        <f t="shared" si="14"/>
        <v>0.035656717744399505</v>
      </c>
    </row>
    <row r="186" spans="1:6" ht="12.75">
      <c r="A186" s="2">
        <f>'Purchased Power Model'!A253</f>
        <v>42675</v>
      </c>
      <c r="B186" s="48">
        <f>'Purchased Power Model'!E253</f>
        <v>91695068.90099233</v>
      </c>
      <c r="C186" s="221">
        <f>'Purchased Power Model'!O253</f>
        <v>93083624.55925786</v>
      </c>
      <c r="D186" s="48">
        <f t="shared" si="12"/>
        <v>-1388555.658265531</v>
      </c>
      <c r="E186" s="48">
        <f t="shared" si="13"/>
        <v>1388555.658265531</v>
      </c>
      <c r="F186">
        <f t="shared" si="14"/>
        <v>0.015143187904300751</v>
      </c>
    </row>
    <row r="187" spans="1:6" ht="12.75">
      <c r="A187" s="2">
        <f>'Purchased Power Model'!A254</f>
        <v>42705</v>
      </c>
      <c r="B187" s="48">
        <f>'Purchased Power Model'!E254</f>
        <v>104381043.8513695</v>
      </c>
      <c r="C187" s="221">
        <f>'Purchased Power Model'!O254</f>
        <v>107211610.9320749</v>
      </c>
      <c r="D187" s="48">
        <f t="shared" si="12"/>
        <v>-2830567.0807054043</v>
      </c>
      <c r="E187" s="48">
        <f t="shared" si="13"/>
        <v>2830567.0807054043</v>
      </c>
      <c r="F187">
        <f t="shared" si="14"/>
        <v>0.027117635312556482</v>
      </c>
    </row>
    <row r="188" spans="1:6" ht="12.75">
      <c r="A188" s="2">
        <f>'Purchased Power Model'!A255</f>
        <v>42736</v>
      </c>
      <c r="B188" s="48">
        <f>'Purchased Power Model'!E255</f>
        <v>106408607.67573097</v>
      </c>
      <c r="C188" s="221">
        <f>'Purchased Power Model'!O255</f>
        <v>107298825.2223656</v>
      </c>
      <c r="D188" s="48">
        <f t="shared" si="12"/>
        <v>-890217.5466346294</v>
      </c>
      <c r="E188" s="48">
        <f t="shared" si="13"/>
        <v>890217.5466346294</v>
      </c>
      <c r="F188">
        <f t="shared" si="14"/>
        <v>0.00836602946020564</v>
      </c>
    </row>
    <row r="189" spans="1:6" ht="12.75">
      <c r="A189" s="2">
        <f>'Purchased Power Model'!A256</f>
        <v>42767</v>
      </c>
      <c r="B189" s="48">
        <f>'Purchased Power Model'!E256</f>
        <v>91933039.99666771</v>
      </c>
      <c r="C189" s="221">
        <f>'Purchased Power Model'!O256</f>
        <v>96603076.5616193</v>
      </c>
      <c r="D189" s="48">
        <f t="shared" si="12"/>
        <v>-4670036.564951584</v>
      </c>
      <c r="E189" s="48">
        <f t="shared" si="13"/>
        <v>4670036.564951584</v>
      </c>
      <c r="F189">
        <f t="shared" si="14"/>
        <v>0.05079823929591427</v>
      </c>
    </row>
    <row r="190" spans="1:6" ht="12.75">
      <c r="A190" s="2">
        <f>'Purchased Power Model'!A257</f>
        <v>42795</v>
      </c>
      <c r="B190" s="48">
        <f>'Purchased Power Model'!E257</f>
        <v>100160850.08638881</v>
      </c>
      <c r="C190" s="221">
        <f>'Purchased Power Model'!O257</f>
        <v>101602524.44307351</v>
      </c>
      <c r="D190" s="48">
        <f t="shared" si="12"/>
        <v>-1441674.3566846997</v>
      </c>
      <c r="E190" s="48">
        <f t="shared" si="13"/>
        <v>1441674.3566846997</v>
      </c>
      <c r="F190">
        <f t="shared" si="14"/>
        <v>0.01439359146254504</v>
      </c>
    </row>
    <row r="191" spans="1:6" ht="12.75">
      <c r="A191" s="2">
        <f>'Purchased Power Model'!A258</f>
        <v>42826</v>
      </c>
      <c r="B191" s="48">
        <f>'Purchased Power Model'!E258</f>
        <v>89161195.87225649</v>
      </c>
      <c r="C191" s="221">
        <f>'Purchased Power Model'!O258</f>
        <v>92504533.94876088</v>
      </c>
      <c r="D191" s="48">
        <f t="shared" si="12"/>
        <v>-3343338.0765043944</v>
      </c>
      <c r="E191" s="48">
        <f t="shared" si="13"/>
        <v>3343338.0765043944</v>
      </c>
      <c r="F191">
        <f t="shared" si="14"/>
        <v>0.03749768095634877</v>
      </c>
    </row>
    <row r="192" spans="1:6" ht="12.75">
      <c r="A192" s="2">
        <f>'Purchased Power Model'!A259</f>
        <v>42856</v>
      </c>
      <c r="B192" s="48">
        <f>'Purchased Power Model'!E259</f>
        <v>91749408.22654861</v>
      </c>
      <c r="C192" s="221">
        <f>'Purchased Power Model'!O259</f>
        <v>93388254.03335549</v>
      </c>
      <c r="D192" s="48">
        <f t="shared" si="12"/>
        <v>-1638845.8068068773</v>
      </c>
      <c r="E192" s="48">
        <f t="shared" si="13"/>
        <v>1638845.8068068773</v>
      </c>
      <c r="F192">
        <f t="shared" si="14"/>
        <v>0.017862194846643826</v>
      </c>
    </row>
    <row r="193" spans="1:6" ht="12.75">
      <c r="A193" s="2">
        <f>'Purchased Power Model'!A260</f>
        <v>42887</v>
      </c>
      <c r="B193" s="48">
        <f>'Purchased Power Model'!E260</f>
        <v>101273771.58628052</v>
      </c>
      <c r="C193" s="221">
        <f>'Purchased Power Model'!O260</f>
        <v>103883725.6539636</v>
      </c>
      <c r="D193" s="48">
        <f t="shared" si="12"/>
        <v>-2609954.067683071</v>
      </c>
      <c r="E193" s="48">
        <f t="shared" si="13"/>
        <v>2609954.067683071</v>
      </c>
      <c r="F193">
        <f t="shared" si="14"/>
        <v>0.02577127351734414</v>
      </c>
    </row>
    <row r="194" spans="1:6" ht="12.75">
      <c r="A194" s="2">
        <f>'Purchased Power Model'!A261</f>
        <v>42917</v>
      </c>
      <c r="B194" s="48">
        <f>'Purchased Power Model'!E261</f>
        <v>117726048.6647153</v>
      </c>
      <c r="C194" s="221">
        <f>'Purchased Power Model'!O261</f>
        <v>115725018.33349475</v>
      </c>
      <c r="D194" s="48">
        <f t="shared" si="12"/>
        <v>2001030.3312205523</v>
      </c>
      <c r="E194" s="48">
        <f t="shared" si="13"/>
        <v>2001030.3312205523</v>
      </c>
      <c r="F194">
        <f t="shared" si="14"/>
        <v>0.01699734556554686</v>
      </c>
    </row>
    <row r="195" spans="1:6" ht="12.75">
      <c r="A195" s="2">
        <f>'Purchased Power Model'!A262</f>
        <v>42948</v>
      </c>
      <c r="B195" s="48">
        <f>'Purchased Power Model'!E262</f>
        <v>112627394.13246004</v>
      </c>
      <c r="C195" s="221">
        <f>'Purchased Power Model'!O262</f>
        <v>113630001.7183108</v>
      </c>
      <c r="D195" s="48">
        <f t="shared" si="12"/>
        <v>-1002607.5858507603</v>
      </c>
      <c r="E195" s="48">
        <f t="shared" si="13"/>
        <v>1002607.5858507603</v>
      </c>
      <c r="F195">
        <f t="shared" si="14"/>
        <v>0.008901986888479395</v>
      </c>
    </row>
    <row r="196" spans="1:6" ht="12.75">
      <c r="A196" s="2">
        <f>'Purchased Power Model'!A263</f>
        <v>42979</v>
      </c>
      <c r="B196" s="48">
        <f>'Purchased Power Model'!E263</f>
        <v>102970942.88329907</v>
      </c>
      <c r="C196" s="221">
        <f>'Purchased Power Model'!O263</f>
        <v>97861995.95170107</v>
      </c>
      <c r="D196" s="48">
        <f t="shared" si="12"/>
        <v>5108946.931597993</v>
      </c>
      <c r="E196" s="48">
        <f t="shared" si="13"/>
        <v>5108946.931597993</v>
      </c>
      <c r="F196">
        <f t="shared" si="14"/>
        <v>0.04961542342472438</v>
      </c>
    </row>
    <row r="197" spans="1:6" ht="12.75">
      <c r="A197" s="2">
        <f>'Purchased Power Model'!A264</f>
        <v>43009</v>
      </c>
      <c r="B197" s="48">
        <f>'Purchased Power Model'!E264</f>
        <v>90891594.66181129</v>
      </c>
      <c r="C197" s="221">
        <f>'Purchased Power Model'!O264</f>
        <v>93007611.06865017</v>
      </c>
      <c r="D197" s="48">
        <f t="shared" si="12"/>
        <v>-2116016.406838879</v>
      </c>
      <c r="E197" s="48">
        <f t="shared" si="13"/>
        <v>2116016.406838879</v>
      </c>
      <c r="F197">
        <f t="shared" si="14"/>
        <v>0.023280661041454227</v>
      </c>
    </row>
    <row r="198" spans="1:6" ht="12.75">
      <c r="A198" s="2">
        <f>'Purchased Power Model'!A265</f>
        <v>43040</v>
      </c>
      <c r="B198" s="48">
        <f>'Purchased Power Model'!E265</f>
        <v>99598138.80619138</v>
      </c>
      <c r="C198" s="221">
        <f>'Purchased Power Model'!O265</f>
        <v>94202764.11861263</v>
      </c>
      <c r="D198" s="48">
        <f t="shared" si="12"/>
        <v>5395374.687578753</v>
      </c>
      <c r="E198" s="48">
        <f t="shared" si="13"/>
        <v>5395374.687578753</v>
      </c>
      <c r="F198">
        <f t="shared" si="14"/>
        <v>0.05417144087479029</v>
      </c>
    </row>
    <row r="199" spans="1:6" ht="12.75">
      <c r="A199" s="2">
        <f>'Purchased Power Model'!A266</f>
        <v>43070</v>
      </c>
      <c r="B199" s="48">
        <f>'Purchased Power Model'!E266</f>
        <v>107700223.29477285</v>
      </c>
      <c r="C199" s="221">
        <f>'Purchased Power Model'!O266</f>
        <v>107435632.53707822</v>
      </c>
      <c r="D199" s="48">
        <f t="shared" si="12"/>
        <v>264590.7576946318</v>
      </c>
      <c r="E199" s="48">
        <f t="shared" si="13"/>
        <v>264590.7576946318</v>
      </c>
      <c r="F199">
        <f t="shared" si="14"/>
        <v>0.002456733603703434</v>
      </c>
    </row>
    <row r="200" spans="1:6" ht="12.75">
      <c r="A200" s="2">
        <f>'Purchased Power Model'!A267</f>
        <v>43101</v>
      </c>
      <c r="B200" s="48">
        <f>'Purchased Power Model'!E267</f>
        <v>111133966.93694584</v>
      </c>
      <c r="C200" s="221">
        <f>'Purchased Power Model'!O267</f>
        <v>108266412.9271847</v>
      </c>
      <c r="D200" s="48">
        <f t="shared" si="12"/>
        <v>2867554.0097611398</v>
      </c>
      <c r="E200" s="48">
        <f t="shared" si="13"/>
        <v>2867554.0097611398</v>
      </c>
      <c r="F200">
        <f t="shared" si="14"/>
        <v>0.02580267841413513</v>
      </c>
    </row>
    <row r="201" spans="1:6" ht="12.75">
      <c r="A201" s="2">
        <f>'Purchased Power Model'!A268</f>
        <v>43132</v>
      </c>
      <c r="B201" s="48">
        <f>'Purchased Power Model'!E268</f>
        <v>96052714.97080131</v>
      </c>
      <c r="C201" s="221">
        <f>'Purchased Power Model'!O268</f>
        <v>96632300.01771091</v>
      </c>
      <c r="D201" s="48">
        <f t="shared" si="12"/>
        <v>-579585.0469096005</v>
      </c>
      <c r="E201" s="48">
        <f t="shared" si="13"/>
        <v>579585.0469096005</v>
      </c>
      <c r="F201">
        <f t="shared" si="14"/>
        <v>0.006034030866132064</v>
      </c>
    </row>
    <row r="202" spans="1:6" ht="12.75">
      <c r="A202" s="2">
        <f>'Purchased Power Model'!A269</f>
        <v>43160</v>
      </c>
      <c r="B202" s="48">
        <f>'Purchased Power Model'!E269</f>
        <v>100674994.83969073</v>
      </c>
      <c r="C202" s="221">
        <f>'Purchased Power Model'!O269</f>
        <v>100397511.23146032</v>
      </c>
      <c r="D202" s="48">
        <f t="shared" si="12"/>
        <v>277483.608230412</v>
      </c>
      <c r="E202" s="48">
        <f t="shared" si="13"/>
        <v>277483.608230412</v>
      </c>
      <c r="F202">
        <f t="shared" si="14"/>
        <v>0.0027562316608236385</v>
      </c>
    </row>
    <row r="203" spans="1:6" ht="12.75">
      <c r="A203" s="2">
        <f>'Purchased Power Model'!A270</f>
        <v>43191</v>
      </c>
      <c r="B203" s="48">
        <f>'Purchased Power Model'!E270</f>
        <v>94871379.14861572</v>
      </c>
      <c r="C203" s="221">
        <f>'Purchased Power Model'!O270</f>
        <v>95718779.87604287</v>
      </c>
      <c r="D203" s="48">
        <f t="shared" si="12"/>
        <v>-847400.7274271548</v>
      </c>
      <c r="E203" s="48">
        <f t="shared" si="13"/>
        <v>847400.7274271548</v>
      </c>
      <c r="F203">
        <f t="shared" si="14"/>
        <v>0.008932100861522253</v>
      </c>
    </row>
    <row r="204" spans="1:6" ht="12.75">
      <c r="A204" s="2">
        <f>'Purchased Power Model'!A271</f>
        <v>43221</v>
      </c>
      <c r="B204" s="48">
        <f>'Purchased Power Model'!E271</f>
        <v>96408046.82926665</v>
      </c>
      <c r="C204" s="221">
        <f>'Purchased Power Model'!O271</f>
        <v>93877233.39845194</v>
      </c>
      <c r="D204" s="48">
        <f t="shared" si="12"/>
        <v>2530813.4308147132</v>
      </c>
      <c r="E204" s="48">
        <f t="shared" si="13"/>
        <v>2530813.4308147132</v>
      </c>
      <c r="F204">
        <f t="shared" si="14"/>
        <v>0.026251060093527716</v>
      </c>
    </row>
    <row r="205" spans="1:6" ht="12.75">
      <c r="A205" s="2">
        <f>'Purchased Power Model'!A272</f>
        <v>43252</v>
      </c>
      <c r="B205" s="48">
        <f>'Purchased Power Model'!E272</f>
        <v>105101249.58552134</v>
      </c>
      <c r="C205" s="221">
        <f>'Purchased Power Model'!O272</f>
        <v>100615395.08503313</v>
      </c>
      <c r="D205" s="48">
        <f t="shared" si="12"/>
        <v>4485854.500488207</v>
      </c>
      <c r="E205" s="48">
        <f t="shared" si="13"/>
        <v>4485854.500488207</v>
      </c>
      <c r="F205">
        <f t="shared" si="14"/>
        <v>0.04268126704657348</v>
      </c>
    </row>
    <row r="206" spans="1:6" ht="12.75">
      <c r="A206" s="2">
        <f>'Purchased Power Model'!A273</f>
        <v>43282</v>
      </c>
      <c r="B206" s="48">
        <f>'Purchased Power Model'!E273</f>
        <v>131245103.95452003</v>
      </c>
      <c r="C206" s="221">
        <f>'Purchased Power Model'!O273</f>
        <v>130425858.83912265</v>
      </c>
      <c r="D206" s="48">
        <f t="shared" si="12"/>
        <v>819245.1153973788</v>
      </c>
      <c r="E206" s="48">
        <f t="shared" si="13"/>
        <v>819245.1153973788</v>
      </c>
      <c r="F206">
        <f t="shared" si="14"/>
        <v>0.006242100396227118</v>
      </c>
    </row>
    <row r="207" spans="1:6" ht="12.75">
      <c r="A207" s="2">
        <f>'Purchased Power Model'!A274</f>
        <v>43313</v>
      </c>
      <c r="B207" s="48">
        <f>'Purchased Power Model'!E274</f>
        <v>128280410.38613768</v>
      </c>
      <c r="C207" s="221">
        <f>'Purchased Power Model'!O274</f>
        <v>130453942.76792982</v>
      </c>
      <c r="D207" s="48">
        <f t="shared" si="12"/>
        <v>-2173532.381792143</v>
      </c>
      <c r="E207" s="48">
        <f t="shared" si="13"/>
        <v>2173532.381792143</v>
      </c>
      <c r="F207">
        <f t="shared" si="14"/>
        <v>0.016943603276989676</v>
      </c>
    </row>
    <row r="208" spans="1:6" ht="12.75">
      <c r="A208" s="2">
        <f>'Purchased Power Model'!A275</f>
        <v>43344</v>
      </c>
      <c r="B208" s="48">
        <f>'Purchased Power Model'!E275</f>
        <v>108752473.71093413</v>
      </c>
      <c r="C208" s="221">
        <f>'Purchased Power Model'!O275</f>
        <v>102138623.4350182</v>
      </c>
      <c r="D208" s="48">
        <f t="shared" si="12"/>
        <v>6613850.275915936</v>
      </c>
      <c r="E208" s="48">
        <f t="shared" si="13"/>
        <v>6613850.275915936</v>
      </c>
      <c r="F208">
        <f t="shared" si="14"/>
        <v>0.06081563067241724</v>
      </c>
    </row>
    <row r="209" spans="1:6" ht="12.75">
      <c r="A209" s="2">
        <f>'Purchased Power Model'!A276</f>
        <v>43374</v>
      </c>
      <c r="B209" s="48">
        <f>'Purchased Power Model'!E276</f>
        <v>93872619.63675693</v>
      </c>
      <c r="C209" s="221">
        <f>'Purchased Power Model'!O276</f>
        <v>95307109.24747424</v>
      </c>
      <c r="D209" s="48">
        <f t="shared" si="12"/>
        <v>-1434489.6107173115</v>
      </c>
      <c r="E209" s="48">
        <f t="shared" si="13"/>
        <v>1434489.6107173115</v>
      </c>
      <c r="F209">
        <f t="shared" si="14"/>
        <v>0.015281235532449339</v>
      </c>
    </row>
    <row r="210" spans="1:6" ht="12.75">
      <c r="A210" s="2">
        <f>'Purchased Power Model'!A277</f>
        <v>43405</v>
      </c>
      <c r="B210" s="48">
        <f>'Purchased Power Model'!E277</f>
        <v>99170417.86876132</v>
      </c>
      <c r="C210" s="221">
        <f>'Purchased Power Model'!O277</f>
        <v>96346039.94040574</v>
      </c>
      <c r="D210" s="48">
        <f t="shared" si="12"/>
        <v>2824377.9283555746</v>
      </c>
      <c r="E210" s="48">
        <f t="shared" si="13"/>
        <v>2824377.9283555746</v>
      </c>
      <c r="F210">
        <f t="shared" si="14"/>
        <v>0.028480044644898624</v>
      </c>
    </row>
    <row r="211" spans="1:6" ht="12.75">
      <c r="A211" s="2">
        <f>'Purchased Power Model'!A278</f>
        <v>43435</v>
      </c>
      <c r="B211" s="48">
        <f>'Purchased Power Model'!E278</f>
        <v>105259128.67145047</v>
      </c>
      <c r="C211" s="221">
        <f>'Purchased Power Model'!O278</f>
        <v>105648672.38795403</v>
      </c>
      <c r="D211" s="48">
        <f t="shared" si="12"/>
        <v>-389543.71650356054</v>
      </c>
      <c r="E211" s="48">
        <f t="shared" si="13"/>
        <v>389543.71650356054</v>
      </c>
      <c r="F211">
        <f t="shared" si="14"/>
        <v>0.003700806964871037</v>
      </c>
    </row>
    <row r="212" spans="1:6" ht="12.75">
      <c r="A212" s="2">
        <f>'Purchased Power Model'!A279</f>
        <v>43466</v>
      </c>
      <c r="B212" s="48">
        <f>'Purchased Power Model'!E279</f>
        <v>111454816.69988883</v>
      </c>
      <c r="C212" s="221">
        <f>'Purchased Power Model'!O279</f>
        <v>109823678.85901794</v>
      </c>
      <c r="D212" s="48">
        <f t="shared" si="12"/>
        <v>1631137.840870887</v>
      </c>
      <c r="E212" s="48">
        <f t="shared" si="13"/>
        <v>1631137.840870887</v>
      </c>
      <c r="F212">
        <f t="shared" si="14"/>
        <v>0.014634969480619263</v>
      </c>
    </row>
    <row r="213" spans="1:6" ht="12.75">
      <c r="A213" s="2">
        <f>'Purchased Power Model'!A280</f>
        <v>43497</v>
      </c>
      <c r="B213" s="48">
        <f>'Purchased Power Model'!E280</f>
        <v>100941796.49383058</v>
      </c>
      <c r="C213" s="221">
        <f>'Purchased Power Model'!O280</f>
        <v>99107883.73216462</v>
      </c>
      <c r="D213" s="48">
        <f t="shared" si="12"/>
        <v>1833912.7616659552</v>
      </c>
      <c r="E213" s="48">
        <f t="shared" si="13"/>
        <v>1833912.7616659552</v>
      </c>
      <c r="F213">
        <f t="shared" si="14"/>
        <v>0.0181680218241216</v>
      </c>
    </row>
    <row r="214" spans="1:6" ht="12.75">
      <c r="A214" s="2">
        <f>'Purchased Power Model'!A281</f>
        <v>43525</v>
      </c>
      <c r="B214" s="48">
        <f>'Purchased Power Model'!E281</f>
        <v>104086121.33867134</v>
      </c>
      <c r="C214" s="221">
        <f>'Purchased Power Model'!O281</f>
        <v>102180688.1903674</v>
      </c>
      <c r="D214" s="48">
        <f aca="true" t="shared" si="15" ref="D214:D219">B214-C214</f>
        <v>1905433.148303941</v>
      </c>
      <c r="E214" s="48">
        <f aca="true" t="shared" si="16" ref="E214:E219">ABS(D214)</f>
        <v>1905433.148303941</v>
      </c>
      <c r="F214">
        <f aca="true" t="shared" si="17" ref="F214:F219">E214/B214</f>
        <v>0.018306313308612175</v>
      </c>
    </row>
    <row r="215" spans="1:6" ht="12.75">
      <c r="A215" s="2">
        <f>'Purchased Power Model'!A282</f>
        <v>43556</v>
      </c>
      <c r="B215" s="48">
        <f>'Purchased Power Model'!E282</f>
        <v>93027517.46338749</v>
      </c>
      <c r="C215" s="221">
        <f>'Purchased Power Model'!O282</f>
        <v>94995029.60119386</v>
      </c>
      <c r="D215" s="48">
        <f t="shared" si="15"/>
        <v>-1967512.1378063709</v>
      </c>
      <c r="E215" s="48">
        <f t="shared" si="16"/>
        <v>1967512.1378063709</v>
      </c>
      <c r="F215">
        <f t="shared" si="17"/>
        <v>0.021149786551927688</v>
      </c>
    </row>
    <row r="216" spans="1:6" ht="12.75">
      <c r="A216" s="2">
        <f>'Purchased Power Model'!A283</f>
        <v>43586</v>
      </c>
      <c r="B216" s="48">
        <f>'Purchased Power Model'!E283</f>
        <v>93344007.00954002</v>
      </c>
      <c r="C216" s="221">
        <f>'Purchased Power Model'!O283</f>
        <v>94936628.6600884</v>
      </c>
      <c r="D216" s="48">
        <f t="shared" si="15"/>
        <v>-1592621.6505483836</v>
      </c>
      <c r="E216" s="48">
        <f t="shared" si="16"/>
        <v>1592621.6505483836</v>
      </c>
      <c r="F216">
        <f t="shared" si="17"/>
        <v>0.01706185219138507</v>
      </c>
    </row>
    <row r="217" spans="1:6" ht="12.75">
      <c r="A217" s="2">
        <f>'Purchased Power Model'!A284</f>
        <v>43617</v>
      </c>
      <c r="B217" s="48">
        <f>'Purchased Power Model'!E284</f>
        <v>100018714.58841486</v>
      </c>
      <c r="C217" s="221">
        <f>'Purchased Power Model'!O284</f>
        <v>99484746.34164551</v>
      </c>
      <c r="D217" s="48">
        <f t="shared" si="15"/>
        <v>533968.2467693537</v>
      </c>
      <c r="E217" s="48">
        <f t="shared" si="16"/>
        <v>533968.2467693537</v>
      </c>
      <c r="F217">
        <f t="shared" si="17"/>
        <v>0.005338683355076862</v>
      </c>
    </row>
    <row r="218" spans="1:6" ht="12.75">
      <c r="A218" s="2">
        <f>'Purchased Power Model'!A285</f>
        <v>43647</v>
      </c>
      <c r="B218" s="48">
        <f>'Purchased Power Model'!E285</f>
        <v>131219500.36546057</v>
      </c>
      <c r="C218" s="221">
        <f>'Purchased Power Model'!O285</f>
        <v>126420186.48837842</v>
      </c>
      <c r="D218" s="48">
        <f t="shared" si="15"/>
        <v>4799313.877082154</v>
      </c>
      <c r="E218" s="48">
        <f t="shared" si="16"/>
        <v>4799313.877082154</v>
      </c>
      <c r="F218">
        <f t="shared" si="17"/>
        <v>0.03657470013005341</v>
      </c>
    </row>
    <row r="219" spans="1:6" ht="12.75">
      <c r="A219" s="2">
        <f>'Purchased Power Model'!A286</f>
        <v>43678</v>
      </c>
      <c r="B219" s="48">
        <f>'Purchased Power Model'!E286</f>
        <v>120525610.475917</v>
      </c>
      <c r="C219" s="221">
        <f>'Purchased Power Model'!O286</f>
        <v>117795424.55708107</v>
      </c>
      <c r="D219" s="48">
        <f t="shared" si="15"/>
        <v>2730185.918835923</v>
      </c>
      <c r="E219" s="48">
        <f t="shared" si="16"/>
        <v>2730185.918835923</v>
      </c>
      <c r="F219">
        <f t="shared" si="17"/>
        <v>0.02265233014008636</v>
      </c>
    </row>
    <row r="220" spans="1:6" ht="12.75">
      <c r="A220" s="2">
        <f>'Purchased Power Model'!A287</f>
        <v>43709</v>
      </c>
      <c r="B220" s="48">
        <f>'Purchased Power Model'!E287</f>
        <v>100133229.9538758</v>
      </c>
      <c r="C220" s="221">
        <f>'Purchased Power Model'!O287</f>
        <v>97432835.55381058</v>
      </c>
      <c r="D220" s="48">
        <f>B220-C220</f>
        <v>2700394.4000652134</v>
      </c>
      <c r="E220" s="48">
        <f>ABS(D220)</f>
        <v>2700394.4000652134</v>
      </c>
      <c r="F220">
        <f>E220/B220</f>
        <v>0.026968014527336145</v>
      </c>
    </row>
    <row r="221" spans="1:6" ht="12.75">
      <c r="A221" s="2">
        <f>'Purchased Power Model'!A288</f>
        <v>43739</v>
      </c>
      <c r="B221" s="48">
        <f>'Purchased Power Model'!E288</f>
        <v>92784004.77091935</v>
      </c>
      <c r="C221" s="221">
        <f>'Purchased Power Model'!O288</f>
        <v>94924904.18267182</v>
      </c>
      <c r="D221" s="48">
        <f>B221-C221</f>
        <v>-2140899.4117524624</v>
      </c>
      <c r="E221" s="48">
        <f>ABS(D221)</f>
        <v>2140899.4117524624</v>
      </c>
      <c r="F221">
        <f>E221/B221</f>
        <v>0.023074013856572286</v>
      </c>
    </row>
    <row r="222" spans="1:6" ht="12.75">
      <c r="A222" s="2">
        <f>'Purchased Power Model'!A289</f>
        <v>43770</v>
      </c>
      <c r="B222" s="48">
        <f>'Purchased Power Model'!E289</f>
        <v>98961961.25794603</v>
      </c>
      <c r="C222" s="221">
        <f>'Purchased Power Model'!O289</f>
        <v>98561429.43546195</v>
      </c>
      <c r="D222" s="48">
        <f>B222-C222</f>
        <v>400531.822484076</v>
      </c>
      <c r="E222" s="48">
        <f>ABS(D222)</f>
        <v>400531.822484076</v>
      </c>
      <c r="F222">
        <f>E222/B222</f>
        <v>0.004047331089569689</v>
      </c>
    </row>
    <row r="223" spans="1:6" ht="12.75">
      <c r="A223" s="2">
        <f>'Purchased Power Model'!A290</f>
        <v>43800</v>
      </c>
      <c r="B223" s="48">
        <f>'Purchased Power Model'!E290</f>
        <v>105869457.25190988</v>
      </c>
      <c r="C223" s="221">
        <f>'Purchased Power Model'!O290</f>
        <v>108170991.8455033</v>
      </c>
      <c r="D223" s="48">
        <f>B223-C223</f>
        <v>-2301534.5935934186</v>
      </c>
      <c r="E223" s="48">
        <f>ABS(D223)</f>
        <v>2301534.5935934186</v>
      </c>
      <c r="F223">
        <f>E223/B223</f>
        <v>0.02173936330019203</v>
      </c>
    </row>
    <row r="225" spans="5:6" ht="12.75">
      <c r="E225" s="199" t="s">
        <v>194</v>
      </c>
      <c r="F225">
        <f>COUNT(B8:B223)</f>
        <v>216</v>
      </c>
    </row>
    <row r="227" spans="5:6" ht="12.75">
      <c r="E227" s="19" t="s">
        <v>193</v>
      </c>
      <c r="F227" s="222">
        <f>SUM(F8:F223)/F225</f>
        <v>0.02019270441129499</v>
      </c>
    </row>
  </sheetData>
  <sheetProtection/>
  <printOptions/>
  <pageMargins left="0.7" right="0.7" top="0.75" bottom="0.75" header="0.3" footer="0.3"/>
  <pageSetup orientation="portrait" r:id="rId2"/>
  <drawing r:id="rId1"/>
</worksheet>
</file>

<file path=xl/worksheets/sheet16.xml><?xml version="1.0" encoding="utf-8"?>
<worksheet xmlns="http://schemas.openxmlformats.org/spreadsheetml/2006/main" xmlns:r="http://schemas.openxmlformats.org/officeDocument/2006/relationships">
  <dimension ref="A2:H218"/>
  <sheetViews>
    <sheetView zoomScalePageLayoutView="0" workbookViewId="0" topLeftCell="A1">
      <selection activeCell="J6" sqref="J6"/>
    </sheetView>
  </sheetViews>
  <sheetFormatPr defaultColWidth="9.140625" defaultRowHeight="12.75"/>
  <cols>
    <col min="2" max="3" width="12.28125" style="0" bestFit="1" customWidth="1"/>
    <col min="4" max="4" width="11.57421875" style="0" bestFit="1" customWidth="1"/>
    <col min="5" max="5" width="10.8515625" style="0" bestFit="1" customWidth="1"/>
  </cols>
  <sheetData>
    <row r="2" spans="1:4" ht="15">
      <c r="A2" s="304" t="s">
        <v>153</v>
      </c>
      <c r="B2" s="305" t="s">
        <v>195</v>
      </c>
      <c r="C2" s="305" t="s">
        <v>196</v>
      </c>
      <c r="D2" s="306" t="s">
        <v>314</v>
      </c>
    </row>
    <row r="3" spans="1:8" ht="12.75">
      <c r="A3" s="307">
        <v>37275</v>
      </c>
      <c r="B3" s="138">
        <f>'Purchased Power Model'!E75</f>
        <v>98398774.07602799</v>
      </c>
      <c r="C3" s="138">
        <f>'Purchased Power Model'!O75</f>
        <v>97603664.64146474</v>
      </c>
      <c r="D3" s="270">
        <f>B3-C3</f>
        <v>795109.4345632493</v>
      </c>
      <c r="G3" t="s">
        <v>315</v>
      </c>
      <c r="H3">
        <v>216</v>
      </c>
    </row>
    <row r="4" spans="1:8" ht="12.75">
      <c r="A4" s="307">
        <v>37308</v>
      </c>
      <c r="B4" s="138">
        <f>'Purchased Power Model'!E76</f>
        <v>87515454.44591543</v>
      </c>
      <c r="C4" s="138">
        <f>'Purchased Power Model'!O76</f>
        <v>88835770.34732112</v>
      </c>
      <c r="D4" s="270">
        <f aca="true" t="shared" si="0" ref="D4:D67">B4-C4</f>
        <v>-1320315.901405692</v>
      </c>
      <c r="E4" s="270">
        <f>D4-D3</f>
        <v>-2115425.3359689415</v>
      </c>
      <c r="G4" t="s">
        <v>316</v>
      </c>
      <c r="H4">
        <f>SUMSQ(E4:E218)/SUMSQ(D3:D218)</f>
        <v>1.8064453608232414</v>
      </c>
    </row>
    <row r="5" spans="1:5" ht="12.75">
      <c r="A5" s="307">
        <v>37341</v>
      </c>
      <c r="B5" s="138">
        <f>'Purchased Power Model'!E77</f>
        <v>94028461.32406956</v>
      </c>
      <c r="C5" s="138">
        <f>'Purchased Power Model'!O77</f>
        <v>92776111.61873136</v>
      </c>
      <c r="D5" s="270">
        <f t="shared" si="0"/>
        <v>1252349.705338195</v>
      </c>
      <c r="E5" s="270">
        <f aca="true" t="shared" si="1" ref="E5:E68">D5-D4</f>
        <v>2572665.606743887</v>
      </c>
    </row>
    <row r="6" spans="1:5" ht="12.75">
      <c r="A6" s="307">
        <v>37374</v>
      </c>
      <c r="B6" s="138">
        <f>'Purchased Power Model'!E78</f>
        <v>86184465.62416014</v>
      </c>
      <c r="C6" s="138">
        <f>'Purchased Power Model'!O78</f>
        <v>85426733.2786949</v>
      </c>
      <c r="D6" s="270">
        <f t="shared" si="0"/>
        <v>757732.3454652429</v>
      </c>
      <c r="E6" s="270">
        <f t="shared" si="1"/>
        <v>-494617.3598729521</v>
      </c>
    </row>
    <row r="7" spans="1:5" ht="12.75">
      <c r="A7" s="307">
        <v>37407</v>
      </c>
      <c r="B7" s="138">
        <f>'Purchased Power Model'!E79</f>
        <v>85447299.00560406</v>
      </c>
      <c r="C7" s="138">
        <f>'Purchased Power Model'!O79</f>
        <v>86644232.92355259</v>
      </c>
      <c r="D7" s="270">
        <f t="shared" si="0"/>
        <v>-1196933.9179485291</v>
      </c>
      <c r="E7" s="270">
        <f t="shared" si="1"/>
        <v>-1954666.263413772</v>
      </c>
    </row>
    <row r="8" spans="1:5" ht="12.75">
      <c r="A8" s="307">
        <v>37408</v>
      </c>
      <c r="B8" s="138">
        <f>'Purchased Power Model'!E80</f>
        <v>95651672.75514369</v>
      </c>
      <c r="C8" s="138">
        <f>'Purchased Power Model'!O80</f>
        <v>95218363.90847203</v>
      </c>
      <c r="D8" s="270">
        <f t="shared" si="0"/>
        <v>433308.8466716558</v>
      </c>
      <c r="E8" s="270">
        <f t="shared" si="1"/>
        <v>1630242.764620185</v>
      </c>
    </row>
    <row r="9" spans="1:5" ht="12.75">
      <c r="A9" s="307">
        <v>37440</v>
      </c>
      <c r="B9" s="138">
        <f>'Purchased Power Model'!E81</f>
        <v>119450096.05526412</v>
      </c>
      <c r="C9" s="138">
        <f>'Purchased Power Model'!O81</f>
        <v>125076816.21367316</v>
      </c>
      <c r="D9" s="270">
        <f t="shared" si="0"/>
        <v>-5626720.158409044</v>
      </c>
      <c r="E9" s="270">
        <f t="shared" si="1"/>
        <v>-6060029.0050807</v>
      </c>
    </row>
    <row r="10" spans="1:5" ht="12.75">
      <c r="A10" s="307">
        <v>37473</v>
      </c>
      <c r="B10" s="138">
        <f>'Purchased Power Model'!E82</f>
        <v>114483162.95551597</v>
      </c>
      <c r="C10" s="138">
        <f>'Purchased Power Model'!O82</f>
        <v>117850981.1021003</v>
      </c>
      <c r="D10" s="270">
        <f t="shared" si="0"/>
        <v>-3367818.146584332</v>
      </c>
      <c r="E10" s="270">
        <f t="shared" si="1"/>
        <v>2258902.011824712</v>
      </c>
    </row>
    <row r="11" spans="1:5" ht="12.75">
      <c r="A11" s="307">
        <v>37506</v>
      </c>
      <c r="B11" s="138">
        <f>'Purchased Power Model'!E83</f>
        <v>96936653.29524302</v>
      </c>
      <c r="C11" s="138">
        <f>'Purchased Power Model'!O83</f>
        <v>97963092.8486663</v>
      </c>
      <c r="D11" s="270">
        <f t="shared" si="0"/>
        <v>-1026439.5534232706</v>
      </c>
      <c r="E11" s="270">
        <f t="shared" si="1"/>
        <v>2341378.5931610614</v>
      </c>
    </row>
    <row r="12" spans="1:5" ht="12.75">
      <c r="A12" s="307">
        <v>37539</v>
      </c>
      <c r="B12" s="138">
        <f>'Purchased Power Model'!E84</f>
        <v>90917730.90590566</v>
      </c>
      <c r="C12" s="138">
        <f>'Purchased Power Model'!O84</f>
        <v>89914335.95309174</v>
      </c>
      <c r="D12" s="270">
        <f t="shared" si="0"/>
        <v>1003394.9528139234</v>
      </c>
      <c r="E12" s="270">
        <f t="shared" si="1"/>
        <v>2029834.506237194</v>
      </c>
    </row>
    <row r="13" spans="1:5" ht="12.75">
      <c r="A13" s="307">
        <v>37572</v>
      </c>
      <c r="B13" s="138">
        <f>'Purchased Power Model'!E85</f>
        <v>90920617.54078616</v>
      </c>
      <c r="C13" s="138">
        <f>'Purchased Power Model'!O85</f>
        <v>88735939.80024035</v>
      </c>
      <c r="D13" s="270">
        <f t="shared" si="0"/>
        <v>2184677.7405458093</v>
      </c>
      <c r="E13" s="270">
        <f t="shared" si="1"/>
        <v>1181282.787731886</v>
      </c>
    </row>
    <row r="14" spans="1:5" ht="12.75">
      <c r="A14" s="307">
        <v>37605</v>
      </c>
      <c r="B14" s="138">
        <f>'Purchased Power Model'!E86</f>
        <v>102776285.796761</v>
      </c>
      <c r="C14" s="138">
        <f>'Purchased Power Model'!O86</f>
        <v>101120863.66701928</v>
      </c>
      <c r="D14" s="270">
        <f t="shared" si="0"/>
        <v>1655422.1297417283</v>
      </c>
      <c r="E14" s="270">
        <f t="shared" si="1"/>
        <v>-529255.610804081</v>
      </c>
    </row>
    <row r="15" spans="1:5" ht="12.75">
      <c r="A15" s="307">
        <v>37622</v>
      </c>
      <c r="B15" s="138">
        <f>'Purchased Power Model'!E87</f>
        <v>104493534.93325901</v>
      </c>
      <c r="C15" s="138">
        <f>'Purchased Power Model'!O87</f>
        <v>104733435.39449382</v>
      </c>
      <c r="D15" s="270">
        <f t="shared" si="0"/>
        <v>-239900.46123480797</v>
      </c>
      <c r="E15" s="270">
        <f t="shared" si="1"/>
        <v>-1895322.5909765363</v>
      </c>
    </row>
    <row r="16" spans="1:5" ht="12.75">
      <c r="A16" s="307">
        <v>37653</v>
      </c>
      <c r="B16" s="138">
        <f>'Purchased Power Model'!E88</f>
        <v>96011347.4612544</v>
      </c>
      <c r="C16" s="138">
        <f>'Purchased Power Model'!O88</f>
        <v>94810571.29397216</v>
      </c>
      <c r="D16" s="270">
        <f t="shared" si="0"/>
        <v>1200776.1672822386</v>
      </c>
      <c r="E16" s="270">
        <f t="shared" si="1"/>
        <v>1440676.6285170466</v>
      </c>
    </row>
    <row r="17" spans="1:5" ht="12.75">
      <c r="A17" s="307">
        <v>37681</v>
      </c>
      <c r="B17" s="138">
        <f>'Purchased Power Model'!E89</f>
        <v>95684640.11626172</v>
      </c>
      <c r="C17" s="138">
        <f>'Purchased Power Model'!O89</f>
        <v>96240576.9890833</v>
      </c>
      <c r="D17" s="270">
        <f t="shared" si="0"/>
        <v>-555936.8728215843</v>
      </c>
      <c r="E17" s="270">
        <f t="shared" si="1"/>
        <v>-1756713.040103823</v>
      </c>
    </row>
    <row r="18" spans="1:5" ht="12.75">
      <c r="A18" s="307">
        <v>37712</v>
      </c>
      <c r="B18" s="138">
        <f>'Purchased Power Model'!E90</f>
        <v>86343957.47688204</v>
      </c>
      <c r="C18" s="138">
        <f>'Purchased Power Model'!O90</f>
        <v>90044279.24796914</v>
      </c>
      <c r="D18" s="270">
        <f t="shared" si="0"/>
        <v>-3700321.771087095</v>
      </c>
      <c r="E18" s="270">
        <f t="shared" si="1"/>
        <v>-3144384.898265511</v>
      </c>
    </row>
    <row r="19" spans="1:5" ht="12.75">
      <c r="A19" s="307">
        <v>37742</v>
      </c>
      <c r="B19" s="138">
        <f>'Purchased Power Model'!E91</f>
        <v>84100206.04600699</v>
      </c>
      <c r="C19" s="138">
        <f>'Purchased Power Model'!O91</f>
        <v>88897993.79015273</v>
      </c>
      <c r="D19" s="270">
        <f t="shared" si="0"/>
        <v>-4797787.744145736</v>
      </c>
      <c r="E19" s="270">
        <f t="shared" si="1"/>
        <v>-1097465.973058641</v>
      </c>
    </row>
    <row r="20" spans="1:5" ht="12.75">
      <c r="A20" s="307">
        <v>37773</v>
      </c>
      <c r="B20" s="138">
        <f>'Purchased Power Model'!E92</f>
        <v>90485412.53994009</v>
      </c>
      <c r="C20" s="138">
        <f>'Purchased Power Model'!O92</f>
        <v>96393832.08939803</v>
      </c>
      <c r="D20" s="270">
        <f t="shared" si="0"/>
        <v>-5908419.5494579375</v>
      </c>
      <c r="E20" s="270">
        <f t="shared" si="1"/>
        <v>-1110631.8053122014</v>
      </c>
    </row>
    <row r="21" spans="1:5" ht="12.75">
      <c r="A21" s="307">
        <v>37803</v>
      </c>
      <c r="B21" s="138">
        <f>'Purchased Power Model'!E93</f>
        <v>107838219.04581785</v>
      </c>
      <c r="C21" s="138">
        <f>'Purchased Power Model'!O93</f>
        <v>109827742.36148973</v>
      </c>
      <c r="D21" s="270">
        <f t="shared" si="0"/>
        <v>-1989523.315671876</v>
      </c>
      <c r="E21" s="270">
        <f t="shared" si="1"/>
        <v>3918896.2337860614</v>
      </c>
    </row>
    <row r="22" spans="1:5" ht="12.75">
      <c r="A22" s="307">
        <v>37834</v>
      </c>
      <c r="B22" s="138">
        <f>'Purchased Power Model'!E94</f>
        <v>111720633.46704757</v>
      </c>
      <c r="C22" s="138">
        <f>'Purchased Power Model'!O94</f>
        <v>117757681.15289102</v>
      </c>
      <c r="D22" s="270">
        <f t="shared" si="0"/>
        <v>-6037047.685843453</v>
      </c>
      <c r="E22" s="270">
        <f t="shared" si="1"/>
        <v>-4047524.3701715767</v>
      </c>
    </row>
    <row r="23" spans="1:5" ht="12.75">
      <c r="A23" s="307">
        <v>37865</v>
      </c>
      <c r="B23" s="138">
        <f>'Purchased Power Model'!E95</f>
        <v>90994823.96504186</v>
      </c>
      <c r="C23" s="138">
        <f>'Purchased Power Model'!O95</f>
        <v>87323649.08239312</v>
      </c>
      <c r="D23" s="270">
        <f t="shared" si="0"/>
        <v>3671174.8826487362</v>
      </c>
      <c r="E23" s="270">
        <f t="shared" si="1"/>
        <v>9708222.568492189</v>
      </c>
    </row>
    <row r="24" spans="1:5" ht="12.75">
      <c r="A24" s="307">
        <v>37895</v>
      </c>
      <c r="B24" s="138">
        <f>'Purchased Power Model'!E96</f>
        <v>90574201.447299</v>
      </c>
      <c r="C24" s="138">
        <f>'Purchased Power Model'!O96</f>
        <v>89954940.61145079</v>
      </c>
      <c r="D24" s="270">
        <f t="shared" si="0"/>
        <v>619260.8358482122</v>
      </c>
      <c r="E24" s="270">
        <f t="shared" si="1"/>
        <v>-3051914.046800524</v>
      </c>
    </row>
    <row r="25" spans="1:5" ht="12.75">
      <c r="A25" s="307">
        <v>37926</v>
      </c>
      <c r="B25" s="138">
        <f>'Purchased Power Model'!E97</f>
        <v>91660392.38326548</v>
      </c>
      <c r="C25" s="138">
        <f>'Purchased Power Model'!O97</f>
        <v>89948637.62753041</v>
      </c>
      <c r="D25" s="270">
        <f t="shared" si="0"/>
        <v>1711754.7557350695</v>
      </c>
      <c r="E25" s="270">
        <f t="shared" si="1"/>
        <v>1092493.9198868573</v>
      </c>
    </row>
    <row r="26" spans="1:5" ht="12.75">
      <c r="A26" s="307">
        <v>37956</v>
      </c>
      <c r="B26" s="138">
        <f>'Purchased Power Model'!E98</f>
        <v>102135791.28634423</v>
      </c>
      <c r="C26" s="138">
        <f>'Purchased Power Model'!O98</f>
        <v>101672121.61502205</v>
      </c>
      <c r="D26" s="270">
        <f t="shared" si="0"/>
        <v>463669.6713221818</v>
      </c>
      <c r="E26" s="270">
        <f t="shared" si="1"/>
        <v>-1248085.0844128877</v>
      </c>
    </row>
    <row r="27" spans="1:5" ht="12.75">
      <c r="A27" s="307">
        <v>37987</v>
      </c>
      <c r="B27" s="138">
        <f>'Purchased Power Model'!E99</f>
        <v>110906403.35247804</v>
      </c>
      <c r="C27" s="138">
        <f>'Purchased Power Model'!O99</f>
        <v>107782944.47373384</v>
      </c>
      <c r="D27" s="270">
        <f t="shared" si="0"/>
        <v>3123458.8787442</v>
      </c>
      <c r="E27" s="270">
        <f t="shared" si="1"/>
        <v>2659789.207422018</v>
      </c>
    </row>
    <row r="28" spans="1:5" ht="12.75">
      <c r="A28" s="307">
        <v>38018</v>
      </c>
      <c r="B28" s="138">
        <f>'Purchased Power Model'!E100</f>
        <v>98773309.57666007</v>
      </c>
      <c r="C28" s="138">
        <f>'Purchased Power Model'!O100</f>
        <v>98410876.14263602</v>
      </c>
      <c r="D28" s="270">
        <f t="shared" si="0"/>
        <v>362433.43402405083</v>
      </c>
      <c r="E28" s="270">
        <f t="shared" si="1"/>
        <v>-2761025.444720149</v>
      </c>
    </row>
    <row r="29" spans="1:5" ht="12.75">
      <c r="A29" s="307">
        <v>38047</v>
      </c>
      <c r="B29" s="138">
        <f>'Purchased Power Model'!E101</f>
        <v>100169246.38921793</v>
      </c>
      <c r="C29" s="138">
        <f>'Purchased Power Model'!O101</f>
        <v>96684754.2299363</v>
      </c>
      <c r="D29" s="270">
        <f t="shared" si="0"/>
        <v>3484492.1592816263</v>
      </c>
      <c r="E29" s="270">
        <f t="shared" si="1"/>
        <v>3122058.7252575755</v>
      </c>
    </row>
    <row r="30" spans="1:5" ht="12.75">
      <c r="A30" s="307">
        <v>38078</v>
      </c>
      <c r="B30" s="138">
        <f>'Purchased Power Model'!E102</f>
        <v>89485332.90863304</v>
      </c>
      <c r="C30" s="138">
        <f>'Purchased Power Model'!O102</f>
        <v>90694675.64154866</v>
      </c>
      <c r="D30" s="270">
        <f t="shared" si="0"/>
        <v>-1209342.732915625</v>
      </c>
      <c r="E30" s="270">
        <f t="shared" si="1"/>
        <v>-4693834.892197251</v>
      </c>
    </row>
    <row r="31" spans="1:5" ht="12.75">
      <c r="A31" s="307">
        <v>38108</v>
      </c>
      <c r="B31" s="138">
        <f>'Purchased Power Model'!E103</f>
        <v>90686143.15718225</v>
      </c>
      <c r="C31" s="138">
        <f>'Purchased Power Model'!O103</f>
        <v>89746284.47054502</v>
      </c>
      <c r="D31" s="270">
        <f t="shared" si="0"/>
        <v>939858.6866372228</v>
      </c>
      <c r="E31" s="270">
        <f t="shared" si="1"/>
        <v>2149201.4195528477</v>
      </c>
    </row>
    <row r="32" spans="1:5" ht="12.75">
      <c r="A32" s="307">
        <v>38139</v>
      </c>
      <c r="B32" s="138">
        <f>'Purchased Power Model'!E104</f>
        <v>96517444.23320028</v>
      </c>
      <c r="C32" s="138">
        <f>'Purchased Power Model'!O104</f>
        <v>94231918.81352714</v>
      </c>
      <c r="D32" s="270">
        <f t="shared" si="0"/>
        <v>2285525.419673145</v>
      </c>
      <c r="E32" s="270">
        <f t="shared" si="1"/>
        <v>1345666.733035922</v>
      </c>
    </row>
    <row r="33" spans="1:5" ht="12.75">
      <c r="A33" s="307">
        <v>38169</v>
      </c>
      <c r="B33" s="138">
        <f>'Purchased Power Model'!E105</f>
        <v>110297641.91792004</v>
      </c>
      <c r="C33" s="138">
        <f>'Purchased Power Model'!O105</f>
        <v>106872523.77250387</v>
      </c>
      <c r="D33" s="270">
        <f t="shared" si="0"/>
        <v>3425118.1454161704</v>
      </c>
      <c r="E33" s="270">
        <f t="shared" si="1"/>
        <v>1139592.7257430255</v>
      </c>
    </row>
    <row r="34" spans="1:5" ht="12.75">
      <c r="A34" s="307">
        <v>38200</v>
      </c>
      <c r="B34" s="138">
        <f>'Purchased Power Model'!E106</f>
        <v>109063695.09172532</v>
      </c>
      <c r="C34" s="138">
        <f>'Purchased Power Model'!O106</f>
        <v>108247845.03511052</v>
      </c>
      <c r="D34" s="270">
        <f t="shared" si="0"/>
        <v>815850.0566148013</v>
      </c>
      <c r="E34" s="270">
        <f t="shared" si="1"/>
        <v>-2609268.088801369</v>
      </c>
    </row>
    <row r="35" spans="1:5" ht="12.75">
      <c r="A35" s="307">
        <v>38231</v>
      </c>
      <c r="B35" s="138">
        <f>'Purchased Power Model'!E107</f>
        <v>103094592.03886008</v>
      </c>
      <c r="C35" s="138">
        <f>'Purchased Power Model'!O107</f>
        <v>97179968.77508923</v>
      </c>
      <c r="D35" s="270">
        <f t="shared" si="0"/>
        <v>5914623.2637708485</v>
      </c>
      <c r="E35" s="270">
        <f t="shared" si="1"/>
        <v>5098773.207156047</v>
      </c>
    </row>
    <row r="36" spans="1:5" ht="12.75">
      <c r="A36" s="307">
        <v>38261</v>
      </c>
      <c r="B36" s="138">
        <f>'Purchased Power Model'!E108</f>
        <v>93329245.59290485</v>
      </c>
      <c r="C36" s="138">
        <f>'Purchased Power Model'!O108</f>
        <v>91764711.29773633</v>
      </c>
      <c r="D36" s="270">
        <f t="shared" si="0"/>
        <v>1564534.295168519</v>
      </c>
      <c r="E36" s="270">
        <f t="shared" si="1"/>
        <v>-4350088.9686023295</v>
      </c>
    </row>
    <row r="37" spans="1:5" ht="12.75">
      <c r="A37" s="307">
        <v>38292</v>
      </c>
      <c r="B37" s="138">
        <f>'Purchased Power Model'!E109</f>
        <v>94434398.73386222</v>
      </c>
      <c r="C37" s="138">
        <f>'Purchased Power Model'!O109</f>
        <v>92309735.69210562</v>
      </c>
      <c r="D37" s="270">
        <f t="shared" si="0"/>
        <v>2124663.0417566</v>
      </c>
      <c r="E37" s="270">
        <f t="shared" si="1"/>
        <v>560128.7465880811</v>
      </c>
    </row>
    <row r="38" spans="1:5" ht="12.75">
      <c r="A38" s="307">
        <v>38322</v>
      </c>
      <c r="B38" s="138">
        <f>'Purchased Power Model'!E110</f>
        <v>108483620.83553149</v>
      </c>
      <c r="C38" s="138">
        <f>'Purchased Power Model'!O110</f>
        <v>105647536.61305994</v>
      </c>
      <c r="D38" s="270">
        <f t="shared" si="0"/>
        <v>2836084.22247155</v>
      </c>
      <c r="E38" s="270">
        <f t="shared" si="1"/>
        <v>711421.18071495</v>
      </c>
    </row>
    <row r="39" spans="1:5" ht="12.75">
      <c r="A39" s="307">
        <v>38353</v>
      </c>
      <c r="B39" s="138">
        <f>'Purchased Power Model'!E111</f>
        <v>111357551.02040815</v>
      </c>
      <c r="C39" s="138">
        <f>'Purchased Power Model'!O111</f>
        <v>108984105.71170229</v>
      </c>
      <c r="D39" s="270">
        <f t="shared" si="0"/>
        <v>2373445.3087058663</v>
      </c>
      <c r="E39" s="270">
        <f t="shared" si="1"/>
        <v>-462638.91376568377</v>
      </c>
    </row>
    <row r="40" spans="1:5" ht="12.75">
      <c r="A40" s="307">
        <v>38384</v>
      </c>
      <c r="B40" s="138">
        <f>'Purchased Power Model'!E112</f>
        <v>97354644.10154305</v>
      </c>
      <c r="C40" s="138">
        <f>'Purchased Power Model'!O112</f>
        <v>98407111.57552262</v>
      </c>
      <c r="D40" s="270">
        <f t="shared" si="0"/>
        <v>-1052467.4739795625</v>
      </c>
      <c r="E40" s="270">
        <f t="shared" si="1"/>
        <v>-3425912.782685429</v>
      </c>
    </row>
    <row r="41" spans="1:5" ht="12.75">
      <c r="A41" s="307">
        <v>38412</v>
      </c>
      <c r="B41" s="138">
        <f>'Purchased Power Model'!E113</f>
        <v>103696306.62020905</v>
      </c>
      <c r="C41" s="138">
        <f>'Purchased Power Model'!O113</f>
        <v>101672735.22537424</v>
      </c>
      <c r="D41" s="270">
        <f t="shared" si="0"/>
        <v>2023571.3948348165</v>
      </c>
      <c r="E41" s="270">
        <f t="shared" si="1"/>
        <v>3076038.868814379</v>
      </c>
    </row>
    <row r="42" spans="1:5" ht="12.75">
      <c r="A42" s="307">
        <v>38443</v>
      </c>
      <c r="B42" s="138">
        <f>'Purchased Power Model'!E114</f>
        <v>91002648.0836237</v>
      </c>
      <c r="C42" s="138">
        <f>'Purchased Power Model'!O114</f>
        <v>93538147.48905732</v>
      </c>
      <c r="D42" s="270">
        <f t="shared" si="0"/>
        <v>-2535499.40543361</v>
      </c>
      <c r="E42" s="270">
        <f t="shared" si="1"/>
        <v>-4559070.800268427</v>
      </c>
    </row>
    <row r="43" spans="1:5" ht="12.75">
      <c r="A43" s="307">
        <v>38473</v>
      </c>
      <c r="B43" s="138">
        <f>'Purchased Power Model'!E115</f>
        <v>90914554.50472873</v>
      </c>
      <c r="C43" s="138">
        <f>'Purchased Power Model'!O115</f>
        <v>93269884.60505886</v>
      </c>
      <c r="D43" s="270">
        <f t="shared" si="0"/>
        <v>-2355330.1003301293</v>
      </c>
      <c r="E43" s="270">
        <f t="shared" si="1"/>
        <v>180169.30510348082</v>
      </c>
    </row>
    <row r="44" spans="1:5" ht="12.75">
      <c r="A44" s="307">
        <v>38504</v>
      </c>
      <c r="B44" s="138">
        <f>'Purchased Power Model'!E116</f>
        <v>117110313.58885016</v>
      </c>
      <c r="C44" s="138">
        <f>'Purchased Power Model'!O116</f>
        <v>112647772.85005929</v>
      </c>
      <c r="D44" s="270">
        <f t="shared" si="0"/>
        <v>4462540.73879087</v>
      </c>
      <c r="E44" s="270">
        <f t="shared" si="1"/>
        <v>6817870.839120999</v>
      </c>
    </row>
    <row r="45" spans="1:5" ht="12.75">
      <c r="A45" s="307">
        <v>38534</v>
      </c>
      <c r="B45" s="138">
        <f>'Purchased Power Model'!E117</f>
        <v>130492623.1956197</v>
      </c>
      <c r="C45" s="138">
        <f>'Purchased Power Model'!O117</f>
        <v>130747435.18798542</v>
      </c>
      <c r="D45" s="270">
        <f t="shared" si="0"/>
        <v>-254811.9923657179</v>
      </c>
      <c r="E45" s="270">
        <f t="shared" si="1"/>
        <v>-4717352.731156588</v>
      </c>
    </row>
    <row r="46" spans="1:5" ht="12.75">
      <c r="A46" s="307">
        <v>38565</v>
      </c>
      <c r="B46" s="138">
        <f>'Purchased Power Model'!E118</f>
        <v>125304430.0647088</v>
      </c>
      <c r="C46" s="138">
        <f>'Purchased Power Model'!O118</f>
        <v>127345851.89066726</v>
      </c>
      <c r="D46" s="270">
        <f t="shared" si="0"/>
        <v>-2041421.8259584606</v>
      </c>
      <c r="E46" s="270">
        <f t="shared" si="1"/>
        <v>-1786609.8335927427</v>
      </c>
    </row>
    <row r="47" spans="1:5" ht="12.75">
      <c r="A47" s="307">
        <v>38596</v>
      </c>
      <c r="B47" s="138">
        <f>'Purchased Power Model'!E119</f>
        <v>103515709.3081135</v>
      </c>
      <c r="C47" s="138">
        <f>'Purchased Power Model'!O119</f>
        <v>102003965.90108486</v>
      </c>
      <c r="D47" s="270">
        <f t="shared" si="0"/>
        <v>1511743.4070286453</v>
      </c>
      <c r="E47" s="270">
        <f t="shared" si="1"/>
        <v>3553165.232987106</v>
      </c>
    </row>
    <row r="48" spans="1:5" ht="12.75">
      <c r="A48" s="307">
        <v>38626</v>
      </c>
      <c r="B48" s="138">
        <f>'Purchased Power Model'!E120</f>
        <v>95683703.33499254</v>
      </c>
      <c r="C48" s="138">
        <f>'Purchased Power Model'!O120</f>
        <v>97174573.79781748</v>
      </c>
      <c r="D48" s="270">
        <f t="shared" si="0"/>
        <v>-1490870.4628249407</v>
      </c>
      <c r="E48" s="270">
        <f t="shared" si="1"/>
        <v>-3002613.869853586</v>
      </c>
    </row>
    <row r="49" spans="1:5" ht="12.75">
      <c r="A49" s="307">
        <v>38657</v>
      </c>
      <c r="B49" s="138">
        <f>'Purchased Power Model'!E121</f>
        <v>95832424.09158786</v>
      </c>
      <c r="C49" s="138">
        <f>'Purchased Power Model'!O121</f>
        <v>95728817.88839538</v>
      </c>
      <c r="D49" s="270">
        <f t="shared" si="0"/>
        <v>103606.20319247246</v>
      </c>
      <c r="E49" s="270">
        <f t="shared" si="1"/>
        <v>1594476.6660174131</v>
      </c>
    </row>
    <row r="50" spans="1:5" ht="12.75">
      <c r="A50" s="307">
        <v>38687</v>
      </c>
      <c r="B50" s="138">
        <f>'Purchased Power Model'!E122</f>
        <v>109926431.06022897</v>
      </c>
      <c r="C50" s="138">
        <f>'Purchased Power Model'!O122</f>
        <v>110203773.87443286</v>
      </c>
      <c r="D50" s="270">
        <f t="shared" si="0"/>
        <v>-277342.8142038882</v>
      </c>
      <c r="E50" s="270">
        <f t="shared" si="1"/>
        <v>-380949.01739636064</v>
      </c>
    </row>
    <row r="51" spans="1:5" ht="12.75">
      <c r="A51" s="307">
        <v>38718</v>
      </c>
      <c r="B51" s="138">
        <f>'Purchased Power Model'!E123</f>
        <v>105189785.96316576</v>
      </c>
      <c r="C51" s="138">
        <f>'Purchased Power Model'!O123</f>
        <v>107357385.6322808</v>
      </c>
      <c r="D51" s="270">
        <f t="shared" si="0"/>
        <v>-2167599.6691150367</v>
      </c>
      <c r="E51" s="270">
        <f t="shared" si="1"/>
        <v>-1890256.8549111485</v>
      </c>
    </row>
    <row r="52" spans="1:5" ht="12.75">
      <c r="A52" s="307">
        <v>38749</v>
      </c>
      <c r="B52" s="138">
        <f>'Purchased Power Model'!E124</f>
        <v>97673987.05823794</v>
      </c>
      <c r="C52" s="138">
        <f>'Purchased Power Model'!O124</f>
        <v>100482764.93375264</v>
      </c>
      <c r="D52" s="270">
        <f t="shared" si="0"/>
        <v>-2808777.875514701</v>
      </c>
      <c r="E52" s="270">
        <f t="shared" si="1"/>
        <v>-641178.2063996643</v>
      </c>
    </row>
    <row r="53" spans="1:5" ht="12.75">
      <c r="A53" s="307">
        <v>38777</v>
      </c>
      <c r="B53" s="138">
        <f>'Purchased Power Model'!E125</f>
        <v>102138407.16774514</v>
      </c>
      <c r="C53" s="138">
        <f>'Purchased Power Model'!O125</f>
        <v>101908985.67576334</v>
      </c>
      <c r="D53" s="270">
        <f t="shared" si="0"/>
        <v>229421.49198180437</v>
      </c>
      <c r="E53" s="270">
        <f t="shared" si="1"/>
        <v>3038199.3674965054</v>
      </c>
    </row>
    <row r="54" spans="1:5" ht="12.75">
      <c r="A54" s="307">
        <v>38808</v>
      </c>
      <c r="B54" s="138">
        <f>'Purchased Power Model'!E126</f>
        <v>89654385.26630163</v>
      </c>
      <c r="C54" s="138">
        <f>'Purchased Power Model'!O126</f>
        <v>94613806.72541684</v>
      </c>
      <c r="D54" s="270">
        <f t="shared" si="0"/>
        <v>-4959421.459115207</v>
      </c>
      <c r="E54" s="270">
        <f t="shared" si="1"/>
        <v>-5188842.951097012</v>
      </c>
    </row>
    <row r="55" spans="1:5" ht="12.75">
      <c r="A55" s="307">
        <v>38838</v>
      </c>
      <c r="B55" s="138">
        <f>'Purchased Power Model'!E127</f>
        <v>96375370.83125934</v>
      </c>
      <c r="C55" s="138">
        <f>'Purchased Power Model'!O127</f>
        <v>99405717.52029923</v>
      </c>
      <c r="D55" s="270">
        <f t="shared" si="0"/>
        <v>-3030346.689039886</v>
      </c>
      <c r="E55" s="270">
        <f t="shared" si="1"/>
        <v>1929074.7700753212</v>
      </c>
    </row>
    <row r="56" spans="1:5" ht="12.75">
      <c r="A56" s="307">
        <v>38869</v>
      </c>
      <c r="B56" s="138">
        <f>'Purchased Power Model'!E128</f>
        <v>106149795.91836734</v>
      </c>
      <c r="C56" s="138">
        <f>'Purchased Power Model'!O128</f>
        <v>106205378.43206474</v>
      </c>
      <c r="D56" s="270">
        <f t="shared" si="0"/>
        <v>-55582.51369740069</v>
      </c>
      <c r="E56" s="270">
        <f t="shared" si="1"/>
        <v>2974764.1753424853</v>
      </c>
    </row>
    <row r="57" spans="1:5" ht="12.75">
      <c r="A57" s="307">
        <v>38899</v>
      </c>
      <c r="B57" s="138">
        <f>'Purchased Power Model'!E129</f>
        <v>129944897.9591837</v>
      </c>
      <c r="C57" s="138">
        <f>'Purchased Power Model'!O129</f>
        <v>129266321.07280113</v>
      </c>
      <c r="D57" s="270">
        <f t="shared" si="0"/>
        <v>678576.8863825649</v>
      </c>
      <c r="E57" s="270">
        <f t="shared" si="1"/>
        <v>734159.4000799656</v>
      </c>
    </row>
    <row r="58" spans="1:5" ht="12.75">
      <c r="A58" s="307">
        <v>38930</v>
      </c>
      <c r="B58" s="138">
        <f>'Purchased Power Model'!E130</f>
        <v>120333539.07416625</v>
      </c>
      <c r="C58" s="138">
        <f>'Purchased Power Model'!O130</f>
        <v>116549328.93159042</v>
      </c>
      <c r="D58" s="270">
        <f t="shared" si="0"/>
        <v>3784210.14257583</v>
      </c>
      <c r="E58" s="270">
        <f t="shared" si="1"/>
        <v>3105633.2561932653</v>
      </c>
    </row>
    <row r="59" spans="1:5" ht="12.75">
      <c r="A59" s="307">
        <v>38961</v>
      </c>
      <c r="B59" s="138">
        <f>'Purchased Power Model'!E131</f>
        <v>95914534.59432554</v>
      </c>
      <c r="C59" s="138">
        <f>'Purchased Power Model'!O131</f>
        <v>92471654.79754901</v>
      </c>
      <c r="D59" s="270">
        <f t="shared" si="0"/>
        <v>3442879.796776533</v>
      </c>
      <c r="E59" s="270">
        <f t="shared" si="1"/>
        <v>-341330.3457992971</v>
      </c>
    </row>
    <row r="60" spans="1:5" ht="12.75">
      <c r="A60" s="307">
        <v>38991</v>
      </c>
      <c r="B60" s="138">
        <f>'Purchased Power Model'!E132</f>
        <v>99436286.70980588</v>
      </c>
      <c r="C60" s="138">
        <f>'Purchased Power Model'!O132</f>
        <v>96515701.9205783</v>
      </c>
      <c r="D60" s="270">
        <f t="shared" si="0"/>
        <v>2920584.789227575</v>
      </c>
      <c r="E60" s="270">
        <f t="shared" si="1"/>
        <v>-522295.00754895806</v>
      </c>
    </row>
    <row r="61" spans="1:5" ht="12.75">
      <c r="A61" s="307">
        <v>39022</v>
      </c>
      <c r="B61" s="138">
        <f>'Purchased Power Model'!E133</f>
        <v>98699342.95669487</v>
      </c>
      <c r="C61" s="138">
        <f>'Purchased Power Model'!O133</f>
        <v>96492799.2421257</v>
      </c>
      <c r="D61" s="270">
        <f t="shared" si="0"/>
        <v>2206543.7145691663</v>
      </c>
      <c r="E61" s="270">
        <f t="shared" si="1"/>
        <v>-714041.0746584088</v>
      </c>
    </row>
    <row r="62" spans="1:5" ht="12.75">
      <c r="A62" s="307">
        <v>39052</v>
      </c>
      <c r="B62" s="138">
        <f>'Purchased Power Model'!E134</f>
        <v>106547506.22200099</v>
      </c>
      <c r="C62" s="138">
        <f>'Purchased Power Model'!O134</f>
        <v>106719631.6313867</v>
      </c>
      <c r="D62" s="270">
        <f t="shared" si="0"/>
        <v>-172125.40938571095</v>
      </c>
      <c r="E62" s="270">
        <f t="shared" si="1"/>
        <v>-2378669.1239548773</v>
      </c>
    </row>
    <row r="63" spans="1:5" ht="12.75">
      <c r="A63" s="307">
        <v>39083</v>
      </c>
      <c r="B63" s="138">
        <f>'Purchased Power Model'!E135</f>
        <v>110076804.3802887</v>
      </c>
      <c r="C63" s="138">
        <f>'Purchased Power Model'!O135</f>
        <v>110021655.28588508</v>
      </c>
      <c r="D63" s="270">
        <f t="shared" si="0"/>
        <v>55149.094403624535</v>
      </c>
      <c r="E63" s="270">
        <f t="shared" si="1"/>
        <v>227274.5037893355</v>
      </c>
    </row>
    <row r="64" spans="1:5" ht="12.75">
      <c r="A64" s="307">
        <v>39114</v>
      </c>
      <c r="B64" s="138">
        <f>'Purchased Power Model'!E136</f>
        <v>106214902.93678446</v>
      </c>
      <c r="C64" s="138">
        <f>'Purchased Power Model'!O136</f>
        <v>103950099.96024266</v>
      </c>
      <c r="D64" s="270">
        <f t="shared" si="0"/>
        <v>2264802.9765418023</v>
      </c>
      <c r="E64" s="270">
        <f t="shared" si="1"/>
        <v>2209653.8821381778</v>
      </c>
    </row>
    <row r="65" spans="1:5" ht="12.75">
      <c r="A65" s="307">
        <v>39142</v>
      </c>
      <c r="B65" s="138">
        <f>'Purchased Power Model'!E137</f>
        <v>105901314.08661026</v>
      </c>
      <c r="C65" s="138">
        <f>'Purchased Power Model'!O137</f>
        <v>103679816.59365427</v>
      </c>
      <c r="D65" s="270">
        <f t="shared" si="0"/>
        <v>2221497.4929559827</v>
      </c>
      <c r="E65" s="270">
        <f t="shared" si="1"/>
        <v>-43305.4835858196</v>
      </c>
    </row>
    <row r="66" spans="1:5" ht="12.75">
      <c r="A66" s="307">
        <v>39173</v>
      </c>
      <c r="B66" s="138">
        <f>'Purchased Power Model'!E138</f>
        <v>96871139.87058239</v>
      </c>
      <c r="C66" s="138">
        <f>'Purchased Power Model'!O138</f>
        <v>97263819.57211298</v>
      </c>
      <c r="D66" s="270">
        <f t="shared" si="0"/>
        <v>-392679.70153059065</v>
      </c>
      <c r="E66" s="270">
        <f t="shared" si="1"/>
        <v>-2614177.1944865733</v>
      </c>
    </row>
    <row r="67" spans="1:5" ht="12.75">
      <c r="A67" s="307">
        <v>39203</v>
      </c>
      <c r="B67" s="138">
        <f>'Purchased Power Model'!E139</f>
        <v>96387834.74365357</v>
      </c>
      <c r="C67" s="138">
        <f>'Purchased Power Model'!O139</f>
        <v>97755196.87730177</v>
      </c>
      <c r="D67" s="270">
        <f t="shared" si="0"/>
        <v>-1367362.1336482018</v>
      </c>
      <c r="E67" s="270">
        <f t="shared" si="1"/>
        <v>-974682.4321176112</v>
      </c>
    </row>
    <row r="68" spans="1:5" ht="12.75">
      <c r="A68" s="307">
        <v>39234</v>
      </c>
      <c r="B68" s="138">
        <f>'Purchased Power Model'!E140</f>
        <v>113036515.67944252</v>
      </c>
      <c r="C68" s="138">
        <f>'Purchased Power Model'!O140</f>
        <v>110272623.38171062</v>
      </c>
      <c r="D68" s="270">
        <f aca="true" t="shared" si="2" ref="D68:D131">B68-C68</f>
        <v>2763892.297731906</v>
      </c>
      <c r="E68" s="270">
        <f t="shared" si="1"/>
        <v>4131254.431380108</v>
      </c>
    </row>
    <row r="69" spans="1:5" ht="12.75">
      <c r="A69" s="307">
        <v>39264</v>
      </c>
      <c r="B69" s="138">
        <f>'Purchased Power Model'!E141</f>
        <v>116239482.32951717</v>
      </c>
      <c r="C69" s="138">
        <f>'Purchased Power Model'!O141</f>
        <v>118303843.63639137</v>
      </c>
      <c r="D69" s="270">
        <f t="shared" si="2"/>
        <v>-2064361.3068742007</v>
      </c>
      <c r="E69" s="270">
        <f aca="true" t="shared" si="3" ref="E69:E132">D69-D68</f>
        <v>-4828253.604606107</v>
      </c>
    </row>
    <row r="70" spans="1:5" ht="12.75">
      <c r="A70" s="307">
        <v>39295</v>
      </c>
      <c r="B70" s="138">
        <f>'Purchased Power Model'!E142</f>
        <v>124879950.22399203</v>
      </c>
      <c r="C70" s="138">
        <f>'Purchased Power Model'!O142</f>
        <v>125343181.34297721</v>
      </c>
      <c r="D70" s="270">
        <f t="shared" si="2"/>
        <v>-463231.1189851761</v>
      </c>
      <c r="E70" s="270">
        <f t="shared" si="3"/>
        <v>1601130.1878890246</v>
      </c>
    </row>
    <row r="71" spans="1:5" ht="12.75">
      <c r="A71" s="307">
        <v>39326</v>
      </c>
      <c r="B71" s="138">
        <f>'Purchased Power Model'!E143</f>
        <v>104023175.70930812</v>
      </c>
      <c r="C71" s="138">
        <f>'Purchased Power Model'!O143</f>
        <v>100204827.64063156</v>
      </c>
      <c r="D71" s="270">
        <f t="shared" si="2"/>
        <v>3818348.068676561</v>
      </c>
      <c r="E71" s="270">
        <f t="shared" si="3"/>
        <v>4281579.187661737</v>
      </c>
    </row>
    <row r="72" spans="1:5" ht="12.75">
      <c r="A72" s="307">
        <v>39356</v>
      </c>
      <c r="B72" s="138">
        <f>'Purchased Power Model'!E144</f>
        <v>99226202.09059234</v>
      </c>
      <c r="C72" s="138">
        <f>'Purchased Power Model'!O144</f>
        <v>98041030.92792633</v>
      </c>
      <c r="D72" s="270">
        <f t="shared" si="2"/>
        <v>1185171.1626660079</v>
      </c>
      <c r="E72" s="270">
        <f t="shared" si="3"/>
        <v>-2633176.9060105532</v>
      </c>
    </row>
    <row r="73" spans="1:5" ht="12.75">
      <c r="A73" s="307">
        <v>39387</v>
      </c>
      <c r="B73" s="138">
        <f>'Purchased Power Model'!E145</f>
        <v>100079143.85266301</v>
      </c>
      <c r="C73" s="138">
        <f>'Purchased Power Model'!O145</f>
        <v>98124941.72462621</v>
      </c>
      <c r="D73" s="270">
        <f t="shared" si="2"/>
        <v>1954202.128036797</v>
      </c>
      <c r="E73" s="270">
        <f t="shared" si="3"/>
        <v>769030.9653707892</v>
      </c>
    </row>
    <row r="74" spans="1:5" ht="12.75">
      <c r="A74" s="307">
        <v>39417</v>
      </c>
      <c r="B74" s="138">
        <f>'Purchased Power Model'!E146</f>
        <v>110979900.44798407</v>
      </c>
      <c r="C74" s="138">
        <f>'Purchased Power Model'!O146</f>
        <v>110208194.40578744</v>
      </c>
      <c r="D74" s="270">
        <f t="shared" si="2"/>
        <v>771706.0421966314</v>
      </c>
      <c r="E74" s="270">
        <f t="shared" si="3"/>
        <v>-1182496.0858401656</v>
      </c>
    </row>
    <row r="75" spans="1:5" ht="12.75">
      <c r="A75" s="307">
        <v>39448</v>
      </c>
      <c r="B75" s="138">
        <f>'Purchased Power Model'!E147</f>
        <v>109511197.84635808</v>
      </c>
      <c r="C75" s="138">
        <f>'Purchased Power Model'!O147</f>
        <v>110061170.2969209</v>
      </c>
      <c r="D75" s="270">
        <f t="shared" si="2"/>
        <v>-549972.4505628198</v>
      </c>
      <c r="E75" s="270">
        <f t="shared" si="3"/>
        <v>-1321678.4927594513</v>
      </c>
    </row>
    <row r="76" spans="1:5" ht="12.75">
      <c r="A76" s="307">
        <v>39479</v>
      </c>
      <c r="B76" s="138">
        <f>'Purchased Power Model'!E148</f>
        <v>104697001.72888668</v>
      </c>
      <c r="C76" s="138">
        <f>'Purchased Power Model'!O148</f>
        <v>105568825.89020468</v>
      </c>
      <c r="D76" s="270">
        <f t="shared" si="2"/>
        <v>-871824.1613180041</v>
      </c>
      <c r="E76" s="270">
        <f t="shared" si="3"/>
        <v>-321851.7107551843</v>
      </c>
    </row>
    <row r="77" spans="1:5" ht="12.75">
      <c r="A77" s="307">
        <v>39508</v>
      </c>
      <c r="B77" s="138">
        <f>'Purchased Power Model'!E149</f>
        <v>105342735.92500415</v>
      </c>
      <c r="C77" s="138">
        <f>'Purchased Power Model'!O149</f>
        <v>104754545.5029873</v>
      </c>
      <c r="D77" s="270">
        <f t="shared" si="2"/>
        <v>588190.422016859</v>
      </c>
      <c r="E77" s="270">
        <f t="shared" si="3"/>
        <v>1460014.5833348632</v>
      </c>
    </row>
    <row r="78" spans="1:5" ht="12.75">
      <c r="A78" s="307">
        <v>39539</v>
      </c>
      <c r="B78" s="138">
        <f>'Purchased Power Model'!E150</f>
        <v>86730112.72938445</v>
      </c>
      <c r="C78" s="138">
        <f>'Purchased Power Model'!O150</f>
        <v>96023882.93855846</v>
      </c>
      <c r="D78" s="270">
        <f t="shared" si="2"/>
        <v>-9293770.209174007</v>
      </c>
      <c r="E78" s="270">
        <f t="shared" si="3"/>
        <v>-9881960.631190866</v>
      </c>
    </row>
    <row r="79" spans="1:5" ht="12.75">
      <c r="A79" s="307">
        <v>39569</v>
      </c>
      <c r="B79" s="138">
        <f>'Purchased Power Model'!E151</f>
        <v>95591665.74083292</v>
      </c>
      <c r="C79" s="138">
        <f>'Purchased Power Model'!O151</f>
        <v>95967362.8683033</v>
      </c>
      <c r="D79" s="270">
        <f t="shared" si="2"/>
        <v>-375697.1274703741</v>
      </c>
      <c r="E79" s="270">
        <f t="shared" si="3"/>
        <v>8918073.081703633</v>
      </c>
    </row>
    <row r="80" spans="1:5" ht="12.75">
      <c r="A80" s="307">
        <v>39600</v>
      </c>
      <c r="B80" s="138">
        <f>'Purchased Power Model'!E152</f>
        <v>106359410.88767216</v>
      </c>
      <c r="C80" s="138">
        <f>'Purchased Power Model'!O152</f>
        <v>106894294.62972808</v>
      </c>
      <c r="D80" s="270">
        <f t="shared" si="2"/>
        <v>-534883.7420559227</v>
      </c>
      <c r="E80" s="270">
        <f t="shared" si="3"/>
        <v>-159186.61458554864</v>
      </c>
    </row>
    <row r="81" spans="1:5" ht="12.75">
      <c r="A81" s="307">
        <v>39630</v>
      </c>
      <c r="B81" s="138">
        <f>'Purchased Power Model'!E153</f>
        <v>120281780.22565123</v>
      </c>
      <c r="C81" s="138">
        <f>'Purchased Power Model'!O153</f>
        <v>119593978.44985697</v>
      </c>
      <c r="D81" s="270">
        <f t="shared" si="2"/>
        <v>687801.7757942677</v>
      </c>
      <c r="E81" s="270">
        <f t="shared" si="3"/>
        <v>1222685.5178501904</v>
      </c>
    </row>
    <row r="82" spans="1:5" ht="12.75">
      <c r="A82" s="307">
        <v>39661</v>
      </c>
      <c r="B82" s="138">
        <f>'Purchased Power Model'!E154</f>
        <v>112895209.79259998</v>
      </c>
      <c r="C82" s="138">
        <f>'Purchased Power Model'!O154</f>
        <v>113616634.09252451</v>
      </c>
      <c r="D82" s="270">
        <f t="shared" si="2"/>
        <v>-721424.2999245375</v>
      </c>
      <c r="E82" s="270">
        <f t="shared" si="3"/>
        <v>-1409226.0757188052</v>
      </c>
    </row>
    <row r="83" spans="1:5" ht="12.75">
      <c r="A83" s="307">
        <v>39692</v>
      </c>
      <c r="B83" s="138">
        <f>'Purchased Power Model'!E155</f>
        <v>101394891.22614901</v>
      </c>
      <c r="C83" s="138">
        <f>'Purchased Power Model'!O155</f>
        <v>97441355.99373972</v>
      </c>
      <c r="D83" s="270">
        <f t="shared" si="2"/>
        <v>3953535.2324092835</v>
      </c>
      <c r="E83" s="270">
        <f t="shared" si="3"/>
        <v>4674959.532333821</v>
      </c>
    </row>
    <row r="84" spans="1:5" ht="12.75">
      <c r="A84" s="307">
        <v>39722</v>
      </c>
      <c r="B84" s="138">
        <f>'Purchased Power Model'!E156</f>
        <v>95461451.70399868</v>
      </c>
      <c r="C84" s="138">
        <f>'Purchased Power Model'!O156</f>
        <v>96244393.783442</v>
      </c>
      <c r="D84" s="270">
        <f t="shared" si="2"/>
        <v>-782942.0794433206</v>
      </c>
      <c r="E84" s="270">
        <f t="shared" si="3"/>
        <v>-4736477.311852604</v>
      </c>
    </row>
    <row r="85" spans="1:5" ht="12.75">
      <c r="A85" s="307">
        <v>39753</v>
      </c>
      <c r="B85" s="138">
        <f>'Purchased Power Model'!E157</f>
        <v>97537399.9369504</v>
      </c>
      <c r="C85" s="138">
        <f>'Purchased Power Model'!O157</f>
        <v>98690050.19774494</v>
      </c>
      <c r="D85" s="270">
        <f t="shared" si="2"/>
        <v>-1152650.2607945353</v>
      </c>
      <c r="E85" s="270">
        <f t="shared" si="3"/>
        <v>-369708.18135121465</v>
      </c>
    </row>
    <row r="86" spans="1:5" ht="12.75">
      <c r="A86" s="307">
        <v>39783</v>
      </c>
      <c r="B86" s="138">
        <f>'Purchased Power Model'!E158</f>
        <v>111557280.4745313</v>
      </c>
      <c r="C86" s="138">
        <f>'Purchased Power Model'!O158</f>
        <v>111130082.91151533</v>
      </c>
      <c r="D86" s="270">
        <f t="shared" si="2"/>
        <v>427197.5630159676</v>
      </c>
      <c r="E86" s="270">
        <f t="shared" si="3"/>
        <v>1579847.823810503</v>
      </c>
    </row>
    <row r="87" spans="1:5" ht="12.75">
      <c r="A87" s="307">
        <v>39814</v>
      </c>
      <c r="B87" s="138">
        <f>'Purchased Power Model'!E159</f>
        <v>117644798.53857641</v>
      </c>
      <c r="C87" s="138">
        <f>'Purchased Power Model'!O159</f>
        <v>113450722.55623862</v>
      </c>
      <c r="D87" s="270">
        <f t="shared" si="2"/>
        <v>4194075.9823377877</v>
      </c>
      <c r="E87" s="270">
        <f t="shared" si="3"/>
        <v>3766878.41932182</v>
      </c>
    </row>
    <row r="88" spans="1:5" ht="12.75">
      <c r="A88" s="307">
        <v>39845</v>
      </c>
      <c r="B88" s="138">
        <f>'Purchased Power Model'!E160</f>
        <v>97575928.4539572</v>
      </c>
      <c r="C88" s="138">
        <f>'Purchased Power Model'!O160</f>
        <v>100561362.14273721</v>
      </c>
      <c r="D88" s="270">
        <f t="shared" si="2"/>
        <v>-2985433.6887800097</v>
      </c>
      <c r="E88" s="270">
        <f t="shared" si="3"/>
        <v>-7179509.6711177975</v>
      </c>
    </row>
    <row r="89" spans="1:5" ht="12.75">
      <c r="A89" s="307">
        <v>39873</v>
      </c>
      <c r="B89" s="138">
        <f>'Purchased Power Model'!E161</f>
        <v>101971896.59731211</v>
      </c>
      <c r="C89" s="138">
        <f>'Purchased Power Model'!O161</f>
        <v>102830699.32084249</v>
      </c>
      <c r="D89" s="270">
        <f t="shared" si="2"/>
        <v>-858802.7235303819</v>
      </c>
      <c r="E89" s="270">
        <f t="shared" si="3"/>
        <v>2126630.965249628</v>
      </c>
    </row>
    <row r="90" spans="1:5" ht="12.75">
      <c r="A90" s="307">
        <v>39904</v>
      </c>
      <c r="B90" s="138">
        <f>'Purchased Power Model'!E162</f>
        <v>92172702.96864112</v>
      </c>
      <c r="C90" s="138">
        <f>'Purchased Power Model'!O162</f>
        <v>95155861.16633576</v>
      </c>
      <c r="D90" s="270">
        <f t="shared" si="2"/>
        <v>-2983158.1976946443</v>
      </c>
      <c r="E90" s="270">
        <f t="shared" si="3"/>
        <v>-2124355.4741642624</v>
      </c>
    </row>
    <row r="91" spans="1:5" ht="12.75">
      <c r="A91" s="307">
        <v>39934</v>
      </c>
      <c r="B91" s="138">
        <f>'Purchased Power Model'!E163</f>
        <v>90679049.02676417</v>
      </c>
      <c r="C91" s="138">
        <f>'Purchased Power Model'!O163</f>
        <v>94438859.93865699</v>
      </c>
      <c r="D91" s="270">
        <f t="shared" si="2"/>
        <v>-3759810.9118928164</v>
      </c>
      <c r="E91" s="270">
        <f t="shared" si="3"/>
        <v>-776652.7141981721</v>
      </c>
    </row>
    <row r="92" spans="1:5" ht="12.75">
      <c r="A92" s="307">
        <v>39965</v>
      </c>
      <c r="B92" s="138">
        <f>'Purchased Power Model'!E164</f>
        <v>97810557.2398055</v>
      </c>
      <c r="C92" s="138">
        <f>'Purchased Power Model'!O164</f>
        <v>100214665.07988475</v>
      </c>
      <c r="D92" s="270">
        <f t="shared" si="2"/>
        <v>-2404107.840079248</v>
      </c>
      <c r="E92" s="270">
        <f t="shared" si="3"/>
        <v>1355703.0718135685</v>
      </c>
    </row>
    <row r="93" spans="1:5" ht="12.75">
      <c r="A93" s="307">
        <v>39995</v>
      </c>
      <c r="B93" s="138">
        <f>'Purchased Power Model'!E165</f>
        <v>106317705.8403339</v>
      </c>
      <c r="C93" s="138">
        <f>'Purchased Power Model'!O165</f>
        <v>105905042.96929216</v>
      </c>
      <c r="D93" s="270">
        <f t="shared" si="2"/>
        <v>412662.87104173005</v>
      </c>
      <c r="E93" s="270">
        <f t="shared" si="3"/>
        <v>2816770.711120978</v>
      </c>
    </row>
    <row r="94" spans="1:5" ht="12.75">
      <c r="A94" s="307">
        <v>40026</v>
      </c>
      <c r="B94" s="138">
        <f>'Purchased Power Model'!E166</f>
        <v>118314175.57269213</v>
      </c>
      <c r="C94" s="138">
        <f>'Purchased Power Model'!O166</f>
        <v>118400635.72920346</v>
      </c>
      <c r="D94" s="270">
        <f t="shared" si="2"/>
        <v>-86460.15651133657</v>
      </c>
      <c r="E94" s="270">
        <f t="shared" si="3"/>
        <v>-499123.0275530666</v>
      </c>
    </row>
    <row r="95" spans="1:5" ht="12.75">
      <c r="A95" s="307">
        <v>40057</v>
      </c>
      <c r="B95" s="138">
        <f>'Purchased Power Model'!E167</f>
        <v>96760283.4717617</v>
      </c>
      <c r="C95" s="138">
        <f>'Purchased Power Model'!O167</f>
        <v>93327097.25279525</v>
      </c>
      <c r="D95" s="270">
        <f t="shared" si="2"/>
        <v>3433186.2189664543</v>
      </c>
      <c r="E95" s="270">
        <f t="shared" si="3"/>
        <v>3519646.375477791</v>
      </c>
    </row>
    <row r="96" spans="1:5" ht="12.75">
      <c r="A96" s="307">
        <v>40087</v>
      </c>
      <c r="B96" s="138">
        <f>'Purchased Power Model'!E168</f>
        <v>93898385.09139642</v>
      </c>
      <c r="C96" s="138">
        <f>'Purchased Power Model'!O168</f>
        <v>94656494.62038231</v>
      </c>
      <c r="D96" s="270">
        <f t="shared" si="2"/>
        <v>-758109.5289858878</v>
      </c>
      <c r="E96" s="270">
        <f t="shared" si="3"/>
        <v>-4191295.747952342</v>
      </c>
    </row>
    <row r="97" spans="1:5" ht="12.75">
      <c r="A97" s="307">
        <v>40118</v>
      </c>
      <c r="B97" s="138">
        <f>'Purchased Power Model'!E169</f>
        <v>93733128.7449554</v>
      </c>
      <c r="C97" s="138">
        <f>'Purchased Power Model'!O169</f>
        <v>93692190.25064775</v>
      </c>
      <c r="D97" s="270">
        <f t="shared" si="2"/>
        <v>40938.494307652116</v>
      </c>
      <c r="E97" s="270">
        <f t="shared" si="3"/>
        <v>799048.0232935399</v>
      </c>
    </row>
    <row r="98" spans="1:5" ht="12.75">
      <c r="A98" s="307">
        <v>40148</v>
      </c>
      <c r="B98" s="138">
        <f>'Purchased Power Model'!E170</f>
        <v>109929207.9270973</v>
      </c>
      <c r="C98" s="138">
        <f>'Purchased Power Model'!O170</f>
        <v>107185346.46429144</v>
      </c>
      <c r="D98" s="270">
        <f t="shared" si="2"/>
        <v>2743861.462805867</v>
      </c>
      <c r="E98" s="270">
        <f t="shared" si="3"/>
        <v>2702922.968498215</v>
      </c>
    </row>
    <row r="99" spans="1:5" ht="12.75">
      <c r="A99" s="307">
        <v>40179</v>
      </c>
      <c r="B99" s="138">
        <f>'Purchased Power Model'!E171</f>
        <v>112728743.41792473</v>
      </c>
      <c r="C99" s="138">
        <f>'Purchased Power Model'!O171</f>
        <v>109371256.17179047</v>
      </c>
      <c r="D99" s="270">
        <f t="shared" si="2"/>
        <v>3357487.2461342663</v>
      </c>
      <c r="E99" s="270">
        <f t="shared" si="3"/>
        <v>613625.7833283991</v>
      </c>
    </row>
    <row r="100" spans="1:5" ht="12.75">
      <c r="A100" s="307">
        <v>40210</v>
      </c>
      <c r="B100" s="138">
        <f>'Purchased Power Model'!E172</f>
        <v>99258445.31102118</v>
      </c>
      <c r="C100" s="138">
        <f>'Purchased Power Model'!O172</f>
        <v>98952070.79445106</v>
      </c>
      <c r="D100" s="270">
        <f t="shared" si="2"/>
        <v>306374.51657012105</v>
      </c>
      <c r="E100" s="270">
        <f t="shared" si="3"/>
        <v>-3051112.729564145</v>
      </c>
    </row>
    <row r="101" spans="1:5" ht="12.75">
      <c r="A101" s="307">
        <v>40238</v>
      </c>
      <c r="B101" s="138">
        <f>'Purchased Power Model'!E173</f>
        <v>100040210.32377149</v>
      </c>
      <c r="C101" s="138">
        <f>'Purchased Power Model'!O173</f>
        <v>99438877.36831395</v>
      </c>
      <c r="D101" s="270">
        <f t="shared" si="2"/>
        <v>601332.9554575384</v>
      </c>
      <c r="E101" s="270">
        <f t="shared" si="3"/>
        <v>294958.4388874173</v>
      </c>
    </row>
    <row r="102" spans="1:5" ht="12.75">
      <c r="A102" s="307">
        <v>40269</v>
      </c>
      <c r="B102" s="138">
        <f>'Purchased Power Model'!E174</f>
        <v>89357236.0693395</v>
      </c>
      <c r="C102" s="138">
        <f>'Purchased Power Model'!O174</f>
        <v>92454068.99056208</v>
      </c>
      <c r="D102" s="270">
        <f t="shared" si="2"/>
        <v>-3096832.9212225825</v>
      </c>
      <c r="E102" s="270">
        <f t="shared" si="3"/>
        <v>-3698165.876680121</v>
      </c>
    </row>
    <row r="103" spans="1:5" ht="12.75">
      <c r="A103" s="307">
        <v>40299</v>
      </c>
      <c r="B103" s="138">
        <f>'Purchased Power Model'!E175</f>
        <v>98050856.1469518</v>
      </c>
      <c r="C103" s="138">
        <f>'Purchased Power Model'!O175</f>
        <v>96835148.33552285</v>
      </c>
      <c r="D103" s="270">
        <f t="shared" si="2"/>
        <v>1215707.8114289492</v>
      </c>
      <c r="E103" s="270">
        <f t="shared" si="3"/>
        <v>4312540.732651532</v>
      </c>
    </row>
    <row r="104" spans="1:5" ht="12.75">
      <c r="A104" s="307">
        <v>40330</v>
      </c>
      <c r="B104" s="138">
        <f>'Purchased Power Model'!E176</f>
        <v>106969130.23926716</v>
      </c>
      <c r="C104" s="138">
        <f>'Purchased Power Model'!O176</f>
        <v>104177177.623109</v>
      </c>
      <c r="D104" s="270">
        <f t="shared" si="2"/>
        <v>2791952.6161581576</v>
      </c>
      <c r="E104" s="270">
        <f t="shared" si="3"/>
        <v>1576244.8047292084</v>
      </c>
    </row>
    <row r="105" spans="1:5" ht="12.75">
      <c r="A105" s="307">
        <v>40360</v>
      </c>
      <c r="B105" s="138">
        <f>'Purchased Power Model'!E177</f>
        <v>130192001.11915383</v>
      </c>
      <c r="C105" s="138">
        <f>'Purchased Power Model'!O177</f>
        <v>129954780.62556235</v>
      </c>
      <c r="D105" s="270">
        <f t="shared" si="2"/>
        <v>237220.4935914725</v>
      </c>
      <c r="E105" s="270">
        <f t="shared" si="3"/>
        <v>-2554732.122566685</v>
      </c>
    </row>
    <row r="106" spans="1:5" ht="12.75">
      <c r="A106" s="307">
        <v>40391</v>
      </c>
      <c r="B106" s="138">
        <f>'Purchased Power Model'!E178</f>
        <v>125435396.10659494</v>
      </c>
      <c r="C106" s="138">
        <f>'Purchased Power Model'!O178</f>
        <v>124211856.5827511</v>
      </c>
      <c r="D106" s="270">
        <f t="shared" si="2"/>
        <v>1223539.5238438398</v>
      </c>
      <c r="E106" s="270">
        <f t="shared" si="3"/>
        <v>986319.0302523673</v>
      </c>
    </row>
    <row r="107" spans="1:5" ht="12.75">
      <c r="A107" s="307">
        <v>40422</v>
      </c>
      <c r="B107" s="138">
        <f>'Purchased Power Model'!E179</f>
        <v>99514707.28758816</v>
      </c>
      <c r="C107" s="138">
        <f>'Purchased Power Model'!O179</f>
        <v>96582273.44592066</v>
      </c>
      <c r="D107" s="270">
        <f t="shared" si="2"/>
        <v>2932433.841667503</v>
      </c>
      <c r="E107" s="270">
        <f t="shared" si="3"/>
        <v>1708894.3178236634</v>
      </c>
    </row>
    <row r="108" spans="1:5" ht="12.75">
      <c r="A108" s="307">
        <v>40452</v>
      </c>
      <c r="B108" s="138">
        <f>'Purchased Power Model'!E180</f>
        <v>94152765.44334878</v>
      </c>
      <c r="C108" s="138">
        <f>'Purchased Power Model'!O180</f>
        <v>95362010.83659059</v>
      </c>
      <c r="D108" s="270">
        <f t="shared" si="2"/>
        <v>-1209245.3932418078</v>
      </c>
      <c r="E108" s="270">
        <f t="shared" si="3"/>
        <v>-4141679.234909311</v>
      </c>
    </row>
    <row r="109" spans="1:5" ht="12.75">
      <c r="A109" s="307">
        <v>40483</v>
      </c>
      <c r="B109" s="138">
        <f>'Purchased Power Model'!E181</f>
        <v>97120412.20809971</v>
      </c>
      <c r="C109" s="138">
        <f>'Purchased Power Model'!O181</f>
        <v>95884446.20421955</v>
      </c>
      <c r="D109" s="270">
        <f t="shared" si="2"/>
        <v>1235966.003880158</v>
      </c>
      <c r="E109" s="270">
        <f t="shared" si="3"/>
        <v>2445211.397121966</v>
      </c>
    </row>
    <row r="110" spans="1:5" ht="12.75">
      <c r="A110" s="307">
        <v>40513</v>
      </c>
      <c r="B110" s="138">
        <f>'Purchased Power Model'!E182</f>
        <v>111894733.27617797</v>
      </c>
      <c r="C110" s="138">
        <f>'Purchased Power Model'!O182</f>
        <v>109861626.41908112</v>
      </c>
      <c r="D110" s="270">
        <f t="shared" si="2"/>
        <v>2033106.8570968509</v>
      </c>
      <c r="E110" s="270">
        <f t="shared" si="3"/>
        <v>797140.8532166928</v>
      </c>
    </row>
    <row r="111" spans="1:5" ht="12.75">
      <c r="A111" s="307">
        <v>40544</v>
      </c>
      <c r="B111" s="138">
        <f>'Purchased Power Model'!E183</f>
        <v>113829885.14897905</v>
      </c>
      <c r="C111" s="138">
        <f>'Purchased Power Model'!O183</f>
        <v>111749632.5958758</v>
      </c>
      <c r="D111" s="270">
        <f t="shared" si="2"/>
        <v>2080252.5531032532</v>
      </c>
      <c r="E111" s="270">
        <f t="shared" si="3"/>
        <v>47145.69600640237</v>
      </c>
    </row>
    <row r="112" spans="1:5" ht="12.75">
      <c r="A112" s="307">
        <v>40575</v>
      </c>
      <c r="B112" s="138">
        <f>'Purchased Power Model'!E184</f>
        <v>102120252.30087246</v>
      </c>
      <c r="C112" s="138">
        <f>'Purchased Power Model'!O184</f>
        <v>101219397.55575052</v>
      </c>
      <c r="D112" s="270">
        <f t="shared" si="2"/>
        <v>900854.745121941</v>
      </c>
      <c r="E112" s="270">
        <f t="shared" si="3"/>
        <v>-1179397.8079813123</v>
      </c>
    </row>
    <row r="113" spans="1:5" ht="12.75">
      <c r="A113" s="307">
        <v>40603</v>
      </c>
      <c r="B113" s="138">
        <f>'Purchased Power Model'!E185</f>
        <v>106849782.5853615</v>
      </c>
      <c r="C113" s="138">
        <f>'Purchased Power Model'!O185</f>
        <v>103122396.33076033</v>
      </c>
      <c r="D113" s="270">
        <f t="shared" si="2"/>
        <v>3727386.2546011657</v>
      </c>
      <c r="E113" s="270">
        <f t="shared" si="3"/>
        <v>2826531.5094792247</v>
      </c>
    </row>
    <row r="114" spans="1:5" ht="12.75">
      <c r="A114" s="307">
        <v>40634</v>
      </c>
      <c r="B114" s="138">
        <f>'Purchased Power Model'!E186</f>
        <v>94087029.29704355</v>
      </c>
      <c r="C114" s="138">
        <f>'Purchased Power Model'!O186</f>
        <v>95889037.41501318</v>
      </c>
      <c r="D114" s="270">
        <f t="shared" si="2"/>
        <v>-1802008.1179696321</v>
      </c>
      <c r="E114" s="270">
        <f t="shared" si="3"/>
        <v>-5529394.372570798</v>
      </c>
    </row>
    <row r="115" spans="1:5" ht="12.75">
      <c r="A115" s="307">
        <v>40664</v>
      </c>
      <c r="B115" s="138">
        <f>'Purchased Power Model'!E187</f>
        <v>95311649.19082919</v>
      </c>
      <c r="C115" s="138">
        <f>'Purchased Power Model'!O187</f>
        <v>95582811.92284368</v>
      </c>
      <c r="D115" s="270">
        <f t="shared" si="2"/>
        <v>-271162.73201449215</v>
      </c>
      <c r="E115" s="270">
        <f t="shared" si="3"/>
        <v>1530845.38595514</v>
      </c>
    </row>
    <row r="116" spans="1:5" ht="12.75">
      <c r="A116" s="307">
        <v>40695</v>
      </c>
      <c r="B116" s="138">
        <f>'Purchased Power Model'!E188</f>
        <v>104481387.99310356</v>
      </c>
      <c r="C116" s="138">
        <f>'Purchased Power Model'!O188</f>
        <v>101398210.64104456</v>
      </c>
      <c r="D116" s="270">
        <f t="shared" si="2"/>
        <v>3083177.3520590067</v>
      </c>
      <c r="E116" s="270">
        <f t="shared" si="3"/>
        <v>3354340.084073499</v>
      </c>
    </row>
    <row r="117" spans="1:5" ht="12.75">
      <c r="A117" s="307">
        <v>40725</v>
      </c>
      <c r="B117" s="138">
        <f>'Purchased Power Model'!E189</f>
        <v>132315624.27127488</v>
      </c>
      <c r="C117" s="138">
        <f>'Purchased Power Model'!O189</f>
        <v>135163218.25796863</v>
      </c>
      <c r="D117" s="270">
        <f t="shared" si="2"/>
        <v>-2847593.986693755</v>
      </c>
      <c r="E117" s="270">
        <f t="shared" si="3"/>
        <v>-5930771.3387527615</v>
      </c>
    </row>
    <row r="118" spans="1:5" ht="12.75">
      <c r="A118" s="307">
        <v>40756</v>
      </c>
      <c r="B118" s="138">
        <f>'Purchased Power Model'!E190</f>
        <v>120979109.88007376</v>
      </c>
      <c r="C118" s="138">
        <f>'Purchased Power Model'!O190</f>
        <v>124830315.38867168</v>
      </c>
      <c r="D118" s="270">
        <f t="shared" si="2"/>
        <v>-3851205.5085979253</v>
      </c>
      <c r="E118" s="270">
        <f t="shared" si="3"/>
        <v>-1003611.5219041705</v>
      </c>
    </row>
    <row r="119" spans="1:5" ht="12.75">
      <c r="A119" s="307">
        <v>40787</v>
      </c>
      <c r="B119" s="138">
        <f>'Purchased Power Model'!E191</f>
        <v>101456692.20170335</v>
      </c>
      <c r="C119" s="138">
        <f>'Purchased Power Model'!O191</f>
        <v>96199013.5780038</v>
      </c>
      <c r="D119" s="270">
        <f t="shared" si="2"/>
        <v>5257678.623699561</v>
      </c>
      <c r="E119" s="270">
        <f t="shared" si="3"/>
        <v>9108884.132297486</v>
      </c>
    </row>
    <row r="120" spans="1:5" ht="12.75">
      <c r="A120" s="307">
        <v>40817</v>
      </c>
      <c r="B120" s="138">
        <f>'Purchased Power Model'!E192</f>
        <v>95202184.84729818</v>
      </c>
      <c r="C120" s="138">
        <f>'Purchased Power Model'!O192</f>
        <v>95474646.4106662</v>
      </c>
      <c r="D120" s="270">
        <f t="shared" si="2"/>
        <v>-272461.56336802244</v>
      </c>
      <c r="E120" s="270">
        <f t="shared" si="3"/>
        <v>-5530140.187067583</v>
      </c>
    </row>
    <row r="121" spans="1:5" ht="12.75">
      <c r="A121" s="307">
        <v>40848</v>
      </c>
      <c r="B121" s="138">
        <f>'Purchased Power Model'!E193</f>
        <v>94439501.27361053</v>
      </c>
      <c r="C121" s="138">
        <f>'Purchased Power Model'!O193</f>
        <v>94367933.27745616</v>
      </c>
      <c r="D121" s="270">
        <f t="shared" si="2"/>
        <v>71567.99615436792</v>
      </c>
      <c r="E121" s="270">
        <f t="shared" si="3"/>
        <v>344029.55952239037</v>
      </c>
    </row>
    <row r="122" spans="1:5" ht="12.75">
      <c r="A122" s="307">
        <v>40878</v>
      </c>
      <c r="B122" s="138">
        <f>'Purchased Power Model'!E194</f>
        <v>105238563.4331235</v>
      </c>
      <c r="C122" s="138">
        <f>'Purchased Power Model'!O194</f>
        <v>106323783.81322974</v>
      </c>
      <c r="D122" s="270">
        <f t="shared" si="2"/>
        <v>-1085220.3801062405</v>
      </c>
      <c r="E122" s="270">
        <f t="shared" si="3"/>
        <v>-1156788.3762606084</v>
      </c>
    </row>
    <row r="123" spans="1:5" ht="12.75">
      <c r="A123" s="307">
        <v>40909</v>
      </c>
      <c r="B123" s="138">
        <f>'Purchased Power Model'!E195</f>
        <v>109223578.46951081</v>
      </c>
      <c r="C123" s="138">
        <f>'Purchased Power Model'!O195</f>
        <v>108511723.03126246</v>
      </c>
      <c r="D123" s="270">
        <f t="shared" si="2"/>
        <v>711855.4382483512</v>
      </c>
      <c r="E123" s="270">
        <f t="shared" si="3"/>
        <v>1797075.8183545917</v>
      </c>
    </row>
    <row r="124" spans="1:5" ht="12.75">
      <c r="A124" s="307">
        <v>40940</v>
      </c>
      <c r="B124" s="138">
        <f>'Purchased Power Model'!E196</f>
        <v>99573605.10319768</v>
      </c>
      <c r="C124" s="138">
        <f>'Purchased Power Model'!O196</f>
        <v>101323283.14244506</v>
      </c>
      <c r="D124" s="270">
        <f t="shared" si="2"/>
        <v>-1749678.0392473787</v>
      </c>
      <c r="E124" s="270">
        <f t="shared" si="3"/>
        <v>-2461533.47749573</v>
      </c>
    </row>
    <row r="125" spans="1:5" ht="12.75">
      <c r="A125" s="307">
        <v>40969</v>
      </c>
      <c r="B125" s="138">
        <f>'Purchased Power Model'!E197</f>
        <v>96940328.99663873</v>
      </c>
      <c r="C125" s="138">
        <f>'Purchased Power Model'!O197</f>
        <v>98935012.6297459</v>
      </c>
      <c r="D125" s="270">
        <f t="shared" si="2"/>
        <v>-1994683.6331071705</v>
      </c>
      <c r="E125" s="270">
        <f t="shared" si="3"/>
        <v>-245005.59385979176</v>
      </c>
    </row>
    <row r="126" spans="1:5" ht="12.75">
      <c r="A126" s="307">
        <v>41000</v>
      </c>
      <c r="B126" s="138">
        <f>'Purchased Power Model'!E198</f>
        <v>90395437.38412581</v>
      </c>
      <c r="C126" s="138">
        <f>'Purchased Power Model'!O198</f>
        <v>94476602.50900568</v>
      </c>
      <c r="D126" s="270">
        <f t="shared" si="2"/>
        <v>-4081165.124879867</v>
      </c>
      <c r="E126" s="270">
        <f t="shared" si="3"/>
        <v>-2086481.4917726964</v>
      </c>
    </row>
    <row r="127" spans="1:5" ht="12.75">
      <c r="A127" s="307">
        <v>41030</v>
      </c>
      <c r="B127" s="138">
        <f>'Purchased Power Model'!E199</f>
        <v>100200864.44101663</v>
      </c>
      <c r="C127" s="138">
        <f>'Purchased Power Model'!O199</f>
        <v>96863738.83846967</v>
      </c>
      <c r="D127" s="270">
        <f t="shared" si="2"/>
        <v>3337125.60254696</v>
      </c>
      <c r="E127" s="270">
        <f t="shared" si="3"/>
        <v>7418290.727426827</v>
      </c>
    </row>
    <row r="128" spans="1:5" ht="12.75">
      <c r="A128" s="307">
        <v>41061</v>
      </c>
      <c r="B128" s="138">
        <f>'Purchased Power Model'!E200</f>
        <v>110427095.97285067</v>
      </c>
      <c r="C128" s="138">
        <f>'Purchased Power Model'!O200</f>
        <v>114010245.87221877</v>
      </c>
      <c r="D128" s="270">
        <f t="shared" si="2"/>
        <v>-3583149.8993681073</v>
      </c>
      <c r="E128" s="270">
        <f t="shared" si="3"/>
        <v>-6920275.501915067</v>
      </c>
    </row>
    <row r="129" spans="1:5" ht="12.75">
      <c r="A129" s="307">
        <v>41091</v>
      </c>
      <c r="B129" s="138">
        <f>'Purchased Power Model'!E201</f>
        <v>134019462.29349864</v>
      </c>
      <c r="C129" s="138">
        <f>'Purchased Power Model'!O201</f>
        <v>136160917.90547282</v>
      </c>
      <c r="D129" s="270">
        <f t="shared" si="2"/>
        <v>-2141455.6119741797</v>
      </c>
      <c r="E129" s="270">
        <f t="shared" si="3"/>
        <v>1441694.2873939276</v>
      </c>
    </row>
    <row r="130" spans="1:5" ht="12.75">
      <c r="A130" s="307">
        <v>41122</v>
      </c>
      <c r="B130" s="138">
        <f>'Purchased Power Model'!E202</f>
        <v>122137536.59835409</v>
      </c>
      <c r="C130" s="138">
        <f>'Purchased Power Model'!O202</f>
        <v>124947404.49168098</v>
      </c>
      <c r="D130" s="270">
        <f t="shared" si="2"/>
        <v>-2809867.8933268934</v>
      </c>
      <c r="E130" s="270">
        <f t="shared" si="3"/>
        <v>-668412.2813527137</v>
      </c>
    </row>
    <row r="131" spans="1:5" ht="12.75">
      <c r="A131" s="307">
        <v>41153</v>
      </c>
      <c r="B131" s="138">
        <f>'Purchased Power Model'!E203</f>
        <v>100247713.37838936</v>
      </c>
      <c r="C131" s="138">
        <f>'Purchased Power Model'!O203</f>
        <v>98193321.10200404</v>
      </c>
      <c r="D131" s="270">
        <f t="shared" si="2"/>
        <v>2054392.2763853222</v>
      </c>
      <c r="E131" s="270">
        <f t="shared" si="3"/>
        <v>4864260.169712216</v>
      </c>
    </row>
    <row r="132" spans="1:5" ht="12.75">
      <c r="A132" s="307">
        <v>41183</v>
      </c>
      <c r="B132" s="138">
        <f>'Purchased Power Model'!E204</f>
        <v>95198439.7032457</v>
      </c>
      <c r="C132" s="138">
        <f>'Purchased Power Model'!O204</f>
        <v>94899607.48809794</v>
      </c>
      <c r="D132" s="270">
        <f aca="true" t="shared" si="4" ref="D132:D195">B132-C132</f>
        <v>298832.2151477635</v>
      </c>
      <c r="E132" s="270">
        <f t="shared" si="3"/>
        <v>-1755560.0612375587</v>
      </c>
    </row>
    <row r="133" spans="1:5" ht="12.75">
      <c r="A133" s="307">
        <v>41214</v>
      </c>
      <c r="B133" s="138">
        <f>'Purchased Power Model'!E205</f>
        <v>97032089.23277192</v>
      </c>
      <c r="C133" s="138">
        <f>'Purchased Power Model'!O205</f>
        <v>96304814.40085734</v>
      </c>
      <c r="D133" s="270">
        <f t="shared" si="4"/>
        <v>727274.8319145739</v>
      </c>
      <c r="E133" s="270">
        <f aca="true" t="shared" si="5" ref="E133:E196">D133-D132</f>
        <v>428442.6167668104</v>
      </c>
    </row>
    <row r="134" spans="1:5" ht="12.75">
      <c r="A134" s="307">
        <v>41244</v>
      </c>
      <c r="B134" s="138">
        <f>'Purchased Power Model'!E206</f>
        <v>105393299.32567206</v>
      </c>
      <c r="C134" s="138">
        <f>'Purchased Power Model'!O206</f>
        <v>105842500.31971246</v>
      </c>
      <c r="D134" s="270">
        <f t="shared" si="4"/>
        <v>-449200.9940403998</v>
      </c>
      <c r="E134" s="270">
        <f t="shared" si="5"/>
        <v>-1176475.8259549737</v>
      </c>
    </row>
    <row r="135" spans="1:5" ht="12.75">
      <c r="A135" s="307">
        <v>41275</v>
      </c>
      <c r="B135" s="138">
        <f>'Purchased Power Model'!E207</f>
        <v>110326118.70140305</v>
      </c>
      <c r="C135" s="138">
        <f>'Purchased Power Model'!O207</f>
        <v>108207866.85906246</v>
      </c>
      <c r="D135" s="270">
        <f t="shared" si="4"/>
        <v>2118251.8423405886</v>
      </c>
      <c r="E135" s="270">
        <f t="shared" si="5"/>
        <v>2567452.8363809884</v>
      </c>
    </row>
    <row r="136" spans="1:5" ht="12.75">
      <c r="A136" s="307">
        <v>41306</v>
      </c>
      <c r="B136" s="138">
        <f>'Purchased Power Model'!E208</f>
        <v>99801280.1492212</v>
      </c>
      <c r="C136" s="138">
        <f>'Purchased Power Model'!O208</f>
        <v>100445854.97739165</v>
      </c>
      <c r="D136" s="270">
        <f t="shared" si="4"/>
        <v>-644574.8281704485</v>
      </c>
      <c r="E136" s="270">
        <f t="shared" si="5"/>
        <v>-2762826.670511037</v>
      </c>
    </row>
    <row r="137" spans="1:5" ht="12.75">
      <c r="A137" s="307">
        <v>41334</v>
      </c>
      <c r="B137" s="138">
        <f>'Purchased Power Model'!E209</f>
        <v>103245324.02229238</v>
      </c>
      <c r="C137" s="138">
        <f>'Purchased Power Model'!O209</f>
        <v>102300764.34183522</v>
      </c>
      <c r="D137" s="270">
        <f t="shared" si="4"/>
        <v>944559.6804571599</v>
      </c>
      <c r="E137" s="270">
        <f t="shared" si="5"/>
        <v>1589134.5086276084</v>
      </c>
    </row>
    <row r="138" spans="1:5" ht="12.75">
      <c r="A138" s="307">
        <v>41365</v>
      </c>
      <c r="B138" s="138">
        <f>'Purchased Power Model'!E210</f>
        <v>93034751.16000599</v>
      </c>
      <c r="C138" s="138">
        <f>'Purchased Power Model'!O210</f>
        <v>95576685.63467416</v>
      </c>
      <c r="D138" s="270">
        <f t="shared" si="4"/>
        <v>-2541934.474668175</v>
      </c>
      <c r="E138" s="270">
        <f t="shared" si="5"/>
        <v>-3486494.155125335</v>
      </c>
    </row>
    <row r="139" spans="1:5" ht="12.75">
      <c r="A139" s="307">
        <v>41395</v>
      </c>
      <c r="B139" s="138">
        <f>'Purchased Power Model'!E211</f>
        <v>96429712.27731146</v>
      </c>
      <c r="C139" s="138">
        <f>'Purchased Power Model'!O211</f>
        <v>96658975.13120845</v>
      </c>
      <c r="D139" s="270">
        <f t="shared" si="4"/>
        <v>-229262.85389699042</v>
      </c>
      <c r="E139" s="270">
        <f t="shared" si="5"/>
        <v>2312671.6207711846</v>
      </c>
    </row>
    <row r="140" spans="1:5" ht="12.75">
      <c r="A140" s="307">
        <v>41426</v>
      </c>
      <c r="B140" s="138">
        <f>'Purchased Power Model'!E212</f>
        <v>102793145.88208996</v>
      </c>
      <c r="C140" s="138">
        <f>'Purchased Power Model'!O212</f>
        <v>103013819.68367198</v>
      </c>
      <c r="D140" s="270">
        <f t="shared" si="4"/>
        <v>-220673.8015820235</v>
      </c>
      <c r="E140" s="270">
        <f t="shared" si="5"/>
        <v>8589.052314966917</v>
      </c>
    </row>
    <row r="141" spans="1:5" ht="12.75">
      <c r="A141" s="307">
        <v>41456</v>
      </c>
      <c r="B141" s="138">
        <f>'Purchased Power Model'!E213</f>
        <v>124848660.01316679</v>
      </c>
      <c r="C141" s="138">
        <f>'Purchased Power Model'!O213</f>
        <v>123489865.92316869</v>
      </c>
      <c r="D141" s="270">
        <f t="shared" si="4"/>
        <v>1358794.0899980962</v>
      </c>
      <c r="E141" s="270">
        <f t="shared" si="5"/>
        <v>1579467.8915801197</v>
      </c>
    </row>
    <row r="142" spans="1:5" ht="12.75">
      <c r="A142" s="307">
        <v>41487</v>
      </c>
      <c r="B142" s="138">
        <f>'Purchased Power Model'!E214</f>
        <v>115527155.75117904</v>
      </c>
      <c r="C142" s="138">
        <f>'Purchased Power Model'!O214</f>
        <v>116781224.19514138</v>
      </c>
      <c r="D142" s="270">
        <f t="shared" si="4"/>
        <v>-1254068.4439623356</v>
      </c>
      <c r="E142" s="270">
        <f t="shared" si="5"/>
        <v>-2612862.533960432</v>
      </c>
    </row>
    <row r="143" spans="1:5" ht="12.75">
      <c r="A143" s="307">
        <v>41518</v>
      </c>
      <c r="B143" s="138">
        <f>'Purchased Power Model'!E215</f>
        <v>98249629.96604548</v>
      </c>
      <c r="C143" s="138">
        <f>'Purchased Power Model'!O215</f>
        <v>95862871.69360289</v>
      </c>
      <c r="D143" s="270">
        <f t="shared" si="4"/>
        <v>2386758.272442594</v>
      </c>
      <c r="E143" s="270">
        <f t="shared" si="5"/>
        <v>3640826.7164049298</v>
      </c>
    </row>
    <row r="144" spans="1:5" ht="12.75">
      <c r="A144" s="307">
        <v>41548</v>
      </c>
      <c r="B144" s="138">
        <f>'Purchased Power Model'!E216</f>
        <v>95945977.5212139</v>
      </c>
      <c r="C144" s="138">
        <f>'Purchased Power Model'!O216</f>
        <v>95290750.66807583</v>
      </c>
      <c r="D144" s="270">
        <f t="shared" si="4"/>
        <v>655226.8531380743</v>
      </c>
      <c r="E144" s="270">
        <f t="shared" si="5"/>
        <v>-1731531.41930452</v>
      </c>
    </row>
    <row r="145" spans="1:5" ht="12.75">
      <c r="A145" s="307">
        <v>41579</v>
      </c>
      <c r="B145" s="138">
        <f>'Purchased Power Model'!E217</f>
        <v>99306958.65428175</v>
      </c>
      <c r="C145" s="138">
        <f>'Purchased Power Model'!O217</f>
        <v>97873446.352694</v>
      </c>
      <c r="D145" s="270">
        <f t="shared" si="4"/>
        <v>1433512.3015877455</v>
      </c>
      <c r="E145" s="270">
        <f t="shared" si="5"/>
        <v>778285.4484496713</v>
      </c>
    </row>
    <row r="146" spans="1:5" ht="12.75">
      <c r="A146" s="307">
        <v>41609</v>
      </c>
      <c r="B146" s="138">
        <f>'Purchased Power Model'!E218</f>
        <v>110599609.99707253</v>
      </c>
      <c r="C146" s="138">
        <f>'Purchased Power Model'!O218</f>
        <v>110159334.88472754</v>
      </c>
      <c r="D146" s="270">
        <f t="shared" si="4"/>
        <v>440275.11234499514</v>
      </c>
      <c r="E146" s="270">
        <f t="shared" si="5"/>
        <v>-993237.1892427504</v>
      </c>
    </row>
    <row r="147" spans="1:5" ht="12.75">
      <c r="A147" s="307">
        <v>41640</v>
      </c>
      <c r="B147" s="138">
        <f>'Purchased Power Model'!E219</f>
        <v>117947744.68665896</v>
      </c>
      <c r="C147" s="138">
        <f>'Purchased Power Model'!O219</f>
        <v>113311433.20407566</v>
      </c>
      <c r="D147" s="270">
        <f t="shared" si="4"/>
        <v>4636311.482583299</v>
      </c>
      <c r="E147" s="270">
        <f t="shared" si="5"/>
        <v>4196036.370238304</v>
      </c>
    </row>
    <row r="148" spans="1:5" ht="12.75">
      <c r="A148" s="307">
        <v>41671</v>
      </c>
      <c r="B148" s="138">
        <f>'Purchased Power Model'!E220</f>
        <v>102702837.60917431</v>
      </c>
      <c r="C148" s="138">
        <f>'Purchased Power Model'!O220</f>
        <v>103330776.82996942</v>
      </c>
      <c r="D148" s="270">
        <f t="shared" si="4"/>
        <v>-627939.2207951099</v>
      </c>
      <c r="E148" s="270">
        <f t="shared" si="5"/>
        <v>-5264250.703378409</v>
      </c>
    </row>
    <row r="149" spans="1:5" ht="12.75">
      <c r="A149" s="307">
        <v>41699</v>
      </c>
      <c r="B149" s="138">
        <f>'Purchased Power Model'!E221</f>
        <v>107746935.99875455</v>
      </c>
      <c r="C149" s="138">
        <f>'Purchased Power Model'!O221</f>
        <v>106269518.07977426</v>
      </c>
      <c r="D149" s="270">
        <f t="shared" si="4"/>
        <v>1477417.9189802855</v>
      </c>
      <c r="E149" s="270">
        <f t="shared" si="5"/>
        <v>2105357.1397753954</v>
      </c>
    </row>
    <row r="150" spans="1:5" ht="12.75">
      <c r="A150" s="307">
        <v>41730</v>
      </c>
      <c r="B150" s="138">
        <f>'Purchased Power Model'!E222</f>
        <v>89388271.90666892</v>
      </c>
      <c r="C150" s="138">
        <f>'Purchased Power Model'!O222</f>
        <v>96762059.14271063</v>
      </c>
      <c r="D150" s="270">
        <f t="shared" si="4"/>
        <v>-7373787.23604171</v>
      </c>
      <c r="E150" s="270">
        <f t="shared" si="5"/>
        <v>-8851205.155021995</v>
      </c>
    </row>
    <row r="151" spans="1:5" ht="12.75">
      <c r="A151" s="307">
        <v>41760</v>
      </c>
      <c r="B151" s="138">
        <f>'Purchased Power Model'!E223</f>
        <v>92633302.66588068</v>
      </c>
      <c r="C151" s="138">
        <f>'Purchased Power Model'!O223</f>
        <v>95646725.85373259</v>
      </c>
      <c r="D151" s="270">
        <f t="shared" si="4"/>
        <v>-3013423.187851906</v>
      </c>
      <c r="E151" s="270">
        <f t="shared" si="5"/>
        <v>4360364.048189804</v>
      </c>
    </row>
    <row r="152" spans="1:5" ht="12.75">
      <c r="A152" s="307">
        <v>41791</v>
      </c>
      <c r="B152" s="138">
        <f>'Purchased Power Model'!E224</f>
        <v>105400390.24726443</v>
      </c>
      <c r="C152" s="138">
        <f>'Purchased Power Model'!O224</f>
        <v>101628968.94806015</v>
      </c>
      <c r="D152" s="270">
        <f t="shared" si="4"/>
        <v>3771421.299204275</v>
      </c>
      <c r="E152" s="270">
        <f t="shared" si="5"/>
        <v>6784844.487056181</v>
      </c>
    </row>
    <row r="153" spans="1:5" ht="12.75">
      <c r="A153" s="307">
        <v>41821</v>
      </c>
      <c r="B153" s="138">
        <f>'Purchased Power Model'!E225</f>
        <v>110817105.15900777</v>
      </c>
      <c r="C153" s="138">
        <f>'Purchased Power Model'!O225</f>
        <v>111631823.84267196</v>
      </c>
      <c r="D153" s="270">
        <f t="shared" si="4"/>
        <v>-814718.6836641878</v>
      </c>
      <c r="E153" s="270">
        <f t="shared" si="5"/>
        <v>-4586139.982868463</v>
      </c>
    </row>
    <row r="154" spans="1:5" ht="12.75">
      <c r="A154" s="307">
        <v>41852</v>
      </c>
      <c r="B154" s="138">
        <f>'Purchased Power Model'!E226</f>
        <v>111725214.0343763</v>
      </c>
      <c r="C154" s="138">
        <f>'Purchased Power Model'!O226</f>
        <v>113380174.56204274</v>
      </c>
      <c r="D154" s="270">
        <f t="shared" si="4"/>
        <v>-1654960.5276664495</v>
      </c>
      <c r="E154" s="270">
        <f t="shared" si="5"/>
        <v>-840241.8440022618</v>
      </c>
    </row>
    <row r="155" spans="1:5" ht="12.75">
      <c r="A155" s="307">
        <v>41883</v>
      </c>
      <c r="B155" s="138">
        <f>'Purchased Power Model'!E227</f>
        <v>102594932.46168417</v>
      </c>
      <c r="C155" s="138">
        <f>'Purchased Power Model'!O227</f>
        <v>97922697.37602322</v>
      </c>
      <c r="D155" s="270">
        <f t="shared" si="4"/>
        <v>4672235.085660949</v>
      </c>
      <c r="E155" s="270">
        <f t="shared" si="5"/>
        <v>6327195.613327399</v>
      </c>
    </row>
    <row r="156" spans="1:5" ht="12.75">
      <c r="A156" s="307">
        <v>41913</v>
      </c>
      <c r="B156" s="138">
        <f>'Purchased Power Model'!E228</f>
        <v>91821567.30339646</v>
      </c>
      <c r="C156" s="138">
        <f>'Purchased Power Model'!O228</f>
        <v>96415272.76476574</v>
      </c>
      <c r="D156" s="270">
        <f t="shared" si="4"/>
        <v>-4593705.461369276</v>
      </c>
      <c r="E156" s="270">
        <f t="shared" si="5"/>
        <v>-9265940.547030225</v>
      </c>
    </row>
    <row r="157" spans="1:5" ht="12.75">
      <c r="A157" s="307">
        <v>41944</v>
      </c>
      <c r="B157" s="138">
        <f>'Purchased Power Model'!E229</f>
        <v>97062678.36802869</v>
      </c>
      <c r="C157" s="138">
        <f>'Purchased Power Model'!O229</f>
        <v>98560100.52139346</v>
      </c>
      <c r="D157" s="270">
        <f t="shared" si="4"/>
        <v>-1497422.1533647776</v>
      </c>
      <c r="E157" s="270">
        <f t="shared" si="5"/>
        <v>3096283.3080044985</v>
      </c>
    </row>
    <row r="158" spans="1:5" ht="12.75">
      <c r="A158" s="307">
        <v>41974</v>
      </c>
      <c r="B158" s="138">
        <f>'Purchased Power Model'!E230</f>
        <v>106513110.49909274</v>
      </c>
      <c r="C158" s="138">
        <f>'Purchased Power Model'!O230</f>
        <v>108491071.37216786</v>
      </c>
      <c r="D158" s="270">
        <f t="shared" si="4"/>
        <v>-1977960.8730751127</v>
      </c>
      <c r="E158" s="270">
        <f t="shared" si="5"/>
        <v>-480538.71971033514</v>
      </c>
    </row>
    <row r="159" spans="1:5" ht="12.75">
      <c r="A159" s="307">
        <v>42005</v>
      </c>
      <c r="B159" s="138">
        <f>'Purchased Power Model'!E231</f>
        <v>113302855.68154852</v>
      </c>
      <c r="C159" s="138">
        <f>'Purchased Power Model'!O231</f>
        <v>112991875.84592134</v>
      </c>
      <c r="D159" s="270">
        <f t="shared" si="4"/>
        <v>310979.8356271833</v>
      </c>
      <c r="E159" s="270">
        <f t="shared" si="5"/>
        <v>2288940.708702296</v>
      </c>
    </row>
    <row r="160" spans="1:5" ht="12.75">
      <c r="A160" s="307">
        <v>42036</v>
      </c>
      <c r="B160" s="138">
        <f>'Purchased Power Model'!E232</f>
        <v>107452808.78190462</v>
      </c>
      <c r="C160" s="138">
        <f>'Purchased Power Model'!O232</f>
        <v>106809159.96588753</v>
      </c>
      <c r="D160" s="270">
        <f t="shared" si="4"/>
        <v>643648.8160170913</v>
      </c>
      <c r="E160" s="270">
        <f t="shared" si="5"/>
        <v>332668.98038990796</v>
      </c>
    </row>
    <row r="161" spans="1:5" ht="12.75">
      <c r="A161" s="307">
        <v>42064</v>
      </c>
      <c r="B161" s="138">
        <f>'Purchased Power Model'!E233</f>
        <v>105021158.972317</v>
      </c>
      <c r="C161" s="138">
        <f>'Purchased Power Model'!O233</f>
        <v>105505723.56917338</v>
      </c>
      <c r="D161" s="270">
        <f t="shared" si="4"/>
        <v>-484564.59685638547</v>
      </c>
      <c r="E161" s="270">
        <f t="shared" si="5"/>
        <v>-1128213.4128734767</v>
      </c>
    </row>
    <row r="162" spans="1:5" ht="12.75">
      <c r="A162" s="307">
        <v>42095</v>
      </c>
      <c r="B162" s="138">
        <f>'Purchased Power Model'!E234</f>
        <v>91546135.98881966</v>
      </c>
      <c r="C162" s="138">
        <f>'Purchased Power Model'!O234</f>
        <v>96090950.18195939</v>
      </c>
      <c r="D162" s="270">
        <f t="shared" si="4"/>
        <v>-4544814.193139732</v>
      </c>
      <c r="E162" s="270">
        <f t="shared" si="5"/>
        <v>-4060249.5962833464</v>
      </c>
    </row>
    <row r="163" spans="1:5" ht="12.75">
      <c r="A163" s="307">
        <v>42125</v>
      </c>
      <c r="B163" s="138">
        <f>'Purchased Power Model'!E235</f>
        <v>97180323.95512512</v>
      </c>
      <c r="C163" s="138">
        <f>'Purchased Power Model'!O235</f>
        <v>95917004.55694571</v>
      </c>
      <c r="D163" s="270">
        <f t="shared" si="4"/>
        <v>1263319.398179412</v>
      </c>
      <c r="E163" s="270">
        <f t="shared" si="5"/>
        <v>5808133.591319144</v>
      </c>
    </row>
    <row r="164" spans="1:5" ht="12.75">
      <c r="A164" s="307">
        <v>42156</v>
      </c>
      <c r="B164" s="138">
        <f>'Purchased Power Model'!E236</f>
        <v>100771222.83386311</v>
      </c>
      <c r="C164" s="138">
        <f>'Purchased Power Model'!O236</f>
        <v>98292261.00782704</v>
      </c>
      <c r="D164" s="270">
        <f t="shared" si="4"/>
        <v>2478961.826036066</v>
      </c>
      <c r="E164" s="270">
        <f t="shared" si="5"/>
        <v>1215642.427856654</v>
      </c>
    </row>
    <row r="165" spans="1:5" ht="12.75">
      <c r="A165" s="307">
        <v>42186</v>
      </c>
      <c r="B165" s="138">
        <f>'Purchased Power Model'!E237</f>
        <v>119792274.43822043</v>
      </c>
      <c r="C165" s="138">
        <f>'Purchased Power Model'!O237</f>
        <v>120203637.39213495</v>
      </c>
      <c r="D165" s="270">
        <f t="shared" si="4"/>
        <v>-411362.9539145231</v>
      </c>
      <c r="E165" s="270">
        <f t="shared" si="5"/>
        <v>-2890324.779950589</v>
      </c>
    </row>
    <row r="166" spans="1:5" ht="12.75">
      <c r="A166" s="307">
        <v>42217</v>
      </c>
      <c r="B166" s="138">
        <f>'Purchased Power Model'!E238</f>
        <v>115113799.4976453</v>
      </c>
      <c r="C166" s="138">
        <f>'Purchased Power Model'!O238</f>
        <v>116669221.34148741</v>
      </c>
      <c r="D166" s="270">
        <f t="shared" si="4"/>
        <v>-1555421.843842104</v>
      </c>
      <c r="E166" s="270">
        <f t="shared" si="5"/>
        <v>-1144058.889927581</v>
      </c>
    </row>
    <row r="167" spans="1:5" ht="12.75">
      <c r="A167" s="307">
        <v>42248</v>
      </c>
      <c r="B167" s="138">
        <f>'Purchased Power Model'!E239</f>
        <v>109607532.72592574</v>
      </c>
      <c r="C167" s="138">
        <f>'Purchased Power Model'!O239</f>
        <v>105236621.56173226</v>
      </c>
      <c r="D167" s="270">
        <f t="shared" si="4"/>
        <v>4370911.164193481</v>
      </c>
      <c r="E167" s="270">
        <f t="shared" si="5"/>
        <v>5926333.008035585</v>
      </c>
    </row>
    <row r="168" spans="1:5" ht="12.75">
      <c r="A168" s="307">
        <v>42278</v>
      </c>
      <c r="B168" s="138">
        <f>'Purchased Power Model'!E240</f>
        <v>91542099.27081989</v>
      </c>
      <c r="C168" s="138">
        <f>'Purchased Power Model'!O240</f>
        <v>95235607.62582192</v>
      </c>
      <c r="D168" s="270">
        <f t="shared" si="4"/>
        <v>-3693508.3550020307</v>
      </c>
      <c r="E168" s="270">
        <f t="shared" si="5"/>
        <v>-8064419.519195512</v>
      </c>
    </row>
    <row r="169" spans="1:5" ht="12.75">
      <c r="A169" s="307">
        <v>42309</v>
      </c>
      <c r="B169" s="138">
        <f>'Purchased Power Model'!E241</f>
        <v>92874786.03388609</v>
      </c>
      <c r="C169" s="138">
        <f>'Purchased Power Model'!O241</f>
        <v>94515441.57840382</v>
      </c>
      <c r="D169" s="270">
        <f t="shared" si="4"/>
        <v>-1640655.5445177257</v>
      </c>
      <c r="E169" s="270">
        <f t="shared" si="5"/>
        <v>2052852.810484305</v>
      </c>
    </row>
    <row r="170" spans="1:5" ht="12.75">
      <c r="A170" s="307">
        <v>42339</v>
      </c>
      <c r="B170" s="138">
        <f>'Purchased Power Model'!E242</f>
        <v>99294331.8342077</v>
      </c>
      <c r="C170" s="138">
        <f>'Purchased Power Model'!O242</f>
        <v>104190532.47734559</v>
      </c>
      <c r="D170" s="270">
        <f t="shared" si="4"/>
        <v>-4896200.643137887</v>
      </c>
      <c r="E170" s="270">
        <f t="shared" si="5"/>
        <v>-3255545.0986201614</v>
      </c>
    </row>
    <row r="171" spans="1:5" ht="12.75">
      <c r="A171" s="307">
        <v>42370</v>
      </c>
      <c r="B171" s="138">
        <f>'Purchased Power Model'!E243</f>
        <v>107913788.60543773</v>
      </c>
      <c r="C171" s="138">
        <f>'Purchased Power Model'!O243</f>
        <v>109607022.41021383</v>
      </c>
      <c r="D171" s="270">
        <f t="shared" si="4"/>
        <v>-1693233.8047761023</v>
      </c>
      <c r="E171" s="270">
        <f t="shared" si="5"/>
        <v>3202966.838361785</v>
      </c>
    </row>
    <row r="172" spans="1:5" ht="12.75">
      <c r="A172" s="307">
        <v>42401</v>
      </c>
      <c r="B172" s="138">
        <f>'Purchased Power Model'!E244</f>
        <v>99584194.69109073</v>
      </c>
      <c r="C172" s="138">
        <f>'Purchased Power Model'!O244</f>
        <v>102663118.7069112</v>
      </c>
      <c r="D172" s="270">
        <f t="shared" si="4"/>
        <v>-3078924.0158204734</v>
      </c>
      <c r="E172" s="270">
        <f t="shared" si="5"/>
        <v>-1385690.2110443711</v>
      </c>
    </row>
    <row r="173" spans="1:5" ht="12.75">
      <c r="A173" s="307">
        <v>42430</v>
      </c>
      <c r="B173" s="138">
        <f>'Purchased Power Model'!E245</f>
        <v>98838094.81801955</v>
      </c>
      <c r="C173" s="138">
        <f>'Purchased Power Model'!O245</f>
        <v>100784319.10178204</v>
      </c>
      <c r="D173" s="270">
        <f t="shared" si="4"/>
        <v>-1946224.2837624848</v>
      </c>
      <c r="E173" s="270">
        <f t="shared" si="5"/>
        <v>1132699.7320579886</v>
      </c>
    </row>
    <row r="174" spans="1:5" ht="12.75">
      <c r="A174" s="307">
        <v>42461</v>
      </c>
      <c r="B174" s="138">
        <f>'Purchased Power Model'!E246</f>
        <v>92071131.3796461</v>
      </c>
      <c r="C174" s="138">
        <f>'Purchased Power Model'!O246</f>
        <v>95541398.43798067</v>
      </c>
      <c r="D174" s="270">
        <f t="shared" si="4"/>
        <v>-3470267.058334574</v>
      </c>
      <c r="E174" s="270">
        <f t="shared" si="5"/>
        <v>-1524042.7745720893</v>
      </c>
    </row>
    <row r="175" spans="1:5" ht="12.75">
      <c r="A175" s="307">
        <v>42491</v>
      </c>
      <c r="B175" s="138">
        <f>'Purchased Power Model'!E247</f>
        <v>95530854.55811223</v>
      </c>
      <c r="C175" s="138">
        <f>'Purchased Power Model'!O247</f>
        <v>99883507.74146193</v>
      </c>
      <c r="D175" s="270">
        <f t="shared" si="4"/>
        <v>-4352653.183349699</v>
      </c>
      <c r="E175" s="270">
        <f t="shared" si="5"/>
        <v>-882386.1250151247</v>
      </c>
    </row>
    <row r="176" spans="1:5" ht="12.75">
      <c r="A176" s="307">
        <v>42522</v>
      </c>
      <c r="B176" s="138">
        <f>'Purchased Power Model'!E248</f>
        <v>106535593.67033798</v>
      </c>
      <c r="C176" s="138">
        <f>'Purchased Power Model'!O248</f>
        <v>105779520.48902178</v>
      </c>
      <c r="D176" s="270">
        <f t="shared" si="4"/>
        <v>756073.1813161969</v>
      </c>
      <c r="E176" s="270">
        <f t="shared" si="5"/>
        <v>5108726.364665896</v>
      </c>
    </row>
    <row r="177" spans="1:5" ht="12.75">
      <c r="A177" s="307">
        <v>42552</v>
      </c>
      <c r="B177" s="138">
        <f>'Purchased Power Model'!E249</f>
        <v>128072181.29544806</v>
      </c>
      <c r="C177" s="138">
        <f>'Purchased Power Model'!O249</f>
        <v>128361863.39382553</v>
      </c>
      <c r="D177" s="270">
        <f t="shared" si="4"/>
        <v>-289682.0983774662</v>
      </c>
      <c r="E177" s="270">
        <f t="shared" si="5"/>
        <v>-1045755.2796936631</v>
      </c>
    </row>
    <row r="178" spans="1:5" ht="12.75">
      <c r="A178" s="307">
        <v>42583</v>
      </c>
      <c r="B178" s="138">
        <f>'Purchased Power Model'!E250</f>
        <v>135708397.06935012</v>
      </c>
      <c r="C178" s="138">
        <f>'Purchased Power Model'!O250</f>
        <v>134846162.61070484</v>
      </c>
      <c r="D178" s="270">
        <f t="shared" si="4"/>
        <v>862234.4586452842</v>
      </c>
      <c r="E178" s="270">
        <f t="shared" si="5"/>
        <v>1151916.5570227504</v>
      </c>
    </row>
    <row r="179" spans="1:5" ht="12.75">
      <c r="A179" s="307">
        <v>42614</v>
      </c>
      <c r="B179" s="138">
        <f>'Purchased Power Model'!E251</f>
        <v>105682194.80664764</v>
      </c>
      <c r="C179" s="138">
        <f>'Purchased Power Model'!O251</f>
        <v>105086671.3231421</v>
      </c>
      <c r="D179" s="270">
        <f t="shared" si="4"/>
        <v>595523.483505547</v>
      </c>
      <c r="E179" s="270">
        <f t="shared" si="5"/>
        <v>-266710.97513973713</v>
      </c>
    </row>
    <row r="180" spans="1:5" ht="12.75">
      <c r="A180" s="307">
        <v>42644</v>
      </c>
      <c r="B180" s="138">
        <f>'Purchased Power Model'!E252</f>
        <v>91818770.75579955</v>
      </c>
      <c r="C180" s="138">
        <f>'Purchased Power Model'!O252</f>
        <v>95092726.74827681</v>
      </c>
      <c r="D180" s="270">
        <f t="shared" si="4"/>
        <v>-3273955.992477268</v>
      </c>
      <c r="E180" s="270">
        <f t="shared" si="5"/>
        <v>-3869479.475982815</v>
      </c>
    </row>
    <row r="181" spans="1:5" ht="12.75">
      <c r="A181" s="307">
        <v>42675</v>
      </c>
      <c r="B181" s="138">
        <f>'Purchased Power Model'!E253</f>
        <v>91695068.90099233</v>
      </c>
      <c r="C181" s="138">
        <f>'Purchased Power Model'!O253</f>
        <v>93083624.55925786</v>
      </c>
      <c r="D181" s="270">
        <f t="shared" si="4"/>
        <v>-1388555.658265531</v>
      </c>
      <c r="E181" s="270">
        <f t="shared" si="5"/>
        <v>1885400.334211737</v>
      </c>
    </row>
    <row r="182" spans="1:5" ht="12.75">
      <c r="A182" s="307">
        <v>42705</v>
      </c>
      <c r="B182" s="138">
        <f>'Purchased Power Model'!E254</f>
        <v>104381043.8513695</v>
      </c>
      <c r="C182" s="138">
        <f>'Purchased Power Model'!O254</f>
        <v>107211610.9320749</v>
      </c>
      <c r="D182" s="270">
        <f t="shared" si="4"/>
        <v>-2830567.0807054043</v>
      </c>
      <c r="E182" s="270">
        <f t="shared" si="5"/>
        <v>-1442011.4224398732</v>
      </c>
    </row>
    <row r="183" spans="1:5" ht="12.75">
      <c r="A183" s="307">
        <v>42736</v>
      </c>
      <c r="B183" s="138">
        <f>'Purchased Power Model'!E255</f>
        <v>106408607.67573097</v>
      </c>
      <c r="C183" s="138">
        <f>'Purchased Power Model'!O255</f>
        <v>107298825.2223656</v>
      </c>
      <c r="D183" s="270">
        <f t="shared" si="4"/>
        <v>-890217.5466346294</v>
      </c>
      <c r="E183" s="270">
        <f t="shared" si="5"/>
        <v>1940349.534070775</v>
      </c>
    </row>
    <row r="184" spans="1:5" ht="12.75">
      <c r="A184" s="307">
        <v>42767</v>
      </c>
      <c r="B184" s="138">
        <f>'Purchased Power Model'!E256</f>
        <v>91933039.99666771</v>
      </c>
      <c r="C184" s="138">
        <f>'Purchased Power Model'!O256</f>
        <v>96603076.5616193</v>
      </c>
      <c r="D184" s="270">
        <f t="shared" si="4"/>
        <v>-4670036.564951584</v>
      </c>
      <c r="E184" s="270">
        <f t="shared" si="5"/>
        <v>-3779819.0183169544</v>
      </c>
    </row>
    <row r="185" spans="1:5" ht="12.75">
      <c r="A185" s="307">
        <v>42795</v>
      </c>
      <c r="B185" s="138">
        <f>'Purchased Power Model'!E257</f>
        <v>100160850.08638881</v>
      </c>
      <c r="C185" s="138">
        <f>'Purchased Power Model'!O257</f>
        <v>101602524.44307351</v>
      </c>
      <c r="D185" s="270">
        <f t="shared" si="4"/>
        <v>-1441674.3566846997</v>
      </c>
      <c r="E185" s="270">
        <f t="shared" si="5"/>
        <v>3228362.208266884</v>
      </c>
    </row>
    <row r="186" spans="1:5" ht="12.75">
      <c r="A186" s="307">
        <v>42826</v>
      </c>
      <c r="B186" s="138">
        <f>'Purchased Power Model'!E258</f>
        <v>89161195.87225649</v>
      </c>
      <c r="C186" s="138">
        <f>'Purchased Power Model'!O258</f>
        <v>92504533.94876088</v>
      </c>
      <c r="D186" s="270">
        <f t="shared" si="4"/>
        <v>-3343338.0765043944</v>
      </c>
      <c r="E186" s="270">
        <f t="shared" si="5"/>
        <v>-1901663.7198196948</v>
      </c>
    </row>
    <row r="187" spans="1:5" ht="12.75">
      <c r="A187" s="307">
        <v>42856</v>
      </c>
      <c r="B187" s="138">
        <f>'Purchased Power Model'!E259</f>
        <v>91749408.22654861</v>
      </c>
      <c r="C187" s="138">
        <f>'Purchased Power Model'!O259</f>
        <v>93388254.03335549</v>
      </c>
      <c r="D187" s="270">
        <f t="shared" si="4"/>
        <v>-1638845.8068068773</v>
      </c>
      <c r="E187" s="270">
        <f t="shared" si="5"/>
        <v>1704492.2696975172</v>
      </c>
    </row>
    <row r="188" spans="1:5" ht="12.75">
      <c r="A188" s="307">
        <v>42887</v>
      </c>
      <c r="B188" s="138">
        <f>'Purchased Power Model'!E260</f>
        <v>101273771.58628052</v>
      </c>
      <c r="C188" s="138">
        <f>'Purchased Power Model'!O260</f>
        <v>103883725.6539636</v>
      </c>
      <c r="D188" s="270">
        <f t="shared" si="4"/>
        <v>-2609954.067683071</v>
      </c>
      <c r="E188" s="270">
        <f t="shared" si="5"/>
        <v>-971108.2608761936</v>
      </c>
    </row>
    <row r="189" spans="1:5" ht="12.75">
      <c r="A189" s="307">
        <v>42917</v>
      </c>
      <c r="B189" s="138">
        <f>'Purchased Power Model'!E261</f>
        <v>117726048.6647153</v>
      </c>
      <c r="C189" s="138">
        <f>'Purchased Power Model'!O261</f>
        <v>115725018.33349475</v>
      </c>
      <c r="D189" s="270">
        <f t="shared" si="4"/>
        <v>2001030.3312205523</v>
      </c>
      <c r="E189" s="270">
        <f t="shared" si="5"/>
        <v>4610984.398903623</v>
      </c>
    </row>
    <row r="190" spans="1:5" ht="12.75">
      <c r="A190" s="307">
        <v>42948</v>
      </c>
      <c r="B190" s="138">
        <f>'Purchased Power Model'!E262</f>
        <v>112627394.13246004</v>
      </c>
      <c r="C190" s="138">
        <f>'Purchased Power Model'!O262</f>
        <v>113630001.7183108</v>
      </c>
      <c r="D190" s="270">
        <f t="shared" si="4"/>
        <v>-1002607.5858507603</v>
      </c>
      <c r="E190" s="270">
        <f t="shared" si="5"/>
        <v>-3003637.9170713127</v>
      </c>
    </row>
    <row r="191" spans="1:5" ht="12.75">
      <c r="A191" s="307">
        <v>42979</v>
      </c>
      <c r="B191" s="138">
        <f>'Purchased Power Model'!E263</f>
        <v>102970942.88329907</v>
      </c>
      <c r="C191" s="138">
        <f>'Purchased Power Model'!O263</f>
        <v>97861995.95170107</v>
      </c>
      <c r="D191" s="270">
        <f t="shared" si="4"/>
        <v>5108946.931597993</v>
      </c>
      <c r="E191" s="270">
        <f t="shared" si="5"/>
        <v>6111554.517448753</v>
      </c>
    </row>
    <row r="192" spans="1:5" ht="12.75">
      <c r="A192" s="307">
        <v>43009</v>
      </c>
      <c r="B192" s="138">
        <f>'Purchased Power Model'!E264</f>
        <v>90891594.66181129</v>
      </c>
      <c r="C192" s="138">
        <f>'Purchased Power Model'!O264</f>
        <v>93007611.06865017</v>
      </c>
      <c r="D192" s="270">
        <f t="shared" si="4"/>
        <v>-2116016.406838879</v>
      </c>
      <c r="E192" s="270">
        <f t="shared" si="5"/>
        <v>-7224963.338436872</v>
      </c>
    </row>
    <row r="193" spans="1:5" ht="12.75">
      <c r="A193" s="307">
        <v>43040</v>
      </c>
      <c r="B193" s="138">
        <f>'Purchased Power Model'!E265</f>
        <v>99598138.80619138</v>
      </c>
      <c r="C193" s="138">
        <f>'Purchased Power Model'!O265</f>
        <v>94202764.11861263</v>
      </c>
      <c r="D193" s="270">
        <f t="shared" si="4"/>
        <v>5395374.687578753</v>
      </c>
      <c r="E193" s="270">
        <f t="shared" si="5"/>
        <v>7511391.094417632</v>
      </c>
    </row>
    <row r="194" spans="1:5" ht="12.75">
      <c r="A194" s="307">
        <v>43070</v>
      </c>
      <c r="B194" s="138">
        <f>'Purchased Power Model'!E266</f>
        <v>107700223.29477285</v>
      </c>
      <c r="C194" s="138">
        <f>'Purchased Power Model'!O266</f>
        <v>107435632.53707822</v>
      </c>
      <c r="D194" s="270">
        <f t="shared" si="4"/>
        <v>264590.7576946318</v>
      </c>
      <c r="E194" s="270">
        <f t="shared" si="5"/>
        <v>-5130783.929884121</v>
      </c>
    </row>
    <row r="195" spans="1:5" ht="12.75">
      <c r="A195" s="307">
        <v>43101</v>
      </c>
      <c r="B195" s="138">
        <f>'Purchased Power Model'!E267</f>
        <v>111133966.93694584</v>
      </c>
      <c r="C195" s="138">
        <f>'Purchased Power Model'!O267</f>
        <v>108266412.9271847</v>
      </c>
      <c r="D195" s="270">
        <f t="shared" si="4"/>
        <v>2867554.0097611398</v>
      </c>
      <c r="E195" s="270">
        <f t="shared" si="5"/>
        <v>2602963.252066508</v>
      </c>
    </row>
    <row r="196" spans="1:5" ht="12.75">
      <c r="A196" s="307">
        <v>43132</v>
      </c>
      <c r="B196" s="138">
        <f>'Purchased Power Model'!E268</f>
        <v>96052714.97080131</v>
      </c>
      <c r="C196" s="138">
        <f>'Purchased Power Model'!O268</f>
        <v>96632300.01771091</v>
      </c>
      <c r="D196" s="270">
        <f aca="true" t="shared" si="6" ref="D196:D218">B196-C196</f>
        <v>-579585.0469096005</v>
      </c>
      <c r="E196" s="270">
        <f t="shared" si="5"/>
        <v>-3447139.0566707402</v>
      </c>
    </row>
    <row r="197" spans="1:5" ht="12.75">
      <c r="A197" s="307">
        <v>43160</v>
      </c>
      <c r="B197" s="138">
        <f>'Purchased Power Model'!E269</f>
        <v>100674994.83969073</v>
      </c>
      <c r="C197" s="138">
        <f>'Purchased Power Model'!O269</f>
        <v>100397511.23146032</v>
      </c>
      <c r="D197" s="270">
        <f t="shared" si="6"/>
        <v>277483.608230412</v>
      </c>
      <c r="E197" s="270">
        <f aca="true" t="shared" si="7" ref="E197:E218">D197-D196</f>
        <v>857068.6551400125</v>
      </c>
    </row>
    <row r="198" spans="1:5" ht="12.75">
      <c r="A198" s="307">
        <v>43191</v>
      </c>
      <c r="B198" s="138">
        <f>'Purchased Power Model'!E270</f>
        <v>94871379.14861572</v>
      </c>
      <c r="C198" s="138">
        <f>'Purchased Power Model'!O270</f>
        <v>95718779.87604287</v>
      </c>
      <c r="D198" s="270">
        <f t="shared" si="6"/>
        <v>-847400.7274271548</v>
      </c>
      <c r="E198" s="270">
        <f t="shared" si="7"/>
        <v>-1124884.3356575668</v>
      </c>
    </row>
    <row r="199" spans="1:5" ht="12.75">
      <c r="A199" s="307">
        <v>43221</v>
      </c>
      <c r="B199" s="138">
        <f>'Purchased Power Model'!E271</f>
        <v>96408046.82926665</v>
      </c>
      <c r="C199" s="138">
        <f>'Purchased Power Model'!O271</f>
        <v>93877233.39845194</v>
      </c>
      <c r="D199" s="270">
        <f t="shared" si="6"/>
        <v>2530813.4308147132</v>
      </c>
      <c r="E199" s="270">
        <f t="shared" si="7"/>
        <v>3378214.158241868</v>
      </c>
    </row>
    <row r="200" spans="1:5" ht="12.75">
      <c r="A200" s="307">
        <v>43252</v>
      </c>
      <c r="B200" s="138">
        <f>'Purchased Power Model'!E272</f>
        <v>105101249.58552134</v>
      </c>
      <c r="C200" s="138">
        <f>'Purchased Power Model'!O272</f>
        <v>100615395.08503313</v>
      </c>
      <c r="D200" s="270">
        <f t="shared" si="6"/>
        <v>4485854.500488207</v>
      </c>
      <c r="E200" s="270">
        <f t="shared" si="7"/>
        <v>1955041.0696734935</v>
      </c>
    </row>
    <row r="201" spans="1:5" ht="12.75">
      <c r="A201" s="307">
        <v>43282</v>
      </c>
      <c r="B201" s="138">
        <f>'Purchased Power Model'!E273</f>
        <v>131245103.95452003</v>
      </c>
      <c r="C201" s="138">
        <f>'Purchased Power Model'!O273</f>
        <v>130425858.83912265</v>
      </c>
      <c r="D201" s="270">
        <f t="shared" si="6"/>
        <v>819245.1153973788</v>
      </c>
      <c r="E201" s="270">
        <f t="shared" si="7"/>
        <v>-3666609.385090828</v>
      </c>
    </row>
    <row r="202" spans="1:5" ht="12.75">
      <c r="A202" s="307">
        <v>43313</v>
      </c>
      <c r="B202" s="138">
        <f>'Purchased Power Model'!E274</f>
        <v>128280410.38613768</v>
      </c>
      <c r="C202" s="138">
        <f>'Purchased Power Model'!O274</f>
        <v>130453942.76792982</v>
      </c>
      <c r="D202" s="270">
        <f t="shared" si="6"/>
        <v>-2173532.381792143</v>
      </c>
      <c r="E202" s="270">
        <f t="shared" si="7"/>
        <v>-2992777.497189522</v>
      </c>
    </row>
    <row r="203" spans="1:5" ht="12.75">
      <c r="A203" s="307">
        <v>43344</v>
      </c>
      <c r="B203" s="138">
        <f>'Purchased Power Model'!E275</f>
        <v>108752473.71093413</v>
      </c>
      <c r="C203" s="138">
        <f>'Purchased Power Model'!O275</f>
        <v>102138623.4350182</v>
      </c>
      <c r="D203" s="270">
        <f t="shared" si="6"/>
        <v>6613850.275915936</v>
      </c>
      <c r="E203" s="270">
        <f t="shared" si="7"/>
        <v>8787382.657708079</v>
      </c>
    </row>
    <row r="204" spans="1:5" ht="12.75">
      <c r="A204" s="307">
        <v>43374</v>
      </c>
      <c r="B204" s="138">
        <f>'Purchased Power Model'!E276</f>
        <v>93872619.63675693</v>
      </c>
      <c r="C204" s="138">
        <f>'Purchased Power Model'!O276</f>
        <v>95307109.24747424</v>
      </c>
      <c r="D204" s="270">
        <f t="shared" si="6"/>
        <v>-1434489.6107173115</v>
      </c>
      <c r="E204" s="270">
        <f t="shared" si="7"/>
        <v>-8048339.886633247</v>
      </c>
    </row>
    <row r="205" spans="1:5" ht="12.75">
      <c r="A205" s="307">
        <v>43405</v>
      </c>
      <c r="B205" s="138">
        <f>'Purchased Power Model'!E277</f>
        <v>99170417.86876132</v>
      </c>
      <c r="C205" s="138">
        <f>'Purchased Power Model'!O277</f>
        <v>96346039.94040574</v>
      </c>
      <c r="D205" s="270">
        <f t="shared" si="6"/>
        <v>2824377.9283555746</v>
      </c>
      <c r="E205" s="270">
        <f t="shared" si="7"/>
        <v>4258867.539072886</v>
      </c>
    </row>
    <row r="206" spans="1:5" ht="12.75">
      <c r="A206" s="307">
        <v>43435</v>
      </c>
      <c r="B206" s="138">
        <f>'Purchased Power Model'!E278</f>
        <v>105259128.67145047</v>
      </c>
      <c r="C206" s="138">
        <f>'Purchased Power Model'!O278</f>
        <v>105648672.38795403</v>
      </c>
      <c r="D206" s="270">
        <f t="shared" si="6"/>
        <v>-389543.71650356054</v>
      </c>
      <c r="E206" s="270">
        <f t="shared" si="7"/>
        <v>-3213921.644859135</v>
      </c>
    </row>
    <row r="207" spans="1:5" ht="12.75">
      <c r="A207" s="307">
        <v>43466</v>
      </c>
      <c r="B207" s="138">
        <f>'Purchased Power Model'!E279</f>
        <v>111454816.69988883</v>
      </c>
      <c r="C207" s="138">
        <f>'Purchased Power Model'!O279</f>
        <v>109823678.85901794</v>
      </c>
      <c r="D207" s="270">
        <f t="shared" si="6"/>
        <v>1631137.840870887</v>
      </c>
      <c r="E207" s="270">
        <f t="shared" si="7"/>
        <v>2020681.5573744476</v>
      </c>
    </row>
    <row r="208" spans="1:5" ht="12.75">
      <c r="A208" s="307">
        <v>43497</v>
      </c>
      <c r="B208" s="138">
        <f>'Purchased Power Model'!E280</f>
        <v>100941796.49383058</v>
      </c>
      <c r="C208" s="138">
        <f>'Purchased Power Model'!O280</f>
        <v>99107883.73216462</v>
      </c>
      <c r="D208" s="270">
        <f t="shared" si="6"/>
        <v>1833912.7616659552</v>
      </c>
      <c r="E208" s="270">
        <f t="shared" si="7"/>
        <v>202774.92079506814</v>
      </c>
    </row>
    <row r="209" spans="1:5" ht="12.75">
      <c r="A209" s="307">
        <v>43525</v>
      </c>
      <c r="B209" s="138">
        <f>'Purchased Power Model'!E281</f>
        <v>104086121.33867134</v>
      </c>
      <c r="C209" s="138">
        <f>'Purchased Power Model'!O281</f>
        <v>102180688.1903674</v>
      </c>
      <c r="D209" s="270">
        <f t="shared" si="6"/>
        <v>1905433.148303941</v>
      </c>
      <c r="E209" s="270">
        <f t="shared" si="7"/>
        <v>71520.3866379857</v>
      </c>
    </row>
    <row r="210" spans="1:5" ht="12.75">
      <c r="A210" s="307">
        <v>43556</v>
      </c>
      <c r="B210" s="138">
        <f>'Purchased Power Model'!E282</f>
        <v>93027517.46338749</v>
      </c>
      <c r="C210" s="138">
        <f>'Purchased Power Model'!O282</f>
        <v>94995029.60119386</v>
      </c>
      <c r="D210" s="270">
        <f t="shared" si="6"/>
        <v>-1967512.1378063709</v>
      </c>
      <c r="E210" s="270">
        <f t="shared" si="7"/>
        <v>-3872945.2861103117</v>
      </c>
    </row>
    <row r="211" spans="1:5" ht="12.75">
      <c r="A211" s="307">
        <v>43586</v>
      </c>
      <c r="B211" s="138">
        <f>'Purchased Power Model'!E283</f>
        <v>93344007.00954002</v>
      </c>
      <c r="C211" s="138">
        <f>'Purchased Power Model'!O283</f>
        <v>94936628.6600884</v>
      </c>
      <c r="D211" s="270">
        <f t="shared" si="6"/>
        <v>-1592621.6505483836</v>
      </c>
      <c r="E211" s="270">
        <f t="shared" si="7"/>
        <v>374890.48725798726</v>
      </c>
    </row>
    <row r="212" spans="1:5" ht="12.75">
      <c r="A212" s="307">
        <v>43617</v>
      </c>
      <c r="B212" s="138">
        <f>'Purchased Power Model'!E284</f>
        <v>100018714.58841486</v>
      </c>
      <c r="C212" s="138">
        <f>'Purchased Power Model'!O284</f>
        <v>99484746.34164551</v>
      </c>
      <c r="D212" s="270">
        <f t="shared" si="6"/>
        <v>533968.2467693537</v>
      </c>
      <c r="E212" s="270">
        <f t="shared" si="7"/>
        <v>2126589.8973177373</v>
      </c>
    </row>
    <row r="213" spans="1:5" ht="12.75">
      <c r="A213" s="307">
        <v>43647</v>
      </c>
      <c r="B213" s="138">
        <f>'Purchased Power Model'!E285</f>
        <v>131219500.36546057</v>
      </c>
      <c r="C213" s="138">
        <f>'Purchased Power Model'!O285</f>
        <v>126420186.48837842</v>
      </c>
      <c r="D213" s="270">
        <f t="shared" si="6"/>
        <v>4799313.877082154</v>
      </c>
      <c r="E213" s="270">
        <f t="shared" si="7"/>
        <v>4265345.6303128</v>
      </c>
    </row>
    <row r="214" spans="1:5" ht="12.75">
      <c r="A214" s="307">
        <v>43678</v>
      </c>
      <c r="B214" s="138">
        <f>'Purchased Power Model'!E286</f>
        <v>120525610.475917</v>
      </c>
      <c r="C214" s="138">
        <f>'Purchased Power Model'!O286</f>
        <v>117795424.55708107</v>
      </c>
      <c r="D214" s="270">
        <f t="shared" si="6"/>
        <v>2730185.918835923</v>
      </c>
      <c r="E214" s="270">
        <f t="shared" si="7"/>
        <v>-2069127.958246231</v>
      </c>
    </row>
    <row r="215" spans="1:5" ht="12.75">
      <c r="A215" s="307">
        <v>43709</v>
      </c>
      <c r="B215" s="138">
        <f>'Purchased Power Model'!E287</f>
        <v>100133229.9538758</v>
      </c>
      <c r="C215" s="138">
        <f>'Purchased Power Model'!O287</f>
        <v>97432835.55381058</v>
      </c>
      <c r="D215" s="270">
        <f t="shared" si="6"/>
        <v>2700394.4000652134</v>
      </c>
      <c r="E215" s="270">
        <f t="shared" si="7"/>
        <v>-29791.518770709634</v>
      </c>
    </row>
    <row r="216" spans="1:5" ht="12.75">
      <c r="A216" s="307">
        <v>43739</v>
      </c>
      <c r="B216" s="138">
        <f>'Purchased Power Model'!E288</f>
        <v>92784004.77091935</v>
      </c>
      <c r="C216" s="138">
        <f>'Purchased Power Model'!O288</f>
        <v>94924904.18267182</v>
      </c>
      <c r="D216" s="270">
        <f t="shared" si="6"/>
        <v>-2140899.4117524624</v>
      </c>
      <c r="E216" s="270">
        <f t="shared" si="7"/>
        <v>-4841293.811817676</v>
      </c>
    </row>
    <row r="217" spans="1:5" ht="12.75">
      <c r="A217" s="307">
        <v>43770</v>
      </c>
      <c r="B217" s="138">
        <f>'Purchased Power Model'!E289</f>
        <v>98961961.25794603</v>
      </c>
      <c r="C217" s="138">
        <f>'Purchased Power Model'!O289</f>
        <v>98561429.43546195</v>
      </c>
      <c r="D217" s="270">
        <f t="shared" si="6"/>
        <v>400531.822484076</v>
      </c>
      <c r="E217" s="270">
        <f t="shared" si="7"/>
        <v>2541431.2342365384</v>
      </c>
    </row>
    <row r="218" spans="1:5" ht="12.75">
      <c r="A218" s="307">
        <v>43800</v>
      </c>
      <c r="B218" s="138">
        <f>'Purchased Power Model'!E290</f>
        <v>105869457.25190988</v>
      </c>
      <c r="C218" s="138">
        <f>'Purchased Power Model'!O290</f>
        <v>108170991.8455033</v>
      </c>
      <c r="D218" s="270">
        <f t="shared" si="6"/>
        <v>-2301534.5935934186</v>
      </c>
      <c r="E218" s="270">
        <f t="shared" si="7"/>
        <v>-2702066.4160774946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25">
      <selection activeCell="R20" sqref="R20"/>
    </sheetView>
  </sheetViews>
  <sheetFormatPr defaultColWidth="9.140625" defaultRowHeight="12.75"/>
  <sheetData/>
  <sheetProtection/>
  <printOptions/>
  <pageMargins left="0.29" right="0.38" top="0.75" bottom="0.75" header="0.3" footer="0.3"/>
  <pageSetup fitToHeight="1" fitToWidth="1" orientation="portrait" scale="6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J19">
      <selection activeCell="Z31" sqref="Z31"/>
    </sheetView>
  </sheetViews>
  <sheetFormatPr defaultColWidth="9.140625" defaultRowHeight="12.75"/>
  <sheetData/>
  <sheetProtection/>
  <printOptions/>
  <pageMargins left="0.2" right="0.31" top="0.75" bottom="0.51" header="0.3" footer="0.3"/>
  <pageSetup fitToHeight="1" fitToWidth="1" orientation="landscape" scale="62" r:id="rId2"/>
  <drawing r:id="rId1"/>
</worksheet>
</file>

<file path=xl/worksheets/sheet19.xml><?xml version="1.0" encoding="utf-8"?>
<worksheet xmlns="http://schemas.openxmlformats.org/spreadsheetml/2006/main" xmlns:r="http://schemas.openxmlformats.org/officeDocument/2006/relationships">
  <dimension ref="B3:O56"/>
  <sheetViews>
    <sheetView zoomScalePageLayoutView="0" workbookViewId="0" topLeftCell="A49">
      <selection activeCell="H40" sqref="H40:J40"/>
    </sheetView>
  </sheetViews>
  <sheetFormatPr defaultColWidth="9.140625" defaultRowHeight="12.75"/>
  <cols>
    <col min="2" max="2" width="30.7109375" style="0" customWidth="1"/>
    <col min="3" max="3" width="15.00390625" style="0" bestFit="1" customWidth="1"/>
    <col min="4" max="4" width="14.57421875" style="0" customWidth="1"/>
    <col min="5" max="5" width="16.421875" style="0" customWidth="1"/>
    <col min="6" max="6" width="15.28125" style="0" customWidth="1"/>
    <col min="7" max="7" width="36.28125" style="0" customWidth="1"/>
    <col min="8" max="8" width="11.140625" style="0" bestFit="1" customWidth="1"/>
    <col min="9" max="9" width="12.8515625" style="0" bestFit="1" customWidth="1"/>
    <col min="10" max="10" width="10.28125" style="0" bestFit="1" customWidth="1"/>
    <col min="11" max="11" width="23.8515625" style="0" customWidth="1"/>
    <col min="12" max="12" width="15.00390625" style="0" bestFit="1" customWidth="1"/>
    <col min="14" max="14" width="25.57421875" style="0" bestFit="1" customWidth="1"/>
    <col min="15" max="15" width="22.57421875" style="0" customWidth="1"/>
  </cols>
  <sheetData>
    <row r="3" spans="2:9" ht="12.75">
      <c r="B3" s="19" t="s">
        <v>296</v>
      </c>
      <c r="H3" s="327"/>
      <c r="I3" s="327"/>
    </row>
    <row r="4" spans="2:9" s="131" customFormat="1" ht="12.75">
      <c r="B4" s="284" t="s">
        <v>290</v>
      </c>
      <c r="C4" s="282" t="s">
        <v>291</v>
      </c>
      <c r="D4" s="282" t="s">
        <v>292</v>
      </c>
      <c r="E4" s="282" t="s">
        <v>293</v>
      </c>
      <c r="F4" s="284" t="s">
        <v>11</v>
      </c>
      <c r="H4" s="43" t="s">
        <v>294</v>
      </c>
      <c r="I4" s="43" t="s">
        <v>295</v>
      </c>
    </row>
    <row r="5" spans="2:15" ht="12.75">
      <c r="B5" s="285" t="s">
        <v>67</v>
      </c>
      <c r="C5" s="281"/>
      <c r="D5" s="281">
        <v>433712793.2120329</v>
      </c>
      <c r="E5" s="281">
        <v>16229967.295185186</v>
      </c>
      <c r="F5" s="286">
        <f>SUM(C5:E5)</f>
        <v>449942760.5072181</v>
      </c>
      <c r="H5" s="288">
        <f aca="true" t="shared" si="0" ref="H5:H10">D5/(D5+E5)</f>
        <v>0.963928817796981</v>
      </c>
      <c r="I5" s="288">
        <f aca="true" t="shared" si="1" ref="I5:I10">1-H5</f>
        <v>0.03607118220301897</v>
      </c>
      <c r="K5" s="199" t="s">
        <v>303</v>
      </c>
      <c r="L5" s="255">
        <v>11085748.560000002</v>
      </c>
      <c r="N5" s="199" t="s">
        <v>308</v>
      </c>
      <c r="O5" s="255">
        <v>46838.65</v>
      </c>
    </row>
    <row r="6" spans="2:15" ht="12.75">
      <c r="B6" s="285" t="s">
        <v>285</v>
      </c>
      <c r="C6" s="281"/>
      <c r="D6" s="281">
        <v>107287501.81544572</v>
      </c>
      <c r="E6" s="281">
        <v>23252665.97481482</v>
      </c>
      <c r="F6" s="286">
        <f aca="true" t="shared" si="2" ref="F6:F11">SUM(C6:E6)</f>
        <v>130540167.79026054</v>
      </c>
      <c r="H6" s="288">
        <f t="shared" si="0"/>
        <v>0.8218734787274444</v>
      </c>
      <c r="I6" s="288">
        <f t="shared" si="1"/>
        <v>0.17812652127255557</v>
      </c>
      <c r="K6" s="199" t="s">
        <v>304</v>
      </c>
      <c r="L6" s="255">
        <f>C7*1.0479</f>
        <v>162074516.99275202</v>
      </c>
      <c r="N6" s="199" t="s">
        <v>304</v>
      </c>
      <c r="O6" s="255">
        <f>L6</f>
        <v>162074516.99275202</v>
      </c>
    </row>
    <row r="7" spans="2:15" ht="12.75">
      <c r="B7" s="285" t="s">
        <v>286</v>
      </c>
      <c r="C7" s="281">
        <v>154666014.88</v>
      </c>
      <c r="D7" s="281">
        <v>26842526.342266977</v>
      </c>
      <c r="E7" s="281">
        <v>452318403.291852</v>
      </c>
      <c r="F7" s="286">
        <f t="shared" si="2"/>
        <v>633826944.5141189</v>
      </c>
      <c r="H7" s="288">
        <f t="shared" si="0"/>
        <v>0.05601985613218419</v>
      </c>
      <c r="I7" s="288">
        <f t="shared" si="1"/>
        <v>0.9439801438678158</v>
      </c>
      <c r="K7" s="199" t="s">
        <v>305</v>
      </c>
      <c r="L7" s="294">
        <f>L5/L6</f>
        <v>0.06839908435757212</v>
      </c>
      <c r="N7" s="199" t="s">
        <v>309</v>
      </c>
      <c r="O7" s="294">
        <f>O5/O6</f>
        <v>0.00028899453701345675</v>
      </c>
    </row>
    <row r="8" spans="2:9" ht="12.75">
      <c r="B8" s="285" t="s">
        <v>287</v>
      </c>
      <c r="C8" s="281"/>
      <c r="D8" s="281">
        <v>1530549.9800000002</v>
      </c>
      <c r="E8" s="281">
        <v>0</v>
      </c>
      <c r="F8" s="286">
        <f t="shared" si="2"/>
        <v>1530549.9800000002</v>
      </c>
      <c r="H8" s="288">
        <f t="shared" si="0"/>
        <v>1</v>
      </c>
      <c r="I8" s="288">
        <f t="shared" si="1"/>
        <v>0</v>
      </c>
    </row>
    <row r="9" spans="2:9" ht="12.75">
      <c r="B9" s="285" t="s">
        <v>288</v>
      </c>
      <c r="C9" s="281"/>
      <c r="D9" s="281">
        <v>220523.94701298705</v>
      </c>
      <c r="E9" s="281">
        <v>0</v>
      </c>
      <c r="F9" s="286">
        <f t="shared" si="2"/>
        <v>220523.94701298705</v>
      </c>
      <c r="H9" s="288">
        <f t="shared" si="0"/>
        <v>1</v>
      </c>
      <c r="I9" s="288">
        <f t="shared" si="1"/>
        <v>0</v>
      </c>
    </row>
    <row r="10" spans="2:9" ht="12.75">
      <c r="B10" s="285" t="s">
        <v>289</v>
      </c>
      <c r="C10" s="281"/>
      <c r="D10" s="281">
        <v>0</v>
      </c>
      <c r="E10" s="281">
        <v>4494761.78962963</v>
      </c>
      <c r="F10" s="286">
        <f t="shared" si="2"/>
        <v>4494761.78962963</v>
      </c>
      <c r="H10" s="288">
        <f t="shared" si="0"/>
        <v>0</v>
      </c>
      <c r="I10" s="288">
        <f t="shared" si="1"/>
        <v>1</v>
      </c>
    </row>
    <row r="11" spans="2:6" ht="12.75">
      <c r="B11" s="164" t="s">
        <v>11</v>
      </c>
      <c r="C11" s="283">
        <f>SUM(C5:C10)</f>
        <v>154666014.88</v>
      </c>
      <c r="D11" s="283">
        <f>SUM(D5:D10)</f>
        <v>569593895.2967588</v>
      </c>
      <c r="E11" s="283">
        <f>SUM(E5:E10)</f>
        <v>496295798.3514816</v>
      </c>
      <c r="F11" s="287">
        <f t="shared" si="2"/>
        <v>1220555708.5282404</v>
      </c>
    </row>
    <row r="14" spans="2:10" ht="12.75">
      <c r="B14" s="19" t="s">
        <v>297</v>
      </c>
      <c r="H14" s="341" t="s">
        <v>155</v>
      </c>
      <c r="I14" s="341"/>
      <c r="J14" s="341"/>
    </row>
    <row r="15" spans="2:10" ht="12.75">
      <c r="B15" s="284" t="s">
        <v>290</v>
      </c>
      <c r="C15" s="282" t="s">
        <v>291</v>
      </c>
      <c r="D15" s="282" t="s">
        <v>292</v>
      </c>
      <c r="E15" s="282" t="s">
        <v>293</v>
      </c>
      <c r="F15" s="284" t="s">
        <v>11</v>
      </c>
      <c r="H15" s="295" t="s">
        <v>307</v>
      </c>
      <c r="I15" s="295" t="s">
        <v>306</v>
      </c>
      <c r="J15" s="295" t="s">
        <v>11</v>
      </c>
    </row>
    <row r="16" spans="2:9" ht="12.75">
      <c r="B16" s="285" t="s">
        <v>67</v>
      </c>
      <c r="C16" s="281"/>
      <c r="D16" s="281">
        <f>Summary!T20*H5</f>
        <v>426306008.9918132</v>
      </c>
      <c r="E16" s="281">
        <f>Summary!T20*I5</f>
        <v>15952798.008186802</v>
      </c>
      <c r="F16" s="286">
        <f>SUM(C16:E16)</f>
        <v>442258807</v>
      </c>
      <c r="H16" s="138"/>
      <c r="I16" s="138"/>
    </row>
    <row r="17" spans="2:9" ht="12.75">
      <c r="B17" s="285" t="s">
        <v>285</v>
      </c>
      <c r="C17" s="281"/>
      <c r="D17" s="281">
        <f>Summary!T24*H6</f>
        <v>105735038.87390544</v>
      </c>
      <c r="E17" s="281">
        <f>Summary!T24*I6</f>
        <v>22916197.12609457</v>
      </c>
      <c r="F17" s="286">
        <f aca="true" t="shared" si="3" ref="F17:F22">SUM(C17:E17)</f>
        <v>128651236</v>
      </c>
      <c r="H17" s="138"/>
      <c r="I17" s="138"/>
    </row>
    <row r="18" spans="2:10" ht="12.75">
      <c r="B18" s="285" t="s">
        <v>286</v>
      </c>
      <c r="C18" s="281">
        <v>213939483.54999998</v>
      </c>
      <c r="D18" s="281">
        <f>(Summary!T28-C18)*H7</f>
        <v>25238922.60163967</v>
      </c>
      <c r="E18" s="281">
        <f>(Summary!T28-C18)*I7</f>
        <v>425296375.84836036</v>
      </c>
      <c r="F18" s="286">
        <f t="shared" si="3"/>
        <v>664474782</v>
      </c>
      <c r="H18" s="138">
        <f>Summary!T29*D18/SUM(C18:E18)</f>
        <v>64552.40764312302</v>
      </c>
      <c r="I18" s="138">
        <f>Summary!T29*(C18+E18)/SUM(C18:E18)</f>
        <v>1634943.5523568771</v>
      </c>
      <c r="J18" s="270">
        <f>SUM(H18:I18)</f>
        <v>1699495.9600000002</v>
      </c>
    </row>
    <row r="19" spans="2:9" ht="12.75">
      <c r="B19" s="285" t="s">
        <v>287</v>
      </c>
      <c r="C19" s="281"/>
      <c r="D19" s="281">
        <f>Summary!T48</f>
        <v>1522535.666813397</v>
      </c>
      <c r="E19" s="281"/>
      <c r="F19" s="286">
        <f t="shared" si="3"/>
        <v>1522535.666813397</v>
      </c>
      <c r="H19" s="138"/>
      <c r="I19" s="138"/>
    </row>
    <row r="20" spans="2:10" ht="12.75">
      <c r="B20" s="285" t="s">
        <v>288</v>
      </c>
      <c r="C20" s="281"/>
      <c r="D20" s="281">
        <f>Summary!T38</f>
        <v>218399.86473544672</v>
      </c>
      <c r="E20" s="281"/>
      <c r="F20" s="286">
        <f t="shared" si="3"/>
        <v>218399.86473544672</v>
      </c>
      <c r="H20" s="138">
        <f>Summary!T39</f>
        <v>652.3765399724094</v>
      </c>
      <c r="I20" s="138">
        <v>0</v>
      </c>
      <c r="J20" s="270">
        <f>SUM(H20:I20)</f>
        <v>652.3765399724094</v>
      </c>
    </row>
    <row r="21" spans="2:10" ht="12.75">
      <c r="B21" s="285" t="s">
        <v>289</v>
      </c>
      <c r="C21" s="281"/>
      <c r="D21" s="281"/>
      <c r="E21" s="281">
        <f>Summary!T43</f>
        <v>4423984.505328791</v>
      </c>
      <c r="F21" s="286">
        <f t="shared" si="3"/>
        <v>4423984.505328791</v>
      </c>
      <c r="H21" s="138">
        <v>0</v>
      </c>
      <c r="I21" s="138">
        <f>Summary!T44</f>
        <v>12417.895849764438</v>
      </c>
      <c r="J21" s="270">
        <f>SUM(H21:I21)</f>
        <v>12417.895849764438</v>
      </c>
    </row>
    <row r="22" spans="2:10" ht="12.75">
      <c r="B22" s="164" t="s">
        <v>11</v>
      </c>
      <c r="C22" s="283">
        <f>SUM(C16:C21)</f>
        <v>213939483.54999998</v>
      </c>
      <c r="D22" s="283">
        <f>SUM(D16:D21)</f>
        <v>559020905.9989071</v>
      </c>
      <c r="E22" s="283">
        <f>SUM(E16:E21)</f>
        <v>468589355.4879705</v>
      </c>
      <c r="F22" s="287">
        <f t="shared" si="3"/>
        <v>1241549745.0368776</v>
      </c>
      <c r="G22" s="48">
        <f>Summary!T33</f>
        <v>0</v>
      </c>
      <c r="I22" s="48">
        <f>G22</f>
        <v>0</v>
      </c>
      <c r="J22" s="270">
        <f>SUM(H22:I22)</f>
        <v>0</v>
      </c>
    </row>
    <row r="24" spans="2:3" ht="12.75">
      <c r="B24" s="19" t="s">
        <v>298</v>
      </c>
      <c r="C24" s="19">
        <v>1.0479</v>
      </c>
    </row>
    <row r="25" ht="12.75">
      <c r="B25" s="19" t="s">
        <v>299</v>
      </c>
    </row>
    <row r="26" spans="2:6" ht="12.75">
      <c r="B26" s="284" t="s">
        <v>290</v>
      </c>
      <c r="C26" s="282" t="s">
        <v>291</v>
      </c>
      <c r="D26" s="282" t="s">
        <v>292</v>
      </c>
      <c r="E26" s="282" t="s">
        <v>293</v>
      </c>
      <c r="F26" s="284" t="s">
        <v>11</v>
      </c>
    </row>
    <row r="27" spans="2:6" ht="12.75">
      <c r="B27" s="285" t="s">
        <v>67</v>
      </c>
      <c r="C27" s="281"/>
      <c r="D27" s="289">
        <f aca="true" t="shared" si="4" ref="D27:E32">D16*$C$24</f>
        <v>446726066.82252103</v>
      </c>
      <c r="E27" s="289">
        <f t="shared" si="4"/>
        <v>16716937.03277895</v>
      </c>
      <c r="F27" s="286">
        <f>SUM(C27:E27)</f>
        <v>463443003.8553</v>
      </c>
    </row>
    <row r="28" spans="2:6" ht="12.75">
      <c r="B28" s="285" t="s">
        <v>285</v>
      </c>
      <c r="C28" s="281"/>
      <c r="D28" s="281">
        <f t="shared" si="4"/>
        <v>110799747.2359655</v>
      </c>
      <c r="E28" s="281">
        <f t="shared" si="4"/>
        <v>24013882.9684345</v>
      </c>
      <c r="F28" s="286">
        <f aca="true" t="shared" si="5" ref="F28:F33">SUM(C28:E28)</f>
        <v>134813630.2044</v>
      </c>
    </row>
    <row r="29" spans="2:9" ht="12.75">
      <c r="B29" s="285" t="s">
        <v>286</v>
      </c>
      <c r="C29" s="281">
        <f>C18*$C$24</f>
        <v>224187184.81204498</v>
      </c>
      <c r="D29" s="281">
        <f t="shared" si="4"/>
        <v>26447866.99425821</v>
      </c>
      <c r="E29" s="281">
        <f t="shared" si="4"/>
        <v>445668072.25149685</v>
      </c>
      <c r="F29" s="286">
        <f t="shared" si="5"/>
        <v>696303124.0578</v>
      </c>
      <c r="H29" s="138"/>
      <c r="I29" s="138"/>
    </row>
    <row r="30" spans="2:9" ht="12.75">
      <c r="B30" s="285" t="s">
        <v>287</v>
      </c>
      <c r="C30" s="281"/>
      <c r="D30" s="281">
        <f t="shared" si="4"/>
        <v>1595465.1252537589</v>
      </c>
      <c r="E30" s="281">
        <f t="shared" si="4"/>
        <v>0</v>
      </c>
      <c r="F30" s="286">
        <f t="shared" si="5"/>
        <v>1595465.1252537589</v>
      </c>
      <c r="H30" s="138"/>
      <c r="I30" s="138"/>
    </row>
    <row r="31" spans="2:9" ht="12.75">
      <c r="B31" s="285" t="s">
        <v>288</v>
      </c>
      <c r="C31" s="281"/>
      <c r="D31" s="281">
        <f t="shared" si="4"/>
        <v>228861.21825627465</v>
      </c>
      <c r="E31" s="281">
        <f t="shared" si="4"/>
        <v>0</v>
      </c>
      <c r="F31" s="286">
        <f t="shared" si="5"/>
        <v>228861.21825627465</v>
      </c>
      <c r="H31" s="138"/>
      <c r="I31" s="138"/>
    </row>
    <row r="32" spans="2:9" ht="12.75">
      <c r="B32" s="285" t="s">
        <v>289</v>
      </c>
      <c r="C32" s="281"/>
      <c r="D32" s="281">
        <f t="shared" si="4"/>
        <v>0</v>
      </c>
      <c r="E32" s="281">
        <f t="shared" si="4"/>
        <v>4635893.3631340405</v>
      </c>
      <c r="F32" s="286">
        <f t="shared" si="5"/>
        <v>4635893.3631340405</v>
      </c>
      <c r="H32" s="138"/>
      <c r="I32" s="138"/>
    </row>
    <row r="33" spans="2:7" ht="12.75">
      <c r="B33" s="164" t="s">
        <v>11</v>
      </c>
      <c r="C33" s="283">
        <f>SUM(C27:C32)</f>
        <v>224187184.81204498</v>
      </c>
      <c r="D33" s="283">
        <f>SUM(D27:D32)</f>
        <v>585798007.3962548</v>
      </c>
      <c r="E33" s="283">
        <f>SUM(E27:E32)</f>
        <v>491034785.6158443</v>
      </c>
      <c r="F33" s="287">
        <f t="shared" si="5"/>
        <v>1301019977.8241441</v>
      </c>
      <c r="G33">
        <f>G22*C24</f>
        <v>0</v>
      </c>
    </row>
    <row r="36" spans="2:10" ht="12.75">
      <c r="B36" s="19" t="s">
        <v>301</v>
      </c>
      <c r="H36" s="341" t="s">
        <v>155</v>
      </c>
      <c r="I36" s="341"/>
      <c r="J36" s="341"/>
    </row>
    <row r="37" spans="2:10" ht="12.75">
      <c r="B37" s="284" t="s">
        <v>290</v>
      </c>
      <c r="C37" s="282" t="s">
        <v>291</v>
      </c>
      <c r="D37" s="282" t="s">
        <v>292</v>
      </c>
      <c r="E37" s="282" t="s">
        <v>293</v>
      </c>
      <c r="F37" s="284" t="s">
        <v>11</v>
      </c>
      <c r="H37" s="295" t="s">
        <v>307</v>
      </c>
      <c r="I37" s="295" t="s">
        <v>306</v>
      </c>
      <c r="J37" s="295" t="s">
        <v>11</v>
      </c>
    </row>
    <row r="38" spans="2:9" ht="12.75">
      <c r="B38" s="285" t="s">
        <v>67</v>
      </c>
      <c r="C38" s="281"/>
      <c r="D38" s="281">
        <f>Summary!U20*H5</f>
        <v>437314768.1919459</v>
      </c>
      <c r="E38" s="281">
        <f>Summary!U20*I5</f>
        <v>16364756.8080541</v>
      </c>
      <c r="F38" s="286">
        <f>SUM(C38:E38)</f>
        <v>453679525</v>
      </c>
      <c r="H38" s="138"/>
      <c r="I38" s="138"/>
    </row>
    <row r="39" spans="2:9" ht="12.75">
      <c r="B39" s="285" t="s">
        <v>285</v>
      </c>
      <c r="C39" s="281"/>
      <c r="D39" s="281">
        <f>Summary!U24*H6</f>
        <v>108232894.00979693</v>
      </c>
      <c r="E39" s="281">
        <f>Summary!U24*I6</f>
        <v>23457562.990203064</v>
      </c>
      <c r="F39" s="286">
        <f aca="true" t="shared" si="6" ref="F39:F44">SUM(C39:E39)</f>
        <v>131690457</v>
      </c>
      <c r="H39" s="138"/>
      <c r="I39" s="138"/>
    </row>
    <row r="40" spans="2:10" ht="12.75">
      <c r="B40" s="285" t="s">
        <v>286</v>
      </c>
      <c r="C40" s="281">
        <f>C18</f>
        <v>213939483.54999998</v>
      </c>
      <c r="D40" s="281">
        <f>(Summary!U28-C40)*H7</f>
        <v>26666392.81327968</v>
      </c>
      <c r="E40" s="281">
        <f>(Summary!U28-C40)*I7</f>
        <v>449350410.0567203</v>
      </c>
      <c r="F40" s="286">
        <f t="shared" si="6"/>
        <v>689956286.42</v>
      </c>
      <c r="H40" s="138">
        <f>Summary!U29*D40/SUM(C40:E40)</f>
        <v>68217.95326155293</v>
      </c>
      <c r="I40" s="138">
        <f>Summary!U29*(C40+E40)/SUM(C40:E40)</f>
        <v>1696827.886612033</v>
      </c>
      <c r="J40" s="270">
        <f>SUM(H40:I40)</f>
        <v>1765045.8398735859</v>
      </c>
    </row>
    <row r="41" spans="2:9" ht="12.75">
      <c r="B41" s="285" t="s">
        <v>287</v>
      </c>
      <c r="C41" s="281"/>
      <c r="D41" s="281">
        <f>Summary!U48</f>
        <v>1481613.5613358333</v>
      </c>
      <c r="E41" s="281"/>
      <c r="F41" s="286">
        <f t="shared" si="6"/>
        <v>1481613.5613358333</v>
      </c>
      <c r="H41" s="138"/>
      <c r="I41" s="138"/>
    </row>
    <row r="42" spans="2:10" ht="12.75">
      <c r="B42" s="285" t="s">
        <v>288</v>
      </c>
      <c r="C42" s="281"/>
      <c r="D42" s="281">
        <f>Summary!U38</f>
        <v>218613.49388199602</v>
      </c>
      <c r="E42" s="281"/>
      <c r="F42" s="286">
        <f t="shared" si="6"/>
        <v>218613.49388199602</v>
      </c>
      <c r="H42" s="138">
        <f>Summary!U39</f>
        <v>653.0146660245107</v>
      </c>
      <c r="I42" s="138">
        <v>0</v>
      </c>
      <c r="J42" s="270">
        <f>SUM(H42:I42)</f>
        <v>653.0146660245107</v>
      </c>
    </row>
    <row r="43" spans="2:10" ht="12.75">
      <c r="B43" s="285" t="s">
        <v>289</v>
      </c>
      <c r="C43" s="281"/>
      <c r="D43" s="281"/>
      <c r="E43" s="281">
        <f>Summary!U43</f>
        <v>4469100.636382417</v>
      </c>
      <c r="F43" s="286">
        <f t="shared" si="6"/>
        <v>4469100.636382417</v>
      </c>
      <c r="G43" s="199" t="s">
        <v>320</v>
      </c>
      <c r="H43" s="138">
        <v>0</v>
      </c>
      <c r="I43" s="138">
        <f>Summary!U44</f>
        <v>12544.534497773584</v>
      </c>
      <c r="J43" s="270">
        <f>SUM(H43:I43)</f>
        <v>12544.534497773584</v>
      </c>
    </row>
    <row r="44" spans="2:10" ht="12.75">
      <c r="B44" s="164" t="s">
        <v>11</v>
      </c>
      <c r="C44" s="283">
        <f>SUM(C38:C43)</f>
        <v>213939483.54999998</v>
      </c>
      <c r="D44" s="283">
        <f>SUM(D38:D43)</f>
        <v>573914282.0702403</v>
      </c>
      <c r="E44" s="283">
        <f>SUM(E38:E43)</f>
        <v>493641830.4913599</v>
      </c>
      <c r="F44" s="287">
        <f t="shared" si="6"/>
        <v>1281495596.1116002</v>
      </c>
      <c r="G44" s="48">
        <f>Summary!U33</f>
        <v>2808332.58</v>
      </c>
      <c r="I44" s="48">
        <f>G44</f>
        <v>2808332.58</v>
      </c>
      <c r="J44" s="270">
        <f>SUM(H44:I44)</f>
        <v>2808332.58</v>
      </c>
    </row>
    <row r="45" spans="6:7" ht="12.75">
      <c r="F45" s="199" t="s">
        <v>11</v>
      </c>
      <c r="G45" s="270">
        <f>F44+G44</f>
        <v>1284303928.6916</v>
      </c>
    </row>
    <row r="46" spans="2:3" ht="12.75">
      <c r="B46" s="19" t="s">
        <v>300</v>
      </c>
      <c r="C46" s="290">
        <v>1.042257322576859</v>
      </c>
    </row>
    <row r="47" ht="12.75">
      <c r="B47" s="19" t="s">
        <v>302</v>
      </c>
    </row>
    <row r="48" spans="2:6" ht="12.75">
      <c r="B48" s="284" t="s">
        <v>290</v>
      </c>
      <c r="C48" s="282" t="s">
        <v>291</v>
      </c>
      <c r="D48" s="282" t="s">
        <v>292</v>
      </c>
      <c r="E48" s="282" t="s">
        <v>293</v>
      </c>
      <c r="F48" s="284" t="s">
        <v>11</v>
      </c>
    </row>
    <row r="49" spans="2:6" ht="12.75">
      <c r="B49" s="285" t="s">
        <v>67</v>
      </c>
      <c r="C49" s="281"/>
      <c r="D49" s="281">
        <f>D38*$C$46</f>
        <v>455794519.4190573</v>
      </c>
      <c r="E49" s="281">
        <f>E38*$C$46</f>
        <v>17056287.615383893</v>
      </c>
      <c r="F49" s="291">
        <f>SUM(C49:E49)</f>
        <v>472850807.03444123</v>
      </c>
    </row>
    <row r="50" spans="2:6" ht="12.75">
      <c r="B50" s="285" t="s">
        <v>285</v>
      </c>
      <c r="C50" s="281"/>
      <c r="D50" s="281">
        <f aca="true" t="shared" si="7" ref="D50:E54">D39*$C$46</f>
        <v>112806526.32539591</v>
      </c>
      <c r="E50" s="281">
        <f t="shared" si="7"/>
        <v>24448816.796347063</v>
      </c>
      <c r="F50" s="291">
        <f aca="true" t="shared" si="8" ref="F50:F55">SUM(C50:E50)</f>
        <v>137255343.12174296</v>
      </c>
    </row>
    <row r="51" spans="2:6" ht="12.75">
      <c r="B51" s="285" t="s">
        <v>286</v>
      </c>
      <c r="C51" s="281">
        <f>C40*$C$46</f>
        <v>222979993.31829894</v>
      </c>
      <c r="D51" s="281">
        <f t="shared" si="7"/>
        <v>27793243.176351674</v>
      </c>
      <c r="E51" s="281">
        <f t="shared" si="7"/>
        <v>468338755.284531</v>
      </c>
      <c r="F51" s="291">
        <f t="shared" si="8"/>
        <v>719111991.7791816</v>
      </c>
    </row>
    <row r="52" spans="2:6" ht="12.75">
      <c r="B52" s="285" t="s">
        <v>287</v>
      </c>
      <c r="C52" s="281"/>
      <c r="D52" s="281">
        <f t="shared" si="7"/>
        <v>1544222.5835314505</v>
      </c>
      <c r="E52" s="281">
        <f t="shared" si="7"/>
        <v>0</v>
      </c>
      <c r="F52" s="291">
        <f t="shared" si="8"/>
        <v>1544222.5835314505</v>
      </c>
    </row>
    <row r="53" spans="2:6" ht="12.75">
      <c r="B53" s="285" t="s">
        <v>288</v>
      </c>
      <c r="C53" s="281"/>
      <c r="D53" s="281">
        <f t="shared" si="7"/>
        <v>227851.51481262172</v>
      </c>
      <c r="E53" s="281">
        <f t="shared" si="7"/>
        <v>0</v>
      </c>
      <c r="F53" s="291">
        <f t="shared" si="8"/>
        <v>227851.51481262172</v>
      </c>
    </row>
    <row r="54" spans="2:7" ht="12.75">
      <c r="B54" s="285" t="s">
        <v>289</v>
      </c>
      <c r="C54" s="281"/>
      <c r="D54" s="281">
        <f t="shared" si="7"/>
        <v>0</v>
      </c>
      <c r="E54" s="281">
        <f t="shared" si="7"/>
        <v>4657952.863602474</v>
      </c>
      <c r="F54" s="291">
        <f t="shared" si="8"/>
        <v>4657952.863602474</v>
      </c>
      <c r="G54" s="199" t="s">
        <v>320</v>
      </c>
    </row>
    <row r="55" spans="2:7" ht="12.75">
      <c r="B55" s="164" t="s">
        <v>11</v>
      </c>
      <c r="C55" s="292">
        <f>SUM(C49:C54)</f>
        <v>222979993.31829894</v>
      </c>
      <c r="D55" s="292">
        <f>SUM(D49:D54)</f>
        <v>598166363.019149</v>
      </c>
      <c r="E55" s="292">
        <f>SUM(E49:E54)</f>
        <v>514501812.5598644</v>
      </c>
      <c r="F55" s="293">
        <f t="shared" si="8"/>
        <v>1335648168.8973122</v>
      </c>
      <c r="G55" s="255">
        <f>G44*C46</f>
        <v>2927005.195736163</v>
      </c>
    </row>
    <row r="56" spans="6:7" ht="12.75">
      <c r="F56" s="199" t="s">
        <v>11</v>
      </c>
      <c r="G56" s="255">
        <f>F55+G55</f>
        <v>1338575174.0930483</v>
      </c>
    </row>
  </sheetData>
  <sheetProtection/>
  <mergeCells count="3">
    <mergeCell ref="H3:I3"/>
    <mergeCell ref="H36:J36"/>
    <mergeCell ref="H14:J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9"/>
  <sheetViews>
    <sheetView zoomScale="75" zoomScaleNormal="75" zoomScalePageLayoutView="0" workbookViewId="0" topLeftCell="B4">
      <selection activeCell="H15" sqref="H15"/>
    </sheetView>
  </sheetViews>
  <sheetFormatPr defaultColWidth="9.140625" defaultRowHeight="12.75"/>
  <cols>
    <col min="1" max="1" width="14.28125" style="0" customWidth="1"/>
    <col min="2" max="2" width="24.421875" style="0" customWidth="1"/>
    <col min="3" max="3" width="16.421875" style="0" customWidth="1"/>
    <col min="4" max="4" width="13.28125" style="0" bestFit="1" customWidth="1"/>
    <col min="5" max="5" width="13.7109375" style="0" bestFit="1" customWidth="1"/>
    <col min="6" max="6" width="12.8515625" style="0" bestFit="1" customWidth="1"/>
    <col min="7" max="9" width="13.28125" style="0" bestFit="1" customWidth="1"/>
    <col min="10" max="10" width="13.7109375" style="0" bestFit="1" customWidth="1"/>
    <col min="11" max="13" width="12.8515625" style="0" bestFit="1" customWidth="1"/>
    <col min="14" max="14" width="15.57421875" style="0" customWidth="1"/>
    <col min="15" max="15" width="16.7109375" style="0" customWidth="1"/>
  </cols>
  <sheetData>
    <row r="1" ht="12.75">
      <c r="A1" s="19" t="s">
        <v>211</v>
      </c>
    </row>
    <row r="2" spans="2:15" s="19" customFormat="1" ht="12.75">
      <c r="B2" s="204"/>
      <c r="C2" s="205" t="s">
        <v>129</v>
      </c>
      <c r="D2" s="205" t="s">
        <v>130</v>
      </c>
      <c r="E2" s="206" t="s">
        <v>131</v>
      </c>
      <c r="F2" s="205" t="s">
        <v>132</v>
      </c>
      <c r="G2" s="205" t="s">
        <v>133</v>
      </c>
      <c r="H2" s="206" t="s">
        <v>134</v>
      </c>
      <c r="I2" s="205" t="s">
        <v>135</v>
      </c>
      <c r="J2" s="205" t="s">
        <v>136</v>
      </c>
      <c r="K2" s="206" t="s">
        <v>137</v>
      </c>
      <c r="L2" s="205" t="s">
        <v>138</v>
      </c>
      <c r="M2" s="205" t="s">
        <v>139</v>
      </c>
      <c r="N2" s="206" t="s">
        <v>140</v>
      </c>
      <c r="O2" s="152" t="s">
        <v>11</v>
      </c>
    </row>
    <row r="3" spans="2:15" ht="12.75">
      <c r="B3" s="202" t="s">
        <v>212</v>
      </c>
      <c r="C3" s="26">
        <f>'Purchased Power Model'!O$303</f>
        <v>114743453.38718209</v>
      </c>
      <c r="D3" s="26">
        <f>'Purchased Power Model'!O$304</f>
        <v>105350666.07993463</v>
      </c>
      <c r="E3" s="26">
        <f>'Purchased Power Model'!O$305</f>
        <v>107584498.07862519</v>
      </c>
      <c r="F3" s="26">
        <f>'Purchased Power Model'!O$306</f>
        <v>100882321.06153263</v>
      </c>
      <c r="G3" s="26">
        <f>'Purchased Power Model'!O$307</f>
        <v>102191051.27269612</v>
      </c>
      <c r="H3" s="26">
        <f>'Purchased Power Model'!O$308</f>
        <v>109811097.49779339</v>
      </c>
      <c r="I3" s="26">
        <f>'Purchased Power Model'!O$309</f>
        <v>132687049.40115966</v>
      </c>
      <c r="J3" s="26">
        <f>'Purchased Power Model'!O$310</f>
        <v>129038547.06030554</v>
      </c>
      <c r="K3" s="26">
        <f>'Purchased Power Model'!O$311</f>
        <v>106886308.67856696</v>
      </c>
      <c r="L3" s="26">
        <f>'Purchased Power Model'!O$312</f>
        <v>103086282.81832601</v>
      </c>
      <c r="M3" s="26">
        <f>'Purchased Power Model'!O$313</f>
        <v>104305904.0908389</v>
      </c>
      <c r="N3" s="26">
        <f>'Purchased Power Model'!O$314</f>
        <v>116020117.688596</v>
      </c>
      <c r="O3" s="26">
        <f>SUM(C3:N3)</f>
        <v>1332587297.1155572</v>
      </c>
    </row>
    <row r="4" spans="2:15" ht="12.75">
      <c r="B4" s="202" t="s">
        <v>213</v>
      </c>
      <c r="C4" s="26">
        <f>'Purchased Power Model'!O$291</f>
        <v>111346625.76872057</v>
      </c>
      <c r="D4" s="26">
        <f>'Purchased Power Model'!O$292</f>
        <v>104549274.10904533</v>
      </c>
      <c r="E4" s="26">
        <f>'Purchased Power Model'!O$293</f>
        <v>103997054.14784488</v>
      </c>
      <c r="F4" s="26">
        <f>'Purchased Power Model'!O$294</f>
        <v>97199568.97459292</v>
      </c>
      <c r="G4" s="26">
        <f>'Purchased Power Model'!O$295</f>
        <v>98412991.02959703</v>
      </c>
      <c r="H4" s="26">
        <f>'Purchased Power Model'!O$296</f>
        <v>105937729.09853488</v>
      </c>
      <c r="I4" s="26">
        <f>'Purchased Power Model'!O$297</f>
        <v>128718372.84574175</v>
      </c>
      <c r="J4" s="26">
        <f>'Purchased Power Model'!O$298</f>
        <v>124974562.34872822</v>
      </c>
      <c r="K4" s="26">
        <f>'Purchased Power Model'!O$299</f>
        <v>102727015.81083024</v>
      </c>
      <c r="L4" s="26">
        <f>'Purchased Power Model'!O$300</f>
        <v>98831681.79442987</v>
      </c>
      <c r="M4" s="26">
        <f>'Purchased Power Model'!O$301</f>
        <v>99955994.9107834</v>
      </c>
      <c r="N4" s="26">
        <f>'Purchased Power Model'!O$302</f>
        <v>111574900.35238098</v>
      </c>
      <c r="O4" s="26">
        <f>SUM(C4:N4)</f>
        <v>1288225771.19123</v>
      </c>
    </row>
    <row r="5" spans="2:15" ht="12.75">
      <c r="B5" s="202" t="s">
        <v>186</v>
      </c>
      <c r="C5" s="203">
        <f>C3-C4</f>
        <v>3396827.6184615195</v>
      </c>
      <c r="D5" s="203">
        <f aca="true" t="shared" si="0" ref="D5:O5">D3-D4</f>
        <v>801391.9708893001</v>
      </c>
      <c r="E5" s="203">
        <f t="shared" si="0"/>
        <v>3587443.9307803065</v>
      </c>
      <c r="F5" s="203">
        <f t="shared" si="0"/>
        <v>3682752.0869397074</v>
      </c>
      <c r="G5" s="203">
        <f t="shared" si="0"/>
        <v>3778060.2430990934</v>
      </c>
      <c r="H5" s="203">
        <f t="shared" si="0"/>
        <v>3873368.3992585093</v>
      </c>
      <c r="I5" s="203">
        <f t="shared" si="0"/>
        <v>3968676.55541791</v>
      </c>
      <c r="J5" s="203">
        <f t="shared" si="0"/>
        <v>4063984.711577311</v>
      </c>
      <c r="K5" s="203">
        <f t="shared" si="0"/>
        <v>4159292.867736727</v>
      </c>
      <c r="L5" s="203">
        <f t="shared" si="0"/>
        <v>4254601.023896143</v>
      </c>
      <c r="M5" s="203">
        <f t="shared" si="0"/>
        <v>4349909.180055499</v>
      </c>
      <c r="N5" s="203">
        <f t="shared" si="0"/>
        <v>4445217.336215019</v>
      </c>
      <c r="O5" s="203">
        <f t="shared" si="0"/>
        <v>44361525.924327135</v>
      </c>
    </row>
    <row r="6" spans="2:15" ht="12.75">
      <c r="B6" s="5"/>
      <c r="C6" s="26"/>
      <c r="D6" s="26"/>
      <c r="E6" s="57"/>
      <c r="F6" s="57"/>
      <c r="G6" s="35"/>
      <c r="H6" s="1"/>
      <c r="I6" s="1"/>
      <c r="J6" s="1"/>
      <c r="K6" s="1"/>
      <c r="L6" s="1"/>
      <c r="M6" s="201"/>
      <c r="N6" s="45"/>
      <c r="O6" s="45"/>
    </row>
    <row r="7" spans="2:15" ht="12.75">
      <c r="B7" s="5"/>
      <c r="C7" s="26"/>
      <c r="D7" s="26"/>
      <c r="E7" s="57"/>
      <c r="F7" s="57"/>
      <c r="G7" s="35"/>
      <c r="H7" s="1"/>
      <c r="I7" s="5"/>
      <c r="J7" s="1"/>
      <c r="K7" s="1"/>
      <c r="L7" s="1"/>
      <c r="M7" s="201"/>
      <c r="N7" s="45"/>
      <c r="O7" s="45"/>
    </row>
    <row r="8" spans="1:15" ht="12.75">
      <c r="A8" s="199" t="s">
        <v>176</v>
      </c>
      <c r="B8" s="202" t="s">
        <v>214</v>
      </c>
      <c r="C8" s="26">
        <f>'Purchased Power Model'!F$303</f>
        <v>632.4289999999999</v>
      </c>
      <c r="D8" s="26">
        <f>'Purchased Power Model'!F$304</f>
        <v>563.5600000000001</v>
      </c>
      <c r="E8" s="26">
        <f>'Purchased Power Model'!F$305</f>
        <v>509.84</v>
      </c>
      <c r="F8" s="26">
        <f>'Purchased Power Model'!F$306</f>
        <v>331.34499999999997</v>
      </c>
      <c r="G8" s="26">
        <f>'Purchased Power Model'!F$307</f>
        <v>156.115</v>
      </c>
      <c r="H8" s="26">
        <f>'Purchased Power Model'!F$308</f>
        <v>32.94</v>
      </c>
      <c r="I8" s="26">
        <f>'Purchased Power Model'!F$309</f>
        <v>0.74</v>
      </c>
      <c r="J8" s="26">
        <f>'Purchased Power Model'!F$310</f>
        <v>0.54</v>
      </c>
      <c r="K8" s="26">
        <f>'Purchased Power Model'!F$311</f>
        <v>30.669999999999998</v>
      </c>
      <c r="L8" s="26">
        <f>'Purchased Power Model'!F$312</f>
        <v>171.87000000000003</v>
      </c>
      <c r="M8" s="26">
        <f>'Purchased Power Model'!F$313</f>
        <v>365.20500000000004</v>
      </c>
      <c r="N8" s="26">
        <f>'Purchased Power Model'!F$314</f>
        <v>518.47</v>
      </c>
      <c r="O8" s="209">
        <f>SUM(C8:N8)</f>
        <v>3313.7239999999993</v>
      </c>
    </row>
    <row r="9" spans="2:15" ht="12.75">
      <c r="B9" s="202" t="s">
        <v>215</v>
      </c>
      <c r="C9" s="26">
        <f>'Purchased Power Model'!F$291</f>
        <v>632.4289999999999</v>
      </c>
      <c r="D9" s="26">
        <f>'Purchased Power Model'!F$292</f>
        <v>563.5600000000001</v>
      </c>
      <c r="E9" s="26">
        <f>'Purchased Power Model'!F$293</f>
        <v>509.84</v>
      </c>
      <c r="F9" s="26">
        <f>'Purchased Power Model'!F$294</f>
        <v>331.34499999999997</v>
      </c>
      <c r="G9" s="26">
        <f>'Purchased Power Model'!F$295</f>
        <v>156.115</v>
      </c>
      <c r="H9" s="26">
        <f>'Purchased Power Model'!F$296</f>
        <v>32.94</v>
      </c>
      <c r="I9" s="26">
        <f>'Purchased Power Model'!F$297</f>
        <v>0.74</v>
      </c>
      <c r="J9" s="26">
        <f>'Purchased Power Model'!F$298</f>
        <v>0.54</v>
      </c>
      <c r="K9" s="26">
        <f>'Purchased Power Model'!F$299</f>
        <v>30.669999999999998</v>
      </c>
      <c r="L9" s="26">
        <f>'Purchased Power Model'!F$300</f>
        <v>171.87000000000003</v>
      </c>
      <c r="M9" s="26">
        <f>'Purchased Power Model'!F$301</f>
        <v>365.20500000000004</v>
      </c>
      <c r="N9" s="26">
        <f>'Purchased Power Model'!F$302</f>
        <v>518.47</v>
      </c>
      <c r="O9" s="209">
        <f>SUM(C9:N9)</f>
        <v>3313.7239999999993</v>
      </c>
    </row>
    <row r="10" spans="2:15" ht="12.75">
      <c r="B10" s="202" t="s">
        <v>45</v>
      </c>
      <c r="C10" s="208">
        <f>C8-C9</f>
        <v>0</v>
      </c>
      <c r="D10" s="208">
        <f aca="true" t="shared" si="1" ref="D10:N10">D8-D9</f>
        <v>0</v>
      </c>
      <c r="E10" s="208">
        <f t="shared" si="1"/>
        <v>0</v>
      </c>
      <c r="F10" s="208">
        <f t="shared" si="1"/>
        <v>0</v>
      </c>
      <c r="G10" s="208">
        <f t="shared" si="1"/>
        <v>0</v>
      </c>
      <c r="H10" s="208">
        <f t="shared" si="1"/>
        <v>0</v>
      </c>
      <c r="I10" s="208">
        <f t="shared" si="1"/>
        <v>0</v>
      </c>
      <c r="J10" s="208">
        <f t="shared" si="1"/>
        <v>0</v>
      </c>
      <c r="K10" s="208">
        <f t="shared" si="1"/>
        <v>0</v>
      </c>
      <c r="L10" s="208">
        <f t="shared" si="1"/>
        <v>0</v>
      </c>
      <c r="M10" s="208">
        <f t="shared" si="1"/>
        <v>0</v>
      </c>
      <c r="N10" s="208">
        <f t="shared" si="1"/>
        <v>0</v>
      </c>
      <c r="O10" s="209">
        <f>SUM(C10:N10)</f>
        <v>0</v>
      </c>
    </row>
    <row r="11" spans="2:15" ht="12.75">
      <c r="B11" s="202" t="s">
        <v>184</v>
      </c>
      <c r="C11" s="208">
        <f>'Purchased Power Model'!$S$19</f>
        <v>24553.727715961013</v>
      </c>
      <c r="D11" s="208">
        <f>'Purchased Power Model'!$S$19</f>
        <v>24553.727715961013</v>
      </c>
      <c r="E11" s="208">
        <f>'Purchased Power Model'!$S$19</f>
        <v>24553.727715961013</v>
      </c>
      <c r="F11" s="208">
        <f>'Purchased Power Model'!$S$19</f>
        <v>24553.727715961013</v>
      </c>
      <c r="G11" s="208">
        <f>'Purchased Power Model'!$S$19</f>
        <v>24553.727715961013</v>
      </c>
      <c r="H11" s="208">
        <f>'Purchased Power Model'!$S$19</f>
        <v>24553.727715961013</v>
      </c>
      <c r="I11" s="208">
        <f>'Purchased Power Model'!$S$19</f>
        <v>24553.727715961013</v>
      </c>
      <c r="J11" s="208">
        <f>'Purchased Power Model'!$S$19</f>
        <v>24553.727715961013</v>
      </c>
      <c r="K11" s="208">
        <f>'Purchased Power Model'!$S$19</f>
        <v>24553.727715961013</v>
      </c>
      <c r="L11" s="208">
        <f>'Purchased Power Model'!$S$19</f>
        <v>24553.727715961013</v>
      </c>
      <c r="M11" s="208">
        <f>'Purchased Power Model'!$S$19</f>
        <v>24553.727715961013</v>
      </c>
      <c r="N11" s="208">
        <f>'Purchased Power Model'!$S$19</f>
        <v>24553.727715961013</v>
      </c>
      <c r="O11" s="209"/>
    </row>
    <row r="12" spans="2:15" ht="12.75">
      <c r="B12" s="202" t="s">
        <v>177</v>
      </c>
      <c r="C12" s="203">
        <f>C10*C11</f>
        <v>0</v>
      </c>
      <c r="D12" s="203">
        <f aca="true" t="shared" si="2" ref="D12:N12">D10*D11</f>
        <v>0</v>
      </c>
      <c r="E12" s="203">
        <f t="shared" si="2"/>
        <v>0</v>
      </c>
      <c r="F12" s="203">
        <f t="shared" si="2"/>
        <v>0</v>
      </c>
      <c r="G12" s="203">
        <f t="shared" si="2"/>
        <v>0</v>
      </c>
      <c r="H12" s="203">
        <f t="shared" si="2"/>
        <v>0</v>
      </c>
      <c r="I12" s="203">
        <f t="shared" si="2"/>
        <v>0</v>
      </c>
      <c r="J12" s="203">
        <f t="shared" si="2"/>
        <v>0</v>
      </c>
      <c r="K12" s="203">
        <f t="shared" si="2"/>
        <v>0</v>
      </c>
      <c r="L12" s="203">
        <f t="shared" si="2"/>
        <v>0</v>
      </c>
      <c r="M12" s="203">
        <f t="shared" si="2"/>
        <v>0</v>
      </c>
      <c r="N12" s="203">
        <f t="shared" si="2"/>
        <v>0</v>
      </c>
      <c r="O12" s="207">
        <f>SUM(C12:N12)</f>
        <v>0</v>
      </c>
    </row>
    <row r="13" spans="2:15" ht="12.75">
      <c r="B13" s="5"/>
      <c r="C13" s="26"/>
      <c r="D13" s="26"/>
      <c r="E13" s="57"/>
      <c r="F13" s="57"/>
      <c r="G13" s="35"/>
      <c r="H13" s="1"/>
      <c r="I13" s="1"/>
      <c r="J13" s="1"/>
      <c r="K13" s="1"/>
      <c r="L13" s="1"/>
      <c r="M13" s="201"/>
      <c r="N13" s="45"/>
      <c r="O13" s="45"/>
    </row>
    <row r="14" spans="2:15" ht="12.75">
      <c r="B14" s="5"/>
      <c r="C14" s="26"/>
      <c r="D14" s="26"/>
      <c r="E14" s="57"/>
      <c r="F14" s="57"/>
      <c r="G14" s="35"/>
      <c r="H14" s="1"/>
      <c r="I14" s="1"/>
      <c r="J14" s="1"/>
      <c r="K14" s="1"/>
      <c r="L14" s="1"/>
      <c r="M14" s="201"/>
      <c r="N14" s="45"/>
      <c r="O14" s="45"/>
    </row>
    <row r="15" spans="1:15" ht="12.75">
      <c r="A15" s="199" t="s">
        <v>178</v>
      </c>
      <c r="B15" s="202" t="s">
        <v>214</v>
      </c>
      <c r="C15" s="26">
        <f>'Purchased Power Model'!G$303</f>
        <v>0</v>
      </c>
      <c r="D15" s="26">
        <f>'Purchased Power Model'!G$304</f>
        <v>0</v>
      </c>
      <c r="E15" s="26">
        <f>'Purchased Power Model'!G$305</f>
        <v>0</v>
      </c>
      <c r="F15" s="26">
        <f>'Purchased Power Model'!G$306</f>
        <v>0.004166666666666667</v>
      </c>
      <c r="G15" s="26">
        <f>'Purchased Power Model'!G$307</f>
        <v>12.51</v>
      </c>
      <c r="H15" s="26">
        <f>'Purchased Power Model'!G$308</f>
        <v>52.11</v>
      </c>
      <c r="I15" s="26">
        <f>'Purchased Power Model'!G$309</f>
        <v>153.16</v>
      </c>
      <c r="J15" s="26">
        <f>'Purchased Power Model'!G$310</f>
        <v>133.475</v>
      </c>
      <c r="K15" s="26">
        <f>'Purchased Power Model'!G$311</f>
        <v>56.57000000000001</v>
      </c>
      <c r="L15" s="26">
        <f>'Purchased Power Model'!G$312</f>
        <v>5.92</v>
      </c>
      <c r="M15" s="26">
        <f>'Purchased Power Model'!G$313</f>
        <v>0</v>
      </c>
      <c r="N15" s="26">
        <f>'Purchased Power Model'!G$314</f>
        <v>0</v>
      </c>
      <c r="O15" s="209">
        <f>SUM(C15:N15)</f>
        <v>413.74916666666667</v>
      </c>
    </row>
    <row r="16" spans="2:15" ht="12.75">
      <c r="B16" s="202" t="s">
        <v>215</v>
      </c>
      <c r="C16" s="26">
        <f>'Purchased Power Model'!G$291</f>
        <v>0</v>
      </c>
      <c r="D16" s="26">
        <f>'Purchased Power Model'!G$292</f>
        <v>0</v>
      </c>
      <c r="E16" s="26">
        <f>'Purchased Power Model'!G$293</f>
        <v>0</v>
      </c>
      <c r="F16" s="26">
        <f>'Purchased Power Model'!G$294</f>
        <v>0.004166666666666667</v>
      </c>
      <c r="G16" s="26">
        <f>'Purchased Power Model'!G$295</f>
        <v>12.51</v>
      </c>
      <c r="H16" s="26">
        <f>'Purchased Power Model'!G$296</f>
        <v>52.11</v>
      </c>
      <c r="I16" s="26">
        <f>'Purchased Power Model'!G$297</f>
        <v>153.16</v>
      </c>
      <c r="J16" s="26">
        <f>'Purchased Power Model'!G$298</f>
        <v>133.475</v>
      </c>
      <c r="K16" s="26">
        <f>'Purchased Power Model'!G$299</f>
        <v>56.57000000000001</v>
      </c>
      <c r="L16" s="26">
        <f>'Purchased Power Model'!G$300</f>
        <v>5.92</v>
      </c>
      <c r="M16" s="26">
        <f>'Purchased Power Model'!G$301</f>
        <v>0</v>
      </c>
      <c r="N16" s="26">
        <f>'Purchased Power Model'!G$302</f>
        <v>0</v>
      </c>
      <c r="O16" s="209">
        <f>SUM(C16:N16)</f>
        <v>413.74916666666667</v>
      </c>
    </row>
    <row r="17" spans="2:15" ht="12.75">
      <c r="B17" s="202" t="s">
        <v>45</v>
      </c>
      <c r="C17" s="208">
        <f>C15-C16</f>
        <v>0</v>
      </c>
      <c r="D17" s="208">
        <f aca="true" t="shared" si="3" ref="D17:N17">D15-D16</f>
        <v>0</v>
      </c>
      <c r="E17" s="208">
        <f t="shared" si="3"/>
        <v>0</v>
      </c>
      <c r="F17" s="208">
        <f t="shared" si="3"/>
        <v>0</v>
      </c>
      <c r="G17" s="208">
        <f t="shared" si="3"/>
        <v>0</v>
      </c>
      <c r="H17" s="208">
        <f t="shared" si="3"/>
        <v>0</v>
      </c>
      <c r="I17" s="208">
        <f t="shared" si="3"/>
        <v>0</v>
      </c>
      <c r="J17" s="208">
        <f t="shared" si="3"/>
        <v>0</v>
      </c>
      <c r="K17" s="208">
        <f t="shared" si="3"/>
        <v>0</v>
      </c>
      <c r="L17" s="208">
        <f t="shared" si="3"/>
        <v>0</v>
      </c>
      <c r="M17" s="208">
        <f t="shared" si="3"/>
        <v>0</v>
      </c>
      <c r="N17" s="208">
        <f t="shared" si="3"/>
        <v>0</v>
      </c>
      <c r="O17" s="209">
        <f>SUM(C17:N17)</f>
        <v>0</v>
      </c>
    </row>
    <row r="18" spans="2:15" ht="12.75">
      <c r="B18" s="202" t="s">
        <v>184</v>
      </c>
      <c r="C18" s="208">
        <f>'Purchased Power Model'!$S$20</f>
        <v>203912.9475910015</v>
      </c>
      <c r="D18" s="208">
        <f>'Purchased Power Model'!$S$20</f>
        <v>203912.9475910015</v>
      </c>
      <c r="E18" s="208">
        <f>'Purchased Power Model'!$S$20</f>
        <v>203912.9475910015</v>
      </c>
      <c r="F18" s="208">
        <f>'Purchased Power Model'!$S$20</f>
        <v>203912.9475910015</v>
      </c>
      <c r="G18" s="208">
        <f>'Purchased Power Model'!$S$20</f>
        <v>203912.9475910015</v>
      </c>
      <c r="H18" s="208">
        <f>'Purchased Power Model'!$S$20</f>
        <v>203912.9475910015</v>
      </c>
      <c r="I18" s="208">
        <f>'Purchased Power Model'!$S$20</f>
        <v>203912.9475910015</v>
      </c>
      <c r="J18" s="208">
        <f>'Purchased Power Model'!$S$20</f>
        <v>203912.9475910015</v>
      </c>
      <c r="K18" s="208">
        <f>'Purchased Power Model'!$S$20</f>
        <v>203912.9475910015</v>
      </c>
      <c r="L18" s="208">
        <f>'Purchased Power Model'!$S$20</f>
        <v>203912.9475910015</v>
      </c>
      <c r="M18" s="208">
        <f>'Purchased Power Model'!$S$20</f>
        <v>203912.9475910015</v>
      </c>
      <c r="N18" s="208">
        <f>'Purchased Power Model'!$S$20</f>
        <v>203912.9475910015</v>
      </c>
      <c r="O18" s="209"/>
    </row>
    <row r="19" spans="2:15" ht="12.75">
      <c r="B19" s="202" t="s">
        <v>177</v>
      </c>
      <c r="C19" s="203">
        <f>C17*C18</f>
        <v>0</v>
      </c>
      <c r="D19" s="203">
        <f aca="true" t="shared" si="4" ref="D19:N19">D17*D18</f>
        <v>0</v>
      </c>
      <c r="E19" s="203">
        <f t="shared" si="4"/>
        <v>0</v>
      </c>
      <c r="F19" s="203">
        <f t="shared" si="4"/>
        <v>0</v>
      </c>
      <c r="G19" s="203">
        <f t="shared" si="4"/>
        <v>0</v>
      </c>
      <c r="H19" s="203">
        <f t="shared" si="4"/>
        <v>0</v>
      </c>
      <c r="I19" s="203">
        <f t="shared" si="4"/>
        <v>0</v>
      </c>
      <c r="J19" s="203">
        <f t="shared" si="4"/>
        <v>0</v>
      </c>
      <c r="K19" s="203">
        <f t="shared" si="4"/>
        <v>0</v>
      </c>
      <c r="L19" s="203">
        <f t="shared" si="4"/>
        <v>0</v>
      </c>
      <c r="M19" s="203">
        <f t="shared" si="4"/>
        <v>0</v>
      </c>
      <c r="N19" s="203">
        <f t="shared" si="4"/>
        <v>0</v>
      </c>
      <c r="O19" s="207">
        <f>SUM(C19:N19)</f>
        <v>0</v>
      </c>
    </row>
    <row r="20" spans="2:15" ht="12.75">
      <c r="B20" s="5"/>
      <c r="C20" s="26"/>
      <c r="D20" s="26"/>
      <c r="E20" s="57"/>
      <c r="F20" s="57"/>
      <c r="G20" s="35"/>
      <c r="H20" s="1"/>
      <c r="I20" s="1"/>
      <c r="J20" s="1"/>
      <c r="K20" s="1"/>
      <c r="L20" s="1"/>
      <c r="M20" s="1"/>
      <c r="N20" s="1"/>
      <c r="O20" s="1"/>
    </row>
    <row r="21" spans="2:15" ht="12.75">
      <c r="B21" s="5"/>
      <c r="C21" s="26"/>
      <c r="D21" s="26"/>
      <c r="E21" s="57"/>
      <c r="F21" s="57"/>
      <c r="G21" s="35"/>
      <c r="H21" s="1"/>
      <c r="I21" s="1"/>
      <c r="J21" s="1"/>
      <c r="K21" s="1"/>
      <c r="L21" s="1"/>
      <c r="M21" s="1"/>
      <c r="N21" s="1"/>
      <c r="O21" s="1"/>
    </row>
    <row r="22" spans="1:15" ht="12.75">
      <c r="A22" s="199" t="s">
        <v>179</v>
      </c>
      <c r="B22" s="202" t="s">
        <v>214</v>
      </c>
      <c r="C22" s="26">
        <f>'Purchased Power Model'!H$303</f>
        <v>170.01836502697049</v>
      </c>
      <c r="D22" s="26">
        <f>'Purchased Power Model'!H$304</f>
        <v>170.2447543279385</v>
      </c>
      <c r="E22" s="26">
        <f>'Purchased Power Model'!H$305</f>
        <v>170.4711436289065</v>
      </c>
      <c r="F22" s="26">
        <f>'Purchased Power Model'!H$306</f>
        <v>170.6975329298745</v>
      </c>
      <c r="G22" s="26">
        <f>'Purchased Power Model'!H$307</f>
        <v>170.92392223084252</v>
      </c>
      <c r="H22" s="26">
        <f>'Purchased Power Model'!H$308</f>
        <v>171.15031153181053</v>
      </c>
      <c r="I22" s="26">
        <f>'Purchased Power Model'!H$309</f>
        <v>171.37670083277854</v>
      </c>
      <c r="J22" s="26">
        <f>'Purchased Power Model'!H$310</f>
        <v>171.60309013374655</v>
      </c>
      <c r="K22" s="26">
        <f>'Purchased Power Model'!H$311</f>
        <v>171.82947943471456</v>
      </c>
      <c r="L22" s="26">
        <f>'Purchased Power Model'!H$312</f>
        <v>172.05586873568257</v>
      </c>
      <c r="M22" s="26">
        <f>'Purchased Power Model'!H$313</f>
        <v>172.28225803665057</v>
      </c>
      <c r="N22" s="26">
        <f>'Purchased Power Model'!H$314</f>
        <v>172.50864733761853</v>
      </c>
      <c r="O22" s="209">
        <f>SUM(C22:N22)</f>
        <v>2055.1620741875345</v>
      </c>
    </row>
    <row r="23" spans="2:15" ht="12.75">
      <c r="B23" s="202" t="s">
        <v>215</v>
      </c>
      <c r="C23" s="26">
        <f>'Purchased Power Model'!H$291</f>
        <v>167.34091045961662</v>
      </c>
      <c r="D23" s="26">
        <f>'Purchased Power Model'!H$292</f>
        <v>167.56373457474263</v>
      </c>
      <c r="E23" s="26">
        <f>'Purchased Power Model'!H$293</f>
        <v>167.78655868986863</v>
      </c>
      <c r="F23" s="26">
        <f>'Purchased Power Model'!H$294</f>
        <v>168.00938280499463</v>
      </c>
      <c r="G23" s="26">
        <f>'Purchased Power Model'!H$295</f>
        <v>168.23220692012063</v>
      </c>
      <c r="H23" s="26">
        <f>'Purchased Power Model'!H$296</f>
        <v>168.45503103524663</v>
      </c>
      <c r="I23" s="26">
        <f>'Purchased Power Model'!H$297</f>
        <v>168.67785515037264</v>
      </c>
      <c r="J23" s="26">
        <f>'Purchased Power Model'!H$298</f>
        <v>168.90067926549864</v>
      </c>
      <c r="K23" s="26">
        <f>'Purchased Power Model'!H$299</f>
        <v>169.12350338062464</v>
      </c>
      <c r="L23" s="26">
        <f>'Purchased Power Model'!H$300</f>
        <v>169.34632749575064</v>
      </c>
      <c r="M23" s="26">
        <f>'Purchased Power Model'!H$301</f>
        <v>169.56915161087665</v>
      </c>
      <c r="N23" s="26">
        <f>'Purchased Power Model'!H$302</f>
        <v>169.79197572600248</v>
      </c>
      <c r="O23" s="209">
        <f>SUM(C23:N23)</f>
        <v>2022.7973171137153</v>
      </c>
    </row>
    <row r="24" spans="2:15" ht="12.75">
      <c r="B24" s="202" t="s">
        <v>45</v>
      </c>
      <c r="C24" s="208">
        <f>C22-C23</f>
        <v>2.6774545673538626</v>
      </c>
      <c r="D24" s="208">
        <f aca="true" t="shared" si="5" ref="D24:N24">D22-D23</f>
        <v>2.6810197531958693</v>
      </c>
      <c r="E24" s="208">
        <f t="shared" si="5"/>
        <v>2.684584939037876</v>
      </c>
      <c r="F24" s="208">
        <f t="shared" si="5"/>
        <v>2.6881501248798827</v>
      </c>
      <c r="G24" s="208">
        <f t="shared" si="5"/>
        <v>2.6917153107218894</v>
      </c>
      <c r="H24" s="208">
        <f t="shared" si="5"/>
        <v>2.695280496563896</v>
      </c>
      <c r="I24" s="208">
        <f t="shared" si="5"/>
        <v>2.698845682405903</v>
      </c>
      <c r="J24" s="208">
        <f t="shared" si="5"/>
        <v>2.7024108682479095</v>
      </c>
      <c r="K24" s="208">
        <f t="shared" si="5"/>
        <v>2.7059760540899163</v>
      </c>
      <c r="L24" s="208">
        <f t="shared" si="5"/>
        <v>2.709541239931923</v>
      </c>
      <c r="M24" s="208">
        <f t="shared" si="5"/>
        <v>2.7131064257739297</v>
      </c>
      <c r="N24" s="208">
        <f t="shared" si="5"/>
        <v>2.71667161161605</v>
      </c>
      <c r="O24" s="209">
        <f>SUM(C24:N24)</f>
        <v>32.36475707381891</v>
      </c>
    </row>
    <row r="25" spans="2:15" ht="12.75">
      <c r="B25" s="202" t="s">
        <v>184</v>
      </c>
      <c r="C25" s="208">
        <f>'Purchased Power Model'!$S$21</f>
        <v>444961.6882511375</v>
      </c>
      <c r="D25" s="208">
        <f>'Purchased Power Model'!$S$21</f>
        <v>444961.6882511375</v>
      </c>
      <c r="E25" s="208">
        <f>'Purchased Power Model'!$S$21</f>
        <v>444961.6882511375</v>
      </c>
      <c r="F25" s="208">
        <f>'Purchased Power Model'!$S$21</f>
        <v>444961.6882511375</v>
      </c>
      <c r="G25" s="208">
        <f>'Purchased Power Model'!$S$21</f>
        <v>444961.6882511375</v>
      </c>
      <c r="H25" s="208">
        <f>'Purchased Power Model'!$S$21</f>
        <v>444961.6882511375</v>
      </c>
      <c r="I25" s="208">
        <f>'Purchased Power Model'!$S$21</f>
        <v>444961.6882511375</v>
      </c>
      <c r="J25" s="208">
        <f>'Purchased Power Model'!$S$21</f>
        <v>444961.6882511375</v>
      </c>
      <c r="K25" s="208">
        <f>'Purchased Power Model'!$S$21</f>
        <v>444961.6882511375</v>
      </c>
      <c r="L25" s="208">
        <f>'Purchased Power Model'!$S$21</f>
        <v>444961.6882511375</v>
      </c>
      <c r="M25" s="208">
        <f>'Purchased Power Model'!$S$21</f>
        <v>444961.6882511375</v>
      </c>
      <c r="N25" s="208">
        <f>'Purchased Power Model'!$S$21</f>
        <v>444961.6882511375</v>
      </c>
      <c r="O25" s="209"/>
    </row>
    <row r="26" spans="2:15" ht="12.75">
      <c r="B26" s="202" t="s">
        <v>177</v>
      </c>
      <c r="C26" s="203">
        <f>C24*C25</f>
        <v>1191364.7045054936</v>
      </c>
      <c r="D26" s="203">
        <f aca="true" t="shared" si="6" ref="D26:N26">D24*D25</f>
        <v>1192951.075616682</v>
      </c>
      <c r="E26" s="203">
        <f t="shared" si="6"/>
        <v>1194537.4467278703</v>
      </c>
      <c r="F26" s="203">
        <f t="shared" si="6"/>
        <v>1196123.8178390588</v>
      </c>
      <c r="G26" s="203">
        <f t="shared" si="6"/>
        <v>1197710.1889502471</v>
      </c>
      <c r="H26" s="203">
        <f t="shared" si="6"/>
        <v>1199296.5600614354</v>
      </c>
      <c r="I26" s="203">
        <f t="shared" si="6"/>
        <v>1200882.9311726238</v>
      </c>
      <c r="J26" s="203">
        <f t="shared" si="6"/>
        <v>1202469.302283812</v>
      </c>
      <c r="K26" s="203">
        <f t="shared" si="6"/>
        <v>1204055.6733950004</v>
      </c>
      <c r="L26" s="203">
        <f t="shared" si="6"/>
        <v>1205642.044506189</v>
      </c>
      <c r="M26" s="203">
        <f t="shared" si="6"/>
        <v>1207228.4156173773</v>
      </c>
      <c r="N26" s="203">
        <f t="shared" si="6"/>
        <v>1208814.786728616</v>
      </c>
      <c r="O26" s="207">
        <f>SUM(C26:N26)</f>
        <v>14401076.947404405</v>
      </c>
    </row>
    <row r="27" spans="2:15" ht="12.75">
      <c r="B27" s="5"/>
      <c r="C27" s="26"/>
      <c r="D27" s="26"/>
      <c r="E27" s="57"/>
      <c r="F27" s="57"/>
      <c r="G27" s="35"/>
      <c r="H27" s="1"/>
      <c r="I27" s="1"/>
      <c r="J27" s="1"/>
      <c r="K27" s="1"/>
      <c r="L27" s="1"/>
      <c r="M27" s="1"/>
      <c r="N27" s="1"/>
      <c r="O27" s="1"/>
    </row>
    <row r="28" spans="2:15" ht="12.75">
      <c r="B28" s="5"/>
      <c r="C28" s="26"/>
      <c r="D28" s="26"/>
      <c r="E28" s="57"/>
      <c r="F28" s="57"/>
      <c r="G28" s="35"/>
      <c r="H28" s="1"/>
      <c r="I28" s="1"/>
      <c r="J28" s="1"/>
      <c r="K28" s="1"/>
      <c r="L28" s="1"/>
      <c r="M28" s="1"/>
      <c r="N28" s="1"/>
      <c r="O28" s="1"/>
    </row>
    <row r="29" spans="1:15" ht="12.75">
      <c r="A29" s="199" t="s">
        <v>180</v>
      </c>
      <c r="B29" s="202" t="s">
        <v>214</v>
      </c>
      <c r="C29" s="26">
        <f>'Purchased Power Model'!I$303</f>
        <v>31</v>
      </c>
      <c r="D29" s="26">
        <f>'Purchased Power Model'!I$304</f>
        <v>28</v>
      </c>
      <c r="E29" s="26">
        <f>'Purchased Power Model'!I$305</f>
        <v>31</v>
      </c>
      <c r="F29" s="26">
        <f>'Purchased Power Model'!I$306</f>
        <v>30</v>
      </c>
      <c r="G29" s="26">
        <f>'Purchased Power Model'!I$307</f>
        <v>31</v>
      </c>
      <c r="H29" s="26">
        <f>'Purchased Power Model'!I$308</f>
        <v>30</v>
      </c>
      <c r="I29" s="26">
        <f>'Purchased Power Model'!I$309</f>
        <v>31</v>
      </c>
      <c r="J29" s="26">
        <f>'Purchased Power Model'!I$310</f>
        <v>31</v>
      </c>
      <c r="K29" s="26">
        <f>'Purchased Power Model'!I$311</f>
        <v>30</v>
      </c>
      <c r="L29" s="26">
        <f>'Purchased Power Model'!I$312</f>
        <v>31</v>
      </c>
      <c r="M29" s="26">
        <f>'Purchased Power Model'!I$313</f>
        <v>30</v>
      </c>
      <c r="N29" s="26">
        <f>'Purchased Power Model'!I$314</f>
        <v>31</v>
      </c>
      <c r="O29" s="209">
        <f>SUM(C29:N29)</f>
        <v>365</v>
      </c>
    </row>
    <row r="30" spans="2:15" ht="12.75">
      <c r="B30" s="202" t="s">
        <v>215</v>
      </c>
      <c r="C30" s="26">
        <f>'Purchased Power Model'!I$291</f>
        <v>31</v>
      </c>
      <c r="D30" s="26">
        <f>'Purchased Power Model'!I$292</f>
        <v>29</v>
      </c>
      <c r="E30" s="26">
        <f>'Purchased Power Model'!I$293</f>
        <v>31</v>
      </c>
      <c r="F30" s="26">
        <f>'Purchased Power Model'!I$294</f>
        <v>30</v>
      </c>
      <c r="G30" s="26">
        <f>'Purchased Power Model'!I$295</f>
        <v>31</v>
      </c>
      <c r="H30" s="26">
        <f>'Purchased Power Model'!I$296</f>
        <v>30</v>
      </c>
      <c r="I30" s="26">
        <f>'Purchased Power Model'!I$297</f>
        <v>31</v>
      </c>
      <c r="J30" s="26">
        <f>'Purchased Power Model'!I$298</f>
        <v>31</v>
      </c>
      <c r="K30" s="26">
        <f>'Purchased Power Model'!I$299</f>
        <v>30</v>
      </c>
      <c r="L30" s="26">
        <f>'Purchased Power Model'!I$300</f>
        <v>31</v>
      </c>
      <c r="M30" s="26">
        <f>'Purchased Power Model'!I$301</f>
        <v>30</v>
      </c>
      <c r="N30" s="26">
        <f>'Purchased Power Model'!I$302</f>
        <v>31</v>
      </c>
      <c r="O30" s="209">
        <f>SUM(C30:N30)</f>
        <v>366</v>
      </c>
    </row>
    <row r="31" spans="2:15" ht="12.75">
      <c r="B31" s="202" t="s">
        <v>45</v>
      </c>
      <c r="C31" s="208">
        <f>C29-C30</f>
        <v>0</v>
      </c>
      <c r="D31" s="208">
        <f aca="true" t="shared" si="7" ref="D31:N31">D29-D30</f>
        <v>-1</v>
      </c>
      <c r="E31" s="208">
        <f t="shared" si="7"/>
        <v>0</v>
      </c>
      <c r="F31" s="208">
        <f t="shared" si="7"/>
        <v>0</v>
      </c>
      <c r="G31" s="208">
        <f t="shared" si="7"/>
        <v>0</v>
      </c>
      <c r="H31" s="208">
        <f t="shared" si="7"/>
        <v>0</v>
      </c>
      <c r="I31" s="208">
        <f t="shared" si="7"/>
        <v>0</v>
      </c>
      <c r="J31" s="208">
        <f t="shared" si="7"/>
        <v>0</v>
      </c>
      <c r="K31" s="208">
        <f t="shared" si="7"/>
        <v>0</v>
      </c>
      <c r="L31" s="208">
        <f t="shared" si="7"/>
        <v>0</v>
      </c>
      <c r="M31" s="208">
        <f t="shared" si="7"/>
        <v>0</v>
      </c>
      <c r="N31" s="208">
        <f t="shared" si="7"/>
        <v>0</v>
      </c>
      <c r="O31" s="209">
        <f>SUM(C31:N31)</f>
        <v>-1</v>
      </c>
    </row>
    <row r="32" spans="2:15" ht="12.75">
      <c r="B32" s="202" t="s">
        <v>184</v>
      </c>
      <c r="C32" s="208">
        <f>'Purchased Power Model'!$S$22</f>
        <v>2690743.8037316203</v>
      </c>
      <c r="D32" s="208">
        <f>'Purchased Power Model'!$S$22</f>
        <v>2690743.8037316203</v>
      </c>
      <c r="E32" s="208">
        <f>'Purchased Power Model'!$S$22</f>
        <v>2690743.8037316203</v>
      </c>
      <c r="F32" s="208">
        <f>'Purchased Power Model'!$S$22</f>
        <v>2690743.8037316203</v>
      </c>
      <c r="G32" s="208">
        <f>'Purchased Power Model'!$S$22</f>
        <v>2690743.8037316203</v>
      </c>
      <c r="H32" s="208">
        <f>'Purchased Power Model'!$S$22</f>
        <v>2690743.8037316203</v>
      </c>
      <c r="I32" s="208">
        <f>'Purchased Power Model'!$S$22</f>
        <v>2690743.8037316203</v>
      </c>
      <c r="J32" s="208">
        <f>'Purchased Power Model'!$S$22</f>
        <v>2690743.8037316203</v>
      </c>
      <c r="K32" s="208">
        <f>'Purchased Power Model'!$S$22</f>
        <v>2690743.8037316203</v>
      </c>
      <c r="L32" s="208">
        <f>'Purchased Power Model'!$S$22</f>
        <v>2690743.8037316203</v>
      </c>
      <c r="M32" s="208">
        <f>'Purchased Power Model'!$S$22</f>
        <v>2690743.8037316203</v>
      </c>
      <c r="N32" s="208">
        <f>'Purchased Power Model'!$S$22</f>
        <v>2690743.8037316203</v>
      </c>
      <c r="O32" s="209"/>
    </row>
    <row r="33" spans="2:15" ht="12.75">
      <c r="B33" s="202" t="s">
        <v>177</v>
      </c>
      <c r="C33" s="203">
        <f>C31*C32</f>
        <v>0</v>
      </c>
      <c r="D33" s="203">
        <f aca="true" t="shared" si="8" ref="D33:N33">D31*D32</f>
        <v>-2690743.8037316203</v>
      </c>
      <c r="E33" s="203">
        <f t="shared" si="8"/>
        <v>0</v>
      </c>
      <c r="F33" s="203">
        <f t="shared" si="8"/>
        <v>0</v>
      </c>
      <c r="G33" s="203">
        <f t="shared" si="8"/>
        <v>0</v>
      </c>
      <c r="H33" s="203">
        <f t="shared" si="8"/>
        <v>0</v>
      </c>
      <c r="I33" s="203">
        <f t="shared" si="8"/>
        <v>0</v>
      </c>
      <c r="J33" s="203">
        <f t="shared" si="8"/>
        <v>0</v>
      </c>
      <c r="K33" s="203">
        <f t="shared" si="8"/>
        <v>0</v>
      </c>
      <c r="L33" s="203">
        <f t="shared" si="8"/>
        <v>0</v>
      </c>
      <c r="M33" s="203">
        <f t="shared" si="8"/>
        <v>0</v>
      </c>
      <c r="N33" s="203">
        <f t="shared" si="8"/>
        <v>0</v>
      </c>
      <c r="O33" s="207">
        <f>SUM(C33:N33)</f>
        <v>-2690743.8037316203</v>
      </c>
    </row>
    <row r="34" spans="2:15" ht="12.75">
      <c r="B34" s="5"/>
      <c r="C34" s="26"/>
      <c r="D34" s="26"/>
      <c r="E34" s="57"/>
      <c r="F34" s="57"/>
      <c r="G34" s="35"/>
      <c r="H34" s="1"/>
      <c r="I34" s="1"/>
      <c r="J34" s="1"/>
      <c r="K34" s="1"/>
      <c r="L34" s="1"/>
      <c r="M34" s="1"/>
      <c r="N34" s="1"/>
      <c r="O34" s="1"/>
    </row>
    <row r="35" spans="2:15" ht="12.75">
      <c r="B35" s="5"/>
      <c r="C35" s="26"/>
      <c r="D35" s="26"/>
      <c r="E35" s="57"/>
      <c r="F35" s="57"/>
      <c r="G35" s="35"/>
      <c r="H35" s="1"/>
      <c r="I35" s="1"/>
      <c r="J35" s="1"/>
      <c r="K35" s="1"/>
      <c r="L35" s="1"/>
      <c r="M35" s="1"/>
      <c r="N35" s="1"/>
      <c r="O35" s="1"/>
    </row>
    <row r="36" spans="1:15" ht="12.75">
      <c r="A36" s="199" t="s">
        <v>181</v>
      </c>
      <c r="B36" s="202" t="s">
        <v>214</v>
      </c>
      <c r="C36" s="26">
        <f>'Purchased Power Model'!J$303</f>
        <v>6834364.660283902</v>
      </c>
      <c r="D36" s="26">
        <f>'Purchased Power Model'!J$304</f>
        <v>6799326.6895163255</v>
      </c>
      <c r="E36" s="26">
        <f>'Purchased Power Model'!J$305</f>
        <v>6764288.718748749</v>
      </c>
      <c r="F36" s="26">
        <f>'Purchased Power Model'!J$306</f>
        <v>6729250.747981173</v>
      </c>
      <c r="G36" s="26">
        <f>'Purchased Power Model'!J$307</f>
        <v>6694212.777213597</v>
      </c>
      <c r="H36" s="26">
        <f>'Purchased Power Model'!J$308</f>
        <v>6659174.8064460205</v>
      </c>
      <c r="I36" s="26">
        <f>'Purchased Power Model'!J$309</f>
        <v>6624136.835678444</v>
      </c>
      <c r="J36" s="26">
        <f>'Purchased Power Model'!J$310</f>
        <v>6589098.864910868</v>
      </c>
      <c r="K36" s="26">
        <f>'Purchased Power Model'!J$311</f>
        <v>6554060.894143292</v>
      </c>
      <c r="L36" s="26">
        <f>'Purchased Power Model'!J$312</f>
        <v>6519022.9233757155</v>
      </c>
      <c r="M36" s="26">
        <f>'Purchased Power Model'!J$313</f>
        <v>6483984.952608139</v>
      </c>
      <c r="N36" s="26">
        <f>'Purchased Power Model'!J$314</f>
        <v>6448946.981840563</v>
      </c>
      <c r="O36" s="209">
        <f>SUM(C36:N36)</f>
        <v>79699869.8527468</v>
      </c>
    </row>
    <row r="37" spans="2:15" ht="12.75">
      <c r="B37" s="202" t="s">
        <v>215</v>
      </c>
      <c r="C37" s="26">
        <f>'Purchased Power Model'!J$291</f>
        <v>7005871.603174502</v>
      </c>
      <c r="D37" s="26">
        <f>'Purchased Power Model'!J$292</f>
        <v>6993465.3329815</v>
      </c>
      <c r="E37" s="26">
        <f>'Purchased Power Model'!J$293</f>
        <v>6981059.062788498</v>
      </c>
      <c r="F37" s="26">
        <f>'Purchased Power Model'!J$294</f>
        <v>6968652.7925954955</v>
      </c>
      <c r="G37" s="26">
        <f>'Purchased Power Model'!J$295</f>
        <v>6956246.522402493</v>
      </c>
      <c r="H37" s="26">
        <f>'Purchased Power Model'!J$296</f>
        <v>6943840.252209491</v>
      </c>
      <c r="I37" s="26">
        <f>'Purchased Power Model'!J$297</f>
        <v>6931433.982016489</v>
      </c>
      <c r="J37" s="26">
        <f>'Purchased Power Model'!J$298</f>
        <v>6919027.711823487</v>
      </c>
      <c r="K37" s="26">
        <f>'Purchased Power Model'!J$299</f>
        <v>6906621.441630485</v>
      </c>
      <c r="L37" s="26">
        <f>'Purchased Power Model'!J$300</f>
        <v>6894215.171437482</v>
      </c>
      <c r="M37" s="26">
        <f>'Purchased Power Model'!J$301</f>
        <v>6881808.90124448</v>
      </c>
      <c r="N37" s="26">
        <f>'Purchased Power Model'!J$302</f>
        <v>6869402.631051478</v>
      </c>
      <c r="O37" s="209">
        <f>SUM(C37:N37)</f>
        <v>83251645.40535587</v>
      </c>
    </row>
    <row r="38" spans="2:15" ht="12.75">
      <c r="B38" s="202" t="s">
        <v>45</v>
      </c>
      <c r="C38" s="208">
        <f>C36-C37</f>
        <v>-171506.9428906003</v>
      </c>
      <c r="D38" s="208">
        <f aca="true" t="shared" si="9" ref="D38:N38">D36-D37</f>
        <v>-194138.64346517436</v>
      </c>
      <c r="E38" s="208">
        <f t="shared" si="9"/>
        <v>-216770.34403974842</v>
      </c>
      <c r="F38" s="208">
        <f t="shared" si="9"/>
        <v>-239402.04461432248</v>
      </c>
      <c r="G38" s="208">
        <f t="shared" si="9"/>
        <v>-262033.74518889654</v>
      </c>
      <c r="H38" s="208">
        <f t="shared" si="9"/>
        <v>-284665.4457634706</v>
      </c>
      <c r="I38" s="208">
        <f t="shared" si="9"/>
        <v>-307297.14633804467</v>
      </c>
      <c r="J38" s="208">
        <f t="shared" si="9"/>
        <v>-329928.8469126187</v>
      </c>
      <c r="K38" s="208">
        <f t="shared" si="9"/>
        <v>-352560.5474871928</v>
      </c>
      <c r="L38" s="208">
        <f t="shared" si="9"/>
        <v>-375192.24806176685</v>
      </c>
      <c r="M38" s="208">
        <f t="shared" si="9"/>
        <v>-397823.9486363409</v>
      </c>
      <c r="N38" s="208">
        <f t="shared" si="9"/>
        <v>-420455.64921091497</v>
      </c>
      <c r="O38" s="209">
        <f>SUM(C38:N38)</f>
        <v>-3551775.5526090916</v>
      </c>
    </row>
    <row r="39" spans="2:15" ht="12.75">
      <c r="B39" s="202" t="s">
        <v>184</v>
      </c>
      <c r="C39" s="208">
        <f>'Purchased Power Model'!$S$23</f>
        <v>-4.1411728976966415</v>
      </c>
      <c r="D39" s="208">
        <f>'Purchased Power Model'!$S$23</f>
        <v>-4.1411728976966415</v>
      </c>
      <c r="E39" s="208">
        <f>'Purchased Power Model'!$S$23</f>
        <v>-4.1411728976966415</v>
      </c>
      <c r="F39" s="208">
        <f>'Purchased Power Model'!$S$23</f>
        <v>-4.1411728976966415</v>
      </c>
      <c r="G39" s="208">
        <f>'Purchased Power Model'!$S$23</f>
        <v>-4.1411728976966415</v>
      </c>
      <c r="H39" s="208">
        <f>'Purchased Power Model'!$S$23</f>
        <v>-4.1411728976966415</v>
      </c>
      <c r="I39" s="208">
        <f>'Purchased Power Model'!$S$23</f>
        <v>-4.1411728976966415</v>
      </c>
      <c r="J39" s="208">
        <f>'Purchased Power Model'!$S$23</f>
        <v>-4.1411728976966415</v>
      </c>
      <c r="K39" s="208">
        <f>'Purchased Power Model'!$S$23</f>
        <v>-4.1411728976966415</v>
      </c>
      <c r="L39" s="208">
        <f>'Purchased Power Model'!$S$23</f>
        <v>-4.1411728976966415</v>
      </c>
      <c r="M39" s="208">
        <f>'Purchased Power Model'!$S$23</f>
        <v>-4.1411728976966415</v>
      </c>
      <c r="N39" s="208">
        <f>'Purchased Power Model'!$S$23</f>
        <v>-4.1411728976966415</v>
      </c>
      <c r="O39" s="209"/>
    </row>
    <row r="40" spans="2:15" ht="12.75">
      <c r="B40" s="202" t="s">
        <v>177</v>
      </c>
      <c r="C40" s="203">
        <f>C38*C39</f>
        <v>710239.9036653597</v>
      </c>
      <c r="D40" s="203">
        <f aca="true" t="shared" si="10" ref="D40:N40">D38*D39</f>
        <v>803961.6887135713</v>
      </c>
      <c r="E40" s="203">
        <f t="shared" si="10"/>
        <v>897683.4737617829</v>
      </c>
      <c r="F40" s="203">
        <f t="shared" si="10"/>
        <v>991405.2588099944</v>
      </c>
      <c r="G40" s="203">
        <f t="shared" si="10"/>
        <v>1085127.0438582061</v>
      </c>
      <c r="H40" s="203">
        <f t="shared" si="10"/>
        <v>1178848.8289064178</v>
      </c>
      <c r="I40" s="203">
        <f t="shared" si="10"/>
        <v>1272570.6139546293</v>
      </c>
      <c r="J40" s="203">
        <f t="shared" si="10"/>
        <v>1366292.399002841</v>
      </c>
      <c r="K40" s="203">
        <f t="shared" si="10"/>
        <v>1460014.1840510524</v>
      </c>
      <c r="L40" s="203">
        <f t="shared" si="10"/>
        <v>1553735.9690992641</v>
      </c>
      <c r="M40" s="203">
        <f t="shared" si="10"/>
        <v>1647457.7541474758</v>
      </c>
      <c r="N40" s="203">
        <f t="shared" si="10"/>
        <v>1741179.5391956873</v>
      </c>
      <c r="O40" s="207">
        <f>SUM(C40:N40)</f>
        <v>14708516.657166282</v>
      </c>
    </row>
    <row r="41" spans="2:15" ht="12.75">
      <c r="B41" s="5"/>
      <c r="C41" s="26"/>
      <c r="D41" s="26"/>
      <c r="E41" s="57"/>
      <c r="F41" s="57"/>
      <c r="G41" s="35"/>
      <c r="H41" s="1"/>
      <c r="I41" s="1"/>
      <c r="J41" s="1"/>
      <c r="K41" s="1"/>
      <c r="L41" s="1"/>
      <c r="M41" s="1"/>
      <c r="N41" s="1"/>
      <c r="O41" s="1"/>
    </row>
    <row r="42" spans="2:15" ht="12.75">
      <c r="B42" s="5"/>
      <c r="C42" s="26"/>
      <c r="D42" s="26"/>
      <c r="E42" s="57"/>
      <c r="F42" s="57"/>
      <c r="G42" s="35"/>
      <c r="H42" s="1"/>
      <c r="I42" s="1"/>
      <c r="J42" s="1"/>
      <c r="K42" s="1"/>
      <c r="L42" s="1"/>
      <c r="M42" s="1"/>
      <c r="N42" s="1"/>
      <c r="O42" s="1"/>
    </row>
    <row r="43" spans="1:15" ht="12.75">
      <c r="A43" s="199" t="s">
        <v>182</v>
      </c>
      <c r="B43" s="202" t="s">
        <v>214</v>
      </c>
      <c r="C43" s="26">
        <f>'Purchased Power Model'!K$303</f>
        <v>0</v>
      </c>
      <c r="D43" s="26">
        <f>'Purchased Power Model'!K$304</f>
        <v>0</v>
      </c>
      <c r="E43" s="26">
        <f>'Purchased Power Model'!K$305</f>
        <v>1</v>
      </c>
      <c r="F43" s="26">
        <f>'Purchased Power Model'!K$306</f>
        <v>1</v>
      </c>
      <c r="G43" s="26">
        <f>'Purchased Power Model'!K$307</f>
        <v>1</v>
      </c>
      <c r="H43" s="26">
        <f>'Purchased Power Model'!K$308</f>
        <v>0</v>
      </c>
      <c r="I43" s="26">
        <f>'Purchased Power Model'!K$309</f>
        <v>0</v>
      </c>
      <c r="J43" s="26">
        <f>'Purchased Power Model'!K$310</f>
        <v>0</v>
      </c>
      <c r="K43" s="26">
        <f>'Purchased Power Model'!K$311</f>
        <v>1</v>
      </c>
      <c r="L43" s="26">
        <f>'Purchased Power Model'!K$312</f>
        <v>1</v>
      </c>
      <c r="M43" s="26">
        <f>'Purchased Power Model'!K$313</f>
        <v>1</v>
      </c>
      <c r="N43" s="26">
        <f>'Purchased Power Model'!K$314</f>
        <v>0</v>
      </c>
      <c r="O43" s="209">
        <f>SUM(C43:N43)</f>
        <v>6</v>
      </c>
    </row>
    <row r="44" spans="2:15" ht="12.75">
      <c r="B44" s="202" t="s">
        <v>215</v>
      </c>
      <c r="C44" s="26">
        <f>'Purchased Power Model'!K$291</f>
        <v>0</v>
      </c>
      <c r="D44" s="26">
        <f>'Purchased Power Model'!K$292</f>
        <v>0</v>
      </c>
      <c r="E44" s="26">
        <f>'Purchased Power Model'!K$293</f>
        <v>1</v>
      </c>
      <c r="F44" s="26">
        <f>'Purchased Power Model'!K$294</f>
        <v>1</v>
      </c>
      <c r="G44" s="26">
        <f>'Purchased Power Model'!K$295</f>
        <v>1</v>
      </c>
      <c r="H44" s="26">
        <f>'Purchased Power Model'!K$296</f>
        <v>0</v>
      </c>
      <c r="I44" s="26">
        <f>'Purchased Power Model'!K$297</f>
        <v>0</v>
      </c>
      <c r="J44" s="26">
        <f>'Purchased Power Model'!K$298</f>
        <v>0</v>
      </c>
      <c r="K44" s="26">
        <f>'Purchased Power Model'!K$299</f>
        <v>1</v>
      </c>
      <c r="L44" s="26">
        <f>'Purchased Power Model'!K$300</f>
        <v>1</v>
      </c>
      <c r="M44" s="26">
        <f>'Purchased Power Model'!K$301</f>
        <v>1</v>
      </c>
      <c r="N44" s="26">
        <f>'Purchased Power Model'!K$302</f>
        <v>0</v>
      </c>
      <c r="O44" s="209">
        <f>SUM(C44:N44)</f>
        <v>6</v>
      </c>
    </row>
    <row r="45" spans="2:15" ht="12.75">
      <c r="B45" s="202" t="s">
        <v>45</v>
      </c>
      <c r="C45" s="208">
        <f>C43-C44</f>
        <v>0</v>
      </c>
      <c r="D45" s="208">
        <f aca="true" t="shared" si="11" ref="D45:N45">D43-D44</f>
        <v>0</v>
      </c>
      <c r="E45" s="208">
        <f t="shared" si="11"/>
        <v>0</v>
      </c>
      <c r="F45" s="208">
        <f t="shared" si="11"/>
        <v>0</v>
      </c>
      <c r="G45" s="208">
        <f t="shared" si="11"/>
        <v>0</v>
      </c>
      <c r="H45" s="208">
        <f t="shared" si="11"/>
        <v>0</v>
      </c>
      <c r="I45" s="208">
        <f t="shared" si="11"/>
        <v>0</v>
      </c>
      <c r="J45" s="208">
        <f t="shared" si="11"/>
        <v>0</v>
      </c>
      <c r="K45" s="208">
        <f t="shared" si="11"/>
        <v>0</v>
      </c>
      <c r="L45" s="208">
        <f t="shared" si="11"/>
        <v>0</v>
      </c>
      <c r="M45" s="208">
        <f t="shared" si="11"/>
        <v>0</v>
      </c>
      <c r="N45" s="208">
        <f t="shared" si="11"/>
        <v>0</v>
      </c>
      <c r="O45" s="209">
        <f>SUM(C45:N45)</f>
        <v>0</v>
      </c>
    </row>
    <row r="46" spans="2:15" ht="12.75">
      <c r="B46" s="202" t="s">
        <v>184</v>
      </c>
      <c r="C46" s="208">
        <f>'Purchased Power Model'!$S$24</f>
        <v>-4889807.937620778</v>
      </c>
      <c r="D46" s="208">
        <f>'Purchased Power Model'!$S$24</f>
        <v>-4889807.937620778</v>
      </c>
      <c r="E46" s="208">
        <f>'Purchased Power Model'!$S$24</f>
        <v>-4889807.937620778</v>
      </c>
      <c r="F46" s="208">
        <f>'Purchased Power Model'!$S$24</f>
        <v>-4889807.937620778</v>
      </c>
      <c r="G46" s="208">
        <f>'Purchased Power Model'!$S$24</f>
        <v>-4889807.937620778</v>
      </c>
      <c r="H46" s="208">
        <f>'Purchased Power Model'!$S$24</f>
        <v>-4889807.937620778</v>
      </c>
      <c r="I46" s="208">
        <f>'Purchased Power Model'!$S$24</f>
        <v>-4889807.937620778</v>
      </c>
      <c r="J46" s="208">
        <f>'Purchased Power Model'!$S$24</f>
        <v>-4889807.937620778</v>
      </c>
      <c r="K46" s="208">
        <f>'Purchased Power Model'!$S$24</f>
        <v>-4889807.937620778</v>
      </c>
      <c r="L46" s="208">
        <f>'Purchased Power Model'!$S$24</f>
        <v>-4889807.937620778</v>
      </c>
      <c r="M46" s="208">
        <f>'Purchased Power Model'!$S$24</f>
        <v>-4889807.937620778</v>
      </c>
      <c r="N46" s="208">
        <f>'Purchased Power Model'!$S$24</f>
        <v>-4889807.937620778</v>
      </c>
      <c r="O46" s="209"/>
    </row>
    <row r="47" spans="2:15" ht="12.75">
      <c r="B47" s="202" t="s">
        <v>177</v>
      </c>
      <c r="C47" s="203">
        <f>C45*C46</f>
        <v>0</v>
      </c>
      <c r="D47" s="203">
        <f aca="true" t="shared" si="12" ref="D47:N47">D45*D46</f>
        <v>0</v>
      </c>
      <c r="E47" s="203">
        <f t="shared" si="12"/>
        <v>0</v>
      </c>
      <c r="F47" s="203">
        <f t="shared" si="12"/>
        <v>0</v>
      </c>
      <c r="G47" s="203">
        <f t="shared" si="12"/>
        <v>0</v>
      </c>
      <c r="H47" s="203">
        <f t="shared" si="12"/>
        <v>0</v>
      </c>
      <c r="I47" s="203">
        <f t="shared" si="12"/>
        <v>0</v>
      </c>
      <c r="J47" s="203">
        <f t="shared" si="12"/>
        <v>0</v>
      </c>
      <c r="K47" s="203">
        <f t="shared" si="12"/>
        <v>0</v>
      </c>
      <c r="L47" s="203">
        <f t="shared" si="12"/>
        <v>0</v>
      </c>
      <c r="M47" s="203">
        <f t="shared" si="12"/>
        <v>0</v>
      </c>
      <c r="N47" s="203">
        <f t="shared" si="12"/>
        <v>0</v>
      </c>
      <c r="O47" s="207">
        <f>SUM(C47:N47)</f>
        <v>0</v>
      </c>
    </row>
    <row r="48" spans="2:15" ht="12.75">
      <c r="B48" s="5"/>
      <c r="C48" s="26"/>
      <c r="D48" s="26"/>
      <c r="E48" s="57"/>
      <c r="F48" s="57"/>
      <c r="G48" s="35"/>
      <c r="H48" s="1"/>
      <c r="I48" s="1"/>
      <c r="J48" s="1"/>
      <c r="K48" s="1"/>
      <c r="L48" s="1"/>
      <c r="M48" s="1"/>
      <c r="N48" s="1"/>
      <c r="O48" s="1"/>
    </row>
    <row r="49" spans="2:15" ht="12.75">
      <c r="B49" s="5"/>
      <c r="C49" s="26"/>
      <c r="D49" s="26"/>
      <c r="E49" s="57"/>
      <c r="F49" s="57"/>
      <c r="G49" s="35"/>
      <c r="H49" s="1"/>
      <c r="I49" s="1"/>
      <c r="J49" s="1"/>
      <c r="K49" s="1"/>
      <c r="L49" s="1"/>
      <c r="M49" s="1"/>
      <c r="N49" s="1"/>
      <c r="O49" s="1"/>
    </row>
    <row r="50" spans="1:15" ht="12.75">
      <c r="A50" s="199" t="s">
        <v>21</v>
      </c>
      <c r="B50" s="202" t="s">
        <v>214</v>
      </c>
      <c r="C50" s="26">
        <f>'Purchased Power Model'!L$303</f>
        <v>149986.56274520658</v>
      </c>
      <c r="D50" s="26">
        <f>'Purchased Power Model'!L$304</f>
        <v>150119.5946379659</v>
      </c>
      <c r="E50" s="26">
        <f>'Purchased Power Model'!L$305</f>
        <v>150252.62653072522</v>
      </c>
      <c r="F50" s="26">
        <f>'Purchased Power Model'!L$306</f>
        <v>150385.65842348454</v>
      </c>
      <c r="G50" s="26">
        <f>'Purchased Power Model'!L$307</f>
        <v>150518.69031624385</v>
      </c>
      <c r="H50" s="26">
        <f>'Purchased Power Model'!L$308</f>
        <v>150651.72220900317</v>
      </c>
      <c r="I50" s="26">
        <f>'Purchased Power Model'!L$309</f>
        <v>150784.7541017625</v>
      </c>
      <c r="J50" s="26">
        <f>'Purchased Power Model'!L$310</f>
        <v>150917.7859945218</v>
      </c>
      <c r="K50" s="26">
        <f>'Purchased Power Model'!L$311</f>
        <v>151050.81788728113</v>
      </c>
      <c r="L50" s="26">
        <f>'Purchased Power Model'!L$312</f>
        <v>151183.84978004044</v>
      </c>
      <c r="M50" s="26">
        <f>'Purchased Power Model'!L$313</f>
        <v>151316.88167279976</v>
      </c>
      <c r="N50" s="26">
        <f>'Purchased Power Model'!L$314</f>
        <v>151449.91356555914</v>
      </c>
      <c r="O50" s="209">
        <f>SUM(C50:N50)</f>
        <v>1808618.857864594</v>
      </c>
    </row>
    <row r="51" spans="2:15" ht="12.75">
      <c r="B51" s="202" t="s">
        <v>215</v>
      </c>
      <c r="C51" s="26">
        <f>'Purchased Power Model'!L$291</f>
        <v>148390.18003209477</v>
      </c>
      <c r="D51" s="26">
        <f>'Purchased Power Model'!L$292</f>
        <v>148523.21192485408</v>
      </c>
      <c r="E51" s="26">
        <f>'Purchased Power Model'!L$293</f>
        <v>148656.2438176134</v>
      </c>
      <c r="F51" s="26">
        <f>'Purchased Power Model'!L$294</f>
        <v>148789.27571037272</v>
      </c>
      <c r="G51" s="26">
        <f>'Purchased Power Model'!L$295</f>
        <v>148922.30760313204</v>
      </c>
      <c r="H51" s="26">
        <f>'Purchased Power Model'!L$296</f>
        <v>149055.33949589136</v>
      </c>
      <c r="I51" s="26">
        <f>'Purchased Power Model'!L$297</f>
        <v>149188.37138865067</v>
      </c>
      <c r="J51" s="26">
        <f>'Purchased Power Model'!L$298</f>
        <v>149321.40328141</v>
      </c>
      <c r="K51" s="26">
        <f>'Purchased Power Model'!L$299</f>
        <v>149454.4351741693</v>
      </c>
      <c r="L51" s="26">
        <f>'Purchased Power Model'!L$300</f>
        <v>149587.46706692863</v>
      </c>
      <c r="M51" s="26">
        <f>'Purchased Power Model'!L$301</f>
        <v>149720.49895968795</v>
      </c>
      <c r="N51" s="26">
        <f>'Purchased Power Model'!L$302</f>
        <v>149853.53085244726</v>
      </c>
      <c r="O51" s="209">
        <f>SUM(C51:N51)</f>
        <v>1789462.2653072523</v>
      </c>
    </row>
    <row r="52" spans="2:15" ht="12.75">
      <c r="B52" s="202" t="s">
        <v>45</v>
      </c>
      <c r="C52" s="208">
        <f>C50-C51</f>
        <v>1596.382713111816</v>
      </c>
      <c r="D52" s="208">
        <f aca="true" t="shared" si="13" ref="D52:N52">D50-D51</f>
        <v>1596.382713111816</v>
      </c>
      <c r="E52" s="208">
        <f t="shared" si="13"/>
        <v>1596.382713111816</v>
      </c>
      <c r="F52" s="208">
        <f t="shared" si="13"/>
        <v>1596.382713111816</v>
      </c>
      <c r="G52" s="208">
        <f t="shared" si="13"/>
        <v>1596.382713111816</v>
      </c>
      <c r="H52" s="208">
        <f t="shared" si="13"/>
        <v>1596.382713111816</v>
      </c>
      <c r="I52" s="208">
        <f t="shared" si="13"/>
        <v>1596.382713111816</v>
      </c>
      <c r="J52" s="208">
        <f t="shared" si="13"/>
        <v>1596.382713111816</v>
      </c>
      <c r="K52" s="208">
        <f t="shared" si="13"/>
        <v>1596.382713111816</v>
      </c>
      <c r="L52" s="208">
        <f t="shared" si="13"/>
        <v>1596.382713111816</v>
      </c>
      <c r="M52" s="208">
        <f t="shared" si="13"/>
        <v>1596.382713111816</v>
      </c>
      <c r="N52" s="208">
        <f t="shared" si="13"/>
        <v>1596.3827131118742</v>
      </c>
      <c r="O52" s="209">
        <f>SUM(C52:N52)</f>
        <v>19156.59255734185</v>
      </c>
    </row>
    <row r="53" spans="2:15" ht="12.75">
      <c r="B53" s="202" t="s">
        <v>184</v>
      </c>
      <c r="C53" s="208">
        <f>'Purchased Power Model'!$S$25</f>
        <v>936.6319229152956</v>
      </c>
      <c r="D53" s="208">
        <f>'Purchased Power Model'!$S$25</f>
        <v>936.6319229152956</v>
      </c>
      <c r="E53" s="208">
        <f>'Purchased Power Model'!$S$25</f>
        <v>936.6319229152956</v>
      </c>
      <c r="F53" s="208">
        <f>'Purchased Power Model'!$S$25</f>
        <v>936.6319229152956</v>
      </c>
      <c r="G53" s="208">
        <f>'Purchased Power Model'!$S$25</f>
        <v>936.6319229152956</v>
      </c>
      <c r="H53" s="208">
        <f>'Purchased Power Model'!$S$25</f>
        <v>936.6319229152956</v>
      </c>
      <c r="I53" s="208">
        <f>'Purchased Power Model'!$S$25</f>
        <v>936.6319229152956</v>
      </c>
      <c r="J53" s="208">
        <f>'Purchased Power Model'!$S$25</f>
        <v>936.6319229152956</v>
      </c>
      <c r="K53" s="208">
        <f>'Purchased Power Model'!$S$25</f>
        <v>936.6319229152956</v>
      </c>
      <c r="L53" s="208">
        <f>'Purchased Power Model'!$S$25</f>
        <v>936.6319229152956</v>
      </c>
      <c r="M53" s="208">
        <f>'Purchased Power Model'!$S$25</f>
        <v>936.6319229152956</v>
      </c>
      <c r="N53" s="208">
        <f>'Purchased Power Model'!$S$25</f>
        <v>936.6319229152956</v>
      </c>
      <c r="O53" s="209"/>
    </row>
    <row r="54" spans="2:15" ht="12.75">
      <c r="B54" s="202" t="s">
        <v>177</v>
      </c>
      <c r="C54" s="203">
        <f>C52*C53</f>
        <v>1495223.010290657</v>
      </c>
      <c r="D54" s="203">
        <f aca="true" t="shared" si="14" ref="D54:N54">D52*D53</f>
        <v>1495223.010290657</v>
      </c>
      <c r="E54" s="203">
        <f t="shared" si="14"/>
        <v>1495223.010290657</v>
      </c>
      <c r="F54" s="203">
        <f t="shared" si="14"/>
        <v>1495223.010290657</v>
      </c>
      <c r="G54" s="203">
        <f t="shared" si="14"/>
        <v>1495223.010290657</v>
      </c>
      <c r="H54" s="203">
        <f t="shared" si="14"/>
        <v>1495223.010290657</v>
      </c>
      <c r="I54" s="203">
        <f t="shared" si="14"/>
        <v>1495223.010290657</v>
      </c>
      <c r="J54" s="203">
        <f t="shared" si="14"/>
        <v>1495223.010290657</v>
      </c>
      <c r="K54" s="203">
        <f t="shared" si="14"/>
        <v>1495223.010290657</v>
      </c>
      <c r="L54" s="203">
        <f t="shared" si="14"/>
        <v>1495223.010290657</v>
      </c>
      <c r="M54" s="203">
        <f t="shared" si="14"/>
        <v>1495223.010290657</v>
      </c>
      <c r="N54" s="203">
        <f t="shared" si="14"/>
        <v>1495223.0102907114</v>
      </c>
      <c r="O54" s="207">
        <f>SUM(C54:N54)</f>
        <v>17942676.123487934</v>
      </c>
    </row>
    <row r="55" spans="2:15" ht="12.75">
      <c r="B55" s="5"/>
      <c r="C55" s="26"/>
      <c r="D55" s="26"/>
      <c r="E55" s="57"/>
      <c r="F55" s="57"/>
      <c r="G55" s="35"/>
      <c r="H55" s="1"/>
      <c r="I55" s="1"/>
      <c r="J55" s="1"/>
      <c r="K55" s="1"/>
      <c r="L55" s="1"/>
      <c r="M55" s="1"/>
      <c r="N55" s="1"/>
      <c r="O55" s="1"/>
    </row>
    <row r="56" spans="2:15" ht="12.75">
      <c r="B56" s="5"/>
      <c r="C56" s="26"/>
      <c r="D56" s="26"/>
      <c r="E56" s="57"/>
      <c r="F56" s="57"/>
      <c r="G56" s="35"/>
      <c r="H56" s="1"/>
      <c r="I56" s="1"/>
      <c r="J56" s="1"/>
      <c r="K56" s="1"/>
      <c r="L56" s="1"/>
      <c r="M56" s="1"/>
      <c r="N56" s="1"/>
      <c r="O56" s="1"/>
    </row>
    <row r="57" spans="1:15" ht="12.75">
      <c r="A57" s="199" t="s">
        <v>183</v>
      </c>
      <c r="B57" s="202" t="s">
        <v>214</v>
      </c>
      <c r="C57" s="26">
        <f>'Purchased Power Model'!M$303</f>
        <v>320</v>
      </c>
      <c r="D57" s="26">
        <f>'Purchased Power Model'!M$304</f>
        <v>304</v>
      </c>
      <c r="E57" s="26">
        <f>'Purchased Power Model'!M$305</f>
        <v>368</v>
      </c>
      <c r="F57" s="26">
        <f>'Purchased Power Model'!M$306</f>
        <v>336</v>
      </c>
      <c r="G57" s="26">
        <f>'Purchased Power Model'!M$307</f>
        <v>320</v>
      </c>
      <c r="H57" s="26">
        <f>'Purchased Power Model'!M$308</f>
        <v>352</v>
      </c>
      <c r="I57" s="26">
        <f>'Purchased Power Model'!M$309</f>
        <v>336</v>
      </c>
      <c r="J57" s="26">
        <f>'Purchased Power Model'!M$310</f>
        <v>336</v>
      </c>
      <c r="K57" s="26">
        <f>'Purchased Power Model'!M$311</f>
        <v>336</v>
      </c>
      <c r="L57" s="26">
        <f>'Purchased Power Model'!M$312</f>
        <v>320</v>
      </c>
      <c r="M57" s="26">
        <f>'Purchased Power Model'!M$313</f>
        <v>352</v>
      </c>
      <c r="N57" s="26">
        <f>'Purchased Power Model'!M$314</f>
        <v>336</v>
      </c>
      <c r="O57" s="209">
        <f>SUM(C57:N57)</f>
        <v>4016</v>
      </c>
    </row>
    <row r="58" spans="2:15" ht="12.75">
      <c r="B58" s="202" t="s">
        <v>215</v>
      </c>
      <c r="C58" s="26">
        <f>'Purchased Power Model'!M$291</f>
        <v>352</v>
      </c>
      <c r="D58" s="26">
        <f>'Purchased Power Model'!M$292</f>
        <v>304</v>
      </c>
      <c r="E58" s="26">
        <f>'Purchased Power Model'!M$293</f>
        <v>352</v>
      </c>
      <c r="F58" s="26">
        <f>'Purchased Power Model'!M$294</f>
        <v>336</v>
      </c>
      <c r="G58" s="26">
        <f>'Purchased Power Model'!M$295</f>
        <v>320</v>
      </c>
      <c r="H58" s="26">
        <f>'Purchased Power Model'!M$296</f>
        <v>352</v>
      </c>
      <c r="I58" s="26">
        <f>'Purchased Power Model'!M$297</f>
        <v>352</v>
      </c>
      <c r="J58" s="26">
        <f>'Purchased Power Model'!M$298</f>
        <v>320</v>
      </c>
      <c r="K58" s="26">
        <f>'Purchased Power Model'!M$299</f>
        <v>336</v>
      </c>
      <c r="L58" s="26">
        <f>'Purchased Power Model'!M$300</f>
        <v>336</v>
      </c>
      <c r="M58" s="26">
        <f>'Purchased Power Model'!M$301</f>
        <v>336</v>
      </c>
      <c r="N58" s="26">
        <f>'Purchased Power Model'!M$302</f>
        <v>336</v>
      </c>
      <c r="O58" s="209">
        <f>SUM(C58:N58)</f>
        <v>4032</v>
      </c>
    </row>
    <row r="59" spans="2:15" ht="12.75">
      <c r="B59" s="202" t="s">
        <v>45</v>
      </c>
      <c r="C59" s="208">
        <f>C57-C58</f>
        <v>-32</v>
      </c>
      <c r="D59" s="208">
        <f aca="true" t="shared" si="15" ref="D59:N59">D57-D58</f>
        <v>0</v>
      </c>
      <c r="E59" s="208">
        <f t="shared" si="15"/>
        <v>16</v>
      </c>
      <c r="F59" s="208">
        <f t="shared" si="15"/>
        <v>0</v>
      </c>
      <c r="G59" s="208">
        <f t="shared" si="15"/>
        <v>0</v>
      </c>
      <c r="H59" s="208">
        <f t="shared" si="15"/>
        <v>0</v>
      </c>
      <c r="I59" s="208">
        <f t="shared" si="15"/>
        <v>-16</v>
      </c>
      <c r="J59" s="208">
        <f t="shared" si="15"/>
        <v>16</v>
      </c>
      <c r="K59" s="208">
        <f t="shared" si="15"/>
        <v>0</v>
      </c>
      <c r="L59" s="208">
        <f t="shared" si="15"/>
        <v>-16</v>
      </c>
      <c r="M59" s="208">
        <f t="shared" si="15"/>
        <v>16</v>
      </c>
      <c r="N59" s="208">
        <f t="shared" si="15"/>
        <v>0</v>
      </c>
      <c r="O59" s="209">
        <f>SUM(C59:N59)</f>
        <v>-16</v>
      </c>
    </row>
    <row r="60" spans="2:15" ht="12.75">
      <c r="B60" s="202" t="s">
        <v>184</v>
      </c>
      <c r="C60" s="208">
        <f>'Purchased Power Model'!$S$26</f>
        <v>0</v>
      </c>
      <c r="D60" s="208">
        <f>'Purchased Power Model'!$S$26</f>
        <v>0</v>
      </c>
      <c r="E60" s="208">
        <f>'Purchased Power Model'!$S$26</f>
        <v>0</v>
      </c>
      <c r="F60" s="208">
        <f>'Purchased Power Model'!$S$26</f>
        <v>0</v>
      </c>
      <c r="G60" s="208">
        <f>'Purchased Power Model'!$S$26</f>
        <v>0</v>
      </c>
      <c r="H60" s="208">
        <f>'Purchased Power Model'!$S$26</f>
        <v>0</v>
      </c>
      <c r="I60" s="208">
        <f>'Purchased Power Model'!$S$26</f>
        <v>0</v>
      </c>
      <c r="J60" s="208">
        <f>'Purchased Power Model'!$S$26</f>
        <v>0</v>
      </c>
      <c r="K60" s="208">
        <f>'Purchased Power Model'!$S$26</f>
        <v>0</v>
      </c>
      <c r="L60" s="208">
        <f>'Purchased Power Model'!$S$26</f>
        <v>0</v>
      </c>
      <c r="M60" s="208">
        <f>'Purchased Power Model'!$S$26</f>
        <v>0</v>
      </c>
      <c r="N60" s="208">
        <f>'Purchased Power Model'!$S$26</f>
        <v>0</v>
      </c>
      <c r="O60" s="209"/>
    </row>
    <row r="61" spans="2:15" ht="12.75">
      <c r="B61" s="202" t="s">
        <v>177</v>
      </c>
      <c r="C61" s="203">
        <f>C59*C60</f>
        <v>0</v>
      </c>
      <c r="D61" s="203">
        <f aca="true" t="shared" si="16" ref="D61:N61">D59*D60</f>
        <v>0</v>
      </c>
      <c r="E61" s="203">
        <f t="shared" si="16"/>
        <v>0</v>
      </c>
      <c r="F61" s="203">
        <f t="shared" si="16"/>
        <v>0</v>
      </c>
      <c r="G61" s="203">
        <f t="shared" si="16"/>
        <v>0</v>
      </c>
      <c r="H61" s="203">
        <f t="shared" si="16"/>
        <v>0</v>
      </c>
      <c r="I61" s="203">
        <f t="shared" si="16"/>
        <v>0</v>
      </c>
      <c r="J61" s="203">
        <f t="shared" si="16"/>
        <v>0</v>
      </c>
      <c r="K61" s="203">
        <f t="shared" si="16"/>
        <v>0</v>
      </c>
      <c r="L61" s="203">
        <f t="shared" si="16"/>
        <v>0</v>
      </c>
      <c r="M61" s="203">
        <f t="shared" si="16"/>
        <v>0</v>
      </c>
      <c r="N61" s="203">
        <f t="shared" si="16"/>
        <v>0</v>
      </c>
      <c r="O61" s="207">
        <f>SUM(C61:N61)</f>
        <v>0</v>
      </c>
    </row>
    <row r="62" spans="2:15" ht="12.75">
      <c r="B62" s="5"/>
      <c r="C62" s="26"/>
      <c r="D62" s="26"/>
      <c r="E62" s="57"/>
      <c r="F62" s="57"/>
      <c r="G62" s="35"/>
      <c r="H62" s="1"/>
      <c r="I62" s="1"/>
      <c r="J62" s="1"/>
      <c r="K62" s="1"/>
      <c r="L62" s="1"/>
      <c r="M62" s="1"/>
      <c r="N62" s="1"/>
      <c r="O62" s="1"/>
    </row>
    <row r="63" spans="2:15" ht="12.75">
      <c r="B63" s="5"/>
      <c r="C63" s="26"/>
      <c r="D63" s="26"/>
      <c r="E63" s="57"/>
      <c r="F63" s="57"/>
      <c r="G63" s="35"/>
      <c r="H63" s="1"/>
      <c r="I63" s="1"/>
      <c r="J63" s="1"/>
      <c r="K63" s="1"/>
      <c r="L63" s="1"/>
      <c r="M63" s="1"/>
      <c r="N63" s="1"/>
      <c r="O63" s="1"/>
    </row>
    <row r="64" spans="2:15" ht="12.75">
      <c r="B64" s="5"/>
      <c r="C64" s="26"/>
      <c r="D64" s="26"/>
      <c r="E64" s="57"/>
      <c r="F64" s="57"/>
      <c r="G64" s="35"/>
      <c r="H64" s="1"/>
      <c r="I64" s="1"/>
      <c r="J64" s="1"/>
      <c r="K64" s="1"/>
      <c r="L64" s="1"/>
      <c r="M64" s="1"/>
      <c r="N64" s="1"/>
      <c r="O64" s="1"/>
    </row>
    <row r="65" spans="1:15" ht="12.75">
      <c r="A65" s="199" t="s">
        <v>185</v>
      </c>
      <c r="B65" s="5"/>
      <c r="C65" s="26">
        <f>C12+C19+C26+C33+C40+C47+C54+C61</f>
        <v>3396827.61846151</v>
      </c>
      <c r="D65" s="26">
        <f aca="true" t="shared" si="17" ref="D65:O65">D12+D19+D26+D33+D40+D47+D54+D61</f>
        <v>801391.9708892899</v>
      </c>
      <c r="E65" s="26">
        <f t="shared" si="17"/>
        <v>3587443.93078031</v>
      </c>
      <c r="F65" s="26">
        <f t="shared" si="17"/>
        <v>3682752.08693971</v>
      </c>
      <c r="G65" s="26">
        <f t="shared" si="17"/>
        <v>3778060.24309911</v>
      </c>
      <c r="H65" s="26">
        <f t="shared" si="17"/>
        <v>3873368.39925851</v>
      </c>
      <c r="I65" s="26">
        <f t="shared" si="17"/>
        <v>3968676.55541791</v>
      </c>
      <c r="J65" s="26">
        <f t="shared" si="17"/>
        <v>4063984.71157731</v>
      </c>
      <c r="K65" s="26">
        <f t="shared" si="17"/>
        <v>4159292.8677367102</v>
      </c>
      <c r="L65" s="26">
        <f t="shared" si="17"/>
        <v>4254601.02389611</v>
      </c>
      <c r="M65" s="26">
        <f t="shared" si="17"/>
        <v>4349909.18005551</v>
      </c>
      <c r="N65" s="26">
        <f t="shared" si="17"/>
        <v>4445217.336215015</v>
      </c>
      <c r="O65" s="26">
        <f t="shared" si="17"/>
        <v>44361525.924327</v>
      </c>
    </row>
    <row r="66" spans="2:15" ht="12.75">
      <c r="B66" s="5"/>
      <c r="C66" s="26"/>
      <c r="D66" s="26"/>
      <c r="E66" s="57"/>
      <c r="F66" s="57"/>
      <c r="G66" s="35"/>
      <c r="H66" s="1"/>
      <c r="I66" s="1"/>
      <c r="J66" s="1"/>
      <c r="K66" s="1"/>
      <c r="L66" s="1"/>
      <c r="M66" s="1"/>
      <c r="N66" s="1"/>
      <c r="O66" s="1"/>
    </row>
    <row r="67" spans="2:15" ht="12.75">
      <c r="B67" s="5"/>
      <c r="C67" s="26"/>
      <c r="D67" s="26"/>
      <c r="E67" s="57"/>
      <c r="F67" s="57"/>
      <c r="G67" s="35"/>
      <c r="H67" s="1"/>
      <c r="I67" s="1"/>
      <c r="J67" s="1"/>
      <c r="K67" s="1"/>
      <c r="L67" s="1"/>
      <c r="M67" s="1"/>
      <c r="N67" s="1"/>
      <c r="O67" s="1"/>
    </row>
    <row r="68" spans="2:15" ht="12.75">
      <c r="B68" s="5"/>
      <c r="C68" s="26"/>
      <c r="D68" s="26"/>
      <c r="E68" s="57"/>
      <c r="F68" s="57"/>
      <c r="G68" s="35"/>
      <c r="H68" s="1"/>
      <c r="I68" s="1"/>
      <c r="J68" s="1"/>
      <c r="K68" s="1"/>
      <c r="L68" s="1"/>
      <c r="M68" s="1"/>
      <c r="N68" s="1"/>
      <c r="O68" s="1"/>
    </row>
    <row r="69" spans="2:15" ht="12.75">
      <c r="B69" s="5"/>
      <c r="C69" s="26"/>
      <c r="D69" s="26"/>
      <c r="E69" s="57"/>
      <c r="F69" s="57"/>
      <c r="G69" s="35"/>
      <c r="H69" s="1"/>
      <c r="I69" s="1"/>
      <c r="J69" s="1"/>
      <c r="K69" s="1"/>
      <c r="L69" s="1"/>
      <c r="M69" s="1"/>
      <c r="N69" s="1"/>
      <c r="O69" s="1"/>
    </row>
    <row r="70" spans="2:15" ht="12.75">
      <c r="B70" s="5"/>
      <c r="C70" s="26"/>
      <c r="D70" s="26"/>
      <c r="E70" s="57"/>
      <c r="F70" s="57"/>
      <c r="G70" s="35"/>
      <c r="H70" s="1"/>
      <c r="I70" s="1"/>
      <c r="J70" s="1"/>
      <c r="K70" s="1"/>
      <c r="L70" s="1"/>
      <c r="M70" s="1"/>
      <c r="N70" s="1"/>
      <c r="O70" s="1"/>
    </row>
    <row r="71" spans="2:15" ht="12.75">
      <c r="B71" s="5"/>
      <c r="C71" s="26"/>
      <c r="D71" s="26"/>
      <c r="E71" s="57"/>
      <c r="F71" s="57"/>
      <c r="G71" s="35"/>
      <c r="H71" s="1"/>
      <c r="I71" s="1"/>
      <c r="J71" s="1"/>
      <c r="K71" s="1"/>
      <c r="L71" s="1"/>
      <c r="M71" s="1"/>
      <c r="N71" s="1"/>
      <c r="O71" s="1"/>
    </row>
    <row r="72" spans="2:15" ht="12.75">
      <c r="B72" s="5"/>
      <c r="C72" s="26"/>
      <c r="D72" s="26"/>
      <c r="E72" s="57"/>
      <c r="F72" s="57"/>
      <c r="G72" s="35"/>
      <c r="H72" s="1"/>
      <c r="I72" s="1"/>
      <c r="J72" s="1"/>
      <c r="K72" s="1"/>
      <c r="L72" s="1"/>
      <c r="M72" s="1"/>
      <c r="N72" s="1"/>
      <c r="O72" s="1"/>
    </row>
    <row r="73" spans="2:15" ht="12.75">
      <c r="B73" s="5"/>
      <c r="C73" s="26"/>
      <c r="D73" s="26"/>
      <c r="E73" s="57"/>
      <c r="F73" s="57"/>
      <c r="G73" s="35"/>
      <c r="H73" s="1"/>
      <c r="I73" s="1"/>
      <c r="J73" s="1"/>
      <c r="K73" s="1"/>
      <c r="L73" s="1"/>
      <c r="M73" s="1"/>
      <c r="N73" s="1"/>
      <c r="O73" s="1"/>
    </row>
    <row r="74" spans="2:15" ht="12.75">
      <c r="B74" s="5"/>
      <c r="C74" s="26"/>
      <c r="D74" s="26"/>
      <c r="E74" s="57"/>
      <c r="F74" s="57"/>
      <c r="G74" s="35"/>
      <c r="H74" s="1"/>
      <c r="I74" s="1"/>
      <c r="J74" s="1"/>
      <c r="K74" s="1"/>
      <c r="L74" s="1"/>
      <c r="M74" s="1"/>
      <c r="N74" s="1"/>
      <c r="O74" s="1"/>
    </row>
    <row r="75" spans="2:15" ht="12.75">
      <c r="B75" s="5"/>
      <c r="C75" s="26"/>
      <c r="D75" s="26"/>
      <c r="E75" s="57"/>
      <c r="F75" s="57"/>
      <c r="G75" s="35"/>
      <c r="H75" s="1"/>
      <c r="I75" s="1"/>
      <c r="J75" s="1"/>
      <c r="K75" s="1"/>
      <c r="L75" s="1"/>
      <c r="M75" s="1"/>
      <c r="N75" s="1"/>
      <c r="O75" s="1"/>
    </row>
    <row r="76" spans="2:15" ht="12.75">
      <c r="B76" s="5"/>
      <c r="C76" s="26"/>
      <c r="D76" s="26"/>
      <c r="E76" s="57"/>
      <c r="F76" s="57"/>
      <c r="G76" s="35"/>
      <c r="H76" s="1"/>
      <c r="I76" s="1"/>
      <c r="J76" s="1"/>
      <c r="K76" s="1"/>
      <c r="L76" s="1"/>
      <c r="M76" s="1"/>
      <c r="N76" s="1"/>
      <c r="O76" s="1"/>
    </row>
    <row r="77" spans="2:15" ht="12.75">
      <c r="B77" s="5"/>
      <c r="C77" s="26"/>
      <c r="D77" s="26"/>
      <c r="E77" s="57"/>
      <c r="F77" s="57"/>
      <c r="G77" s="35"/>
      <c r="H77" s="1"/>
      <c r="I77" s="1"/>
      <c r="J77" s="1"/>
      <c r="K77" s="1"/>
      <c r="L77" s="1"/>
      <c r="M77" s="1"/>
      <c r="N77" s="1"/>
      <c r="O77" s="1"/>
    </row>
    <row r="78" spans="2:15" ht="12.75">
      <c r="B78" s="5"/>
      <c r="C78" s="26"/>
      <c r="D78" s="26"/>
      <c r="E78" s="57"/>
      <c r="F78" s="57"/>
      <c r="G78" s="35"/>
      <c r="H78" s="1"/>
      <c r="I78" s="1"/>
      <c r="J78" s="1"/>
      <c r="K78" s="1"/>
      <c r="L78" s="1"/>
      <c r="M78" s="1"/>
      <c r="N78" s="1"/>
      <c r="O78" s="1"/>
    </row>
    <row r="79" spans="2:15" ht="12.75">
      <c r="B79" s="5"/>
      <c r="C79" s="26"/>
      <c r="D79" s="26"/>
      <c r="E79" s="57"/>
      <c r="F79" s="57"/>
      <c r="G79" s="35"/>
      <c r="H79" s="1"/>
      <c r="I79" s="1"/>
      <c r="J79" s="1"/>
      <c r="K79" s="1"/>
      <c r="L79" s="1"/>
      <c r="M79" s="1"/>
      <c r="N79" s="1"/>
      <c r="O79" s="1"/>
    </row>
  </sheetData>
  <sheetProtection/>
  <printOptions/>
  <pageMargins left="0.22" right="0.22" top="0.43" bottom="0.36" header="0.3" footer="0.3"/>
  <pageSetup fitToHeight="1" fitToWidth="1" orientation="landscape" scale="62" r:id="rId1"/>
</worksheet>
</file>

<file path=xl/worksheets/sheet3.xml><?xml version="1.0" encoding="utf-8"?>
<worksheet xmlns="http://schemas.openxmlformats.org/spreadsheetml/2006/main" xmlns:r="http://schemas.openxmlformats.org/officeDocument/2006/relationships">
  <sheetPr>
    <pageSetUpPr fitToPage="1"/>
  </sheetPr>
  <dimension ref="A2:AJ426"/>
  <sheetViews>
    <sheetView zoomScale="75" zoomScaleNormal="75" zoomScalePageLayoutView="0" workbookViewId="0" topLeftCell="A1">
      <pane xSplit="1" ySplit="2" topLeftCell="B57" activePane="bottomRight" state="frozen"/>
      <selection pane="topLeft" activeCell="A1" sqref="A1"/>
      <selection pane="topRight" activeCell="B1" sqref="B1"/>
      <selection pane="bottomLeft" activeCell="A3" sqref="A3"/>
      <selection pane="bottomRight" activeCell="T6" sqref="T6"/>
    </sheetView>
  </sheetViews>
  <sheetFormatPr defaultColWidth="9.140625" defaultRowHeight="12.75" outlineLevelCol="1"/>
  <cols>
    <col min="1" max="1" width="15.421875" style="0" customWidth="1"/>
    <col min="2" max="2" width="17.7109375" style="5" customWidth="1"/>
    <col min="3" max="3" width="13.28125" style="26" customWidth="1"/>
    <col min="4" max="4" width="13.28125" style="26" bestFit="1" customWidth="1"/>
    <col min="5" max="5" width="19.00390625" style="26" customWidth="1"/>
    <col min="6" max="6" width="13.8515625" style="57" customWidth="1"/>
    <col min="7" max="7" width="13.421875" style="57" customWidth="1"/>
    <col min="8" max="8" width="14.421875" style="35" customWidth="1"/>
    <col min="9" max="9" width="18.421875" style="1" customWidth="1"/>
    <col min="10" max="10" width="12.7109375" style="1" customWidth="1"/>
    <col min="11" max="12" width="12.421875" style="1" customWidth="1"/>
    <col min="13" max="13" width="13.00390625" style="1" customWidth="1"/>
    <col min="14" max="14" width="14.421875" style="1" customWidth="1"/>
    <col min="15" max="15" width="19.00390625" style="1" customWidth="1"/>
    <col min="16" max="16" width="17.00390625" style="1" customWidth="1" outlineLevel="1"/>
    <col min="17" max="17" width="12.421875" style="1" customWidth="1" outlineLevel="1"/>
    <col min="18" max="18" width="25.8515625" style="0" bestFit="1" customWidth="1"/>
    <col min="19" max="21" width="18.00390625" style="0" customWidth="1"/>
    <col min="22" max="22" width="17.140625" style="0" customWidth="1"/>
    <col min="23" max="23" width="18.421875" style="0" customWidth="1"/>
    <col min="24" max="24" width="20.7109375" style="0" customWidth="1"/>
    <col min="25" max="25" width="14.140625" style="0" bestFit="1" customWidth="1"/>
    <col min="26" max="26" width="11.7109375" style="0" bestFit="1" customWidth="1"/>
    <col min="27" max="27" width="11.8515625" style="0" bestFit="1" customWidth="1"/>
    <col min="28" max="28" width="12.57421875" style="5" customWidth="1"/>
    <col min="29" max="29" width="11.28125" style="5" customWidth="1"/>
    <col min="30" max="30" width="11.57421875" style="5" customWidth="1"/>
    <col min="31" max="31" width="9.28125" style="5" customWidth="1"/>
    <col min="32" max="32" width="9.140625" style="5" customWidth="1"/>
    <col min="33" max="33" width="11.7109375" style="5" bestFit="1" customWidth="1"/>
    <col min="34" max="34" width="10.7109375" style="5" bestFit="1" customWidth="1"/>
    <col min="35" max="36" width="9.140625" style="5" customWidth="1"/>
  </cols>
  <sheetData>
    <row r="1" ht="12.75"/>
    <row r="2" spans="2:30" ht="42" customHeight="1">
      <c r="B2" s="6" t="s">
        <v>0</v>
      </c>
      <c r="C2" s="72" t="s">
        <v>100</v>
      </c>
      <c r="D2" s="71" t="s">
        <v>94</v>
      </c>
      <c r="E2" s="71" t="s">
        <v>11</v>
      </c>
      <c r="F2" s="56" t="s">
        <v>3</v>
      </c>
      <c r="G2" s="56" t="s">
        <v>4</v>
      </c>
      <c r="H2" s="33" t="s">
        <v>7</v>
      </c>
      <c r="I2" s="11" t="s">
        <v>5</v>
      </c>
      <c r="J2" s="11" t="s">
        <v>79</v>
      </c>
      <c r="K2" s="11" t="s">
        <v>20</v>
      </c>
      <c r="L2" s="11" t="s">
        <v>21</v>
      </c>
      <c r="M2" s="11" t="s">
        <v>6</v>
      </c>
      <c r="N2" s="11"/>
      <c r="O2" s="11" t="s">
        <v>12</v>
      </c>
      <c r="P2" s="11" t="s">
        <v>13</v>
      </c>
      <c r="Q2" s="11" t="s">
        <v>14</v>
      </c>
      <c r="R2" t="s">
        <v>22</v>
      </c>
      <c r="AB2" s="8"/>
      <c r="AC2" s="8"/>
      <c r="AD2" s="8"/>
    </row>
    <row r="3" spans="1:17" ht="13.5" thickBot="1">
      <c r="A3" s="2">
        <v>35065</v>
      </c>
      <c r="B3" s="38">
        <v>0</v>
      </c>
      <c r="E3" s="26">
        <f aca="true" t="shared" si="0" ref="E3:E66">B3+D3+C3</f>
        <v>0</v>
      </c>
      <c r="F3" s="196">
        <v>719.2</v>
      </c>
      <c r="G3" s="196">
        <v>0</v>
      </c>
      <c r="H3" s="34">
        <v>94.73936617463092</v>
      </c>
      <c r="I3" s="9">
        <v>31</v>
      </c>
      <c r="J3" s="9"/>
      <c r="K3" s="9">
        <v>0</v>
      </c>
      <c r="L3" s="44">
        <v>119960.81422560275</v>
      </c>
      <c r="M3" s="198">
        <v>352</v>
      </c>
      <c r="N3" s="9"/>
      <c r="O3" s="9">
        <f>$S$18+F3*$S$19+G3*$S$20+H3*$S$21+I3*$S$22+J3*$S$23+K3*$S$24+L3*$S$25</f>
        <v>83556945.60688707</v>
      </c>
      <c r="P3" s="9"/>
      <c r="Q3" s="13"/>
    </row>
    <row r="4" spans="1:19" ht="12.75">
      <c r="A4" s="2">
        <v>35096</v>
      </c>
      <c r="B4" s="38">
        <v>0</v>
      </c>
      <c r="E4" s="26">
        <f t="shared" si="0"/>
        <v>0</v>
      </c>
      <c r="F4" s="196">
        <v>648.2</v>
      </c>
      <c r="G4" s="196">
        <v>0</v>
      </c>
      <c r="H4" s="34">
        <v>94.82613105914686</v>
      </c>
      <c r="I4" s="9">
        <v>29</v>
      </c>
      <c r="J4" s="9"/>
      <c r="K4" s="9">
        <v>0</v>
      </c>
      <c r="L4" s="44">
        <v>120112.01293236614</v>
      </c>
      <c r="M4" s="198">
        <v>336</v>
      </c>
      <c r="N4" s="9"/>
      <c r="O4" s="9">
        <f aca="true" t="shared" si="1" ref="O4:O67">$S$18+F4*$S$19+G4*$S$20+H4*$S$21+I4*$S$22+J4*$S$23+K4*$S$24+L4*$S$25</f>
        <v>76612367.91654381</v>
      </c>
      <c r="P4" s="9"/>
      <c r="Q4" s="13"/>
      <c r="R4" s="52" t="s">
        <v>23</v>
      </c>
      <c r="S4" s="52"/>
    </row>
    <row r="5" spans="1:19" ht="12.75">
      <c r="A5" s="2">
        <v>35125</v>
      </c>
      <c r="B5" s="38">
        <v>0</v>
      </c>
      <c r="E5" s="26">
        <f t="shared" si="0"/>
        <v>0</v>
      </c>
      <c r="F5" s="196">
        <v>618.5</v>
      </c>
      <c r="G5" s="196">
        <v>0</v>
      </c>
      <c r="H5" s="34">
        <v>94.9128959436628</v>
      </c>
      <c r="I5" s="9">
        <v>31</v>
      </c>
      <c r="J5" s="9"/>
      <c r="K5" s="9">
        <v>1</v>
      </c>
      <c r="L5" s="44">
        <v>120263.21163912953</v>
      </c>
      <c r="M5" s="198">
        <v>336</v>
      </c>
      <c r="N5" s="9"/>
      <c r="O5" s="9">
        <f t="shared" si="1"/>
        <v>76555026.45817545</v>
      </c>
      <c r="P5" s="9"/>
      <c r="Q5" s="13"/>
      <c r="R5" s="36" t="s">
        <v>24</v>
      </c>
      <c r="S5" s="36">
        <v>0.9701542641561614</v>
      </c>
    </row>
    <row r="6" spans="1:19" ht="12.75">
      <c r="A6" s="2">
        <v>35156</v>
      </c>
      <c r="B6" s="38">
        <v>0</v>
      </c>
      <c r="E6" s="26">
        <f t="shared" si="0"/>
        <v>0</v>
      </c>
      <c r="F6" s="196">
        <v>360.6</v>
      </c>
      <c r="G6" s="196">
        <v>0</v>
      </c>
      <c r="H6" s="34">
        <v>94.99966082817875</v>
      </c>
      <c r="I6" s="9">
        <v>30</v>
      </c>
      <c r="J6" s="9"/>
      <c r="K6" s="9">
        <v>1</v>
      </c>
      <c r="L6" s="44">
        <v>120414.41034589292</v>
      </c>
      <c r="M6" s="198">
        <v>336</v>
      </c>
      <c r="N6" s="9"/>
      <c r="O6" s="9">
        <f t="shared" si="1"/>
        <v>67712100.86145075</v>
      </c>
      <c r="P6" s="9"/>
      <c r="Q6" s="13"/>
      <c r="R6" s="36" t="s">
        <v>25</v>
      </c>
      <c r="S6" s="36">
        <v>0.9411992962603829</v>
      </c>
    </row>
    <row r="7" spans="1:19" ht="12.75">
      <c r="A7" s="2">
        <v>35186</v>
      </c>
      <c r="B7" s="38">
        <v>0</v>
      </c>
      <c r="E7" s="26">
        <f t="shared" si="0"/>
        <v>0</v>
      </c>
      <c r="F7" s="196">
        <v>240.4</v>
      </c>
      <c r="G7" s="196">
        <v>3.2</v>
      </c>
      <c r="H7" s="34">
        <v>95.08642571269469</v>
      </c>
      <c r="I7" s="9">
        <v>31</v>
      </c>
      <c r="J7" s="9"/>
      <c r="K7" s="9">
        <v>1</v>
      </c>
      <c r="L7" s="44">
        <v>120565.6090526563</v>
      </c>
      <c r="M7" s="198">
        <v>352</v>
      </c>
      <c r="N7" s="9"/>
      <c r="O7" s="9">
        <f t="shared" si="1"/>
        <v>68284232.61096829</v>
      </c>
      <c r="P7" s="9"/>
      <c r="Q7" s="13"/>
      <c r="R7" s="36" t="s">
        <v>26</v>
      </c>
      <c r="S7" s="36">
        <v>0.9392204264229919</v>
      </c>
    </row>
    <row r="8" spans="1:19" ht="12.75">
      <c r="A8" s="2">
        <v>35217</v>
      </c>
      <c r="B8" s="38">
        <v>0</v>
      </c>
      <c r="E8" s="26">
        <f t="shared" si="0"/>
        <v>0</v>
      </c>
      <c r="F8" s="196">
        <v>37.3</v>
      </c>
      <c r="G8" s="196">
        <v>21.9</v>
      </c>
      <c r="H8" s="34">
        <v>95.17319059721063</v>
      </c>
      <c r="I8" s="9">
        <v>30</v>
      </c>
      <c r="J8" s="9"/>
      <c r="K8" s="9">
        <v>0</v>
      </c>
      <c r="L8" s="44">
        <v>120716.8077594197</v>
      </c>
      <c r="M8" s="198">
        <v>320</v>
      </c>
      <c r="N8" s="9"/>
      <c r="O8" s="9">
        <f t="shared" si="1"/>
        <v>69489831.35065068</v>
      </c>
      <c r="P8" s="9"/>
      <c r="Q8" s="13"/>
      <c r="R8" s="36" t="s">
        <v>27</v>
      </c>
      <c r="S8" s="36">
        <v>2643113.8501988077</v>
      </c>
    </row>
    <row r="9" spans="1:19" ht="13.5" thickBot="1">
      <c r="A9" s="2">
        <v>35247</v>
      </c>
      <c r="B9" s="38">
        <v>0</v>
      </c>
      <c r="E9" s="26">
        <f t="shared" si="0"/>
        <v>0</v>
      </c>
      <c r="F9" s="196">
        <v>2.6</v>
      </c>
      <c r="G9" s="196">
        <v>72.1</v>
      </c>
      <c r="H9" s="34">
        <v>95.25995548172658</v>
      </c>
      <c r="I9" s="9">
        <v>31</v>
      </c>
      <c r="J9" s="9"/>
      <c r="K9" s="9">
        <v>0</v>
      </c>
      <c r="L9" s="44">
        <v>120868.00646618308</v>
      </c>
      <c r="M9" s="198">
        <v>352</v>
      </c>
      <c r="N9" s="9"/>
      <c r="O9" s="9">
        <f t="shared" si="1"/>
        <v>81745215.35665995</v>
      </c>
      <c r="P9" s="9"/>
      <c r="Q9" s="13"/>
      <c r="R9" s="50" t="s">
        <v>28</v>
      </c>
      <c r="S9" s="50">
        <v>216</v>
      </c>
    </row>
    <row r="10" spans="1:17" ht="12.75">
      <c r="A10" s="2">
        <v>35278</v>
      </c>
      <c r="B10" s="38">
        <v>0</v>
      </c>
      <c r="E10" s="26">
        <f t="shared" si="0"/>
        <v>0</v>
      </c>
      <c r="F10" s="196">
        <v>0.4</v>
      </c>
      <c r="G10" s="196">
        <v>115.4</v>
      </c>
      <c r="H10" s="34">
        <v>95.34672036624252</v>
      </c>
      <c r="I10" s="9">
        <v>31</v>
      </c>
      <c r="J10" s="9"/>
      <c r="K10" s="9">
        <v>0</v>
      </c>
      <c r="L10" s="44">
        <v>121019.20517294647</v>
      </c>
      <c r="M10" s="198">
        <v>336</v>
      </c>
      <c r="N10" s="9"/>
      <c r="O10" s="9">
        <f t="shared" si="1"/>
        <v>90700852.37132846</v>
      </c>
      <c r="P10" s="9"/>
      <c r="Q10" s="13"/>
    </row>
    <row r="11" spans="1:18" ht="13.5" thickBot="1">
      <c r="A11" s="2">
        <v>35309</v>
      </c>
      <c r="B11" s="38">
        <v>0</v>
      </c>
      <c r="E11" s="26">
        <f t="shared" si="0"/>
        <v>0</v>
      </c>
      <c r="F11" s="196">
        <v>56</v>
      </c>
      <c r="G11" s="196">
        <v>34.8</v>
      </c>
      <c r="H11" s="34">
        <v>95.43348525075847</v>
      </c>
      <c r="I11" s="9">
        <v>30</v>
      </c>
      <c r="J11" s="9"/>
      <c r="K11" s="9">
        <v>1</v>
      </c>
      <c r="L11" s="44">
        <v>121170.40387970986</v>
      </c>
      <c r="M11" s="198">
        <v>320</v>
      </c>
      <c r="N11" s="9"/>
      <c r="O11" s="9">
        <f t="shared" si="1"/>
        <v>68230328.900102</v>
      </c>
      <c r="P11" s="9"/>
      <c r="Q11" s="13"/>
      <c r="R11" t="s">
        <v>29</v>
      </c>
    </row>
    <row r="12" spans="1:23" ht="12.75">
      <c r="A12" s="2">
        <v>35339</v>
      </c>
      <c r="B12" s="38">
        <v>0</v>
      </c>
      <c r="E12" s="26">
        <f t="shared" si="0"/>
        <v>0</v>
      </c>
      <c r="F12" s="196">
        <v>228.3</v>
      </c>
      <c r="G12" s="196">
        <v>1.4</v>
      </c>
      <c r="H12" s="34">
        <v>95.52025013527441</v>
      </c>
      <c r="I12" s="9">
        <v>31</v>
      </c>
      <c r="J12" s="9"/>
      <c r="K12" s="9">
        <v>1</v>
      </c>
      <c r="L12" s="44">
        <v>121321.60258647325</v>
      </c>
      <c r="M12" s="198">
        <v>352</v>
      </c>
      <c r="N12" s="9"/>
      <c r="O12" s="9">
        <f t="shared" si="1"/>
        <v>68521212.12470749</v>
      </c>
      <c r="P12" s="9"/>
      <c r="Q12" s="13"/>
      <c r="R12" s="51"/>
      <c r="S12" s="51" t="s">
        <v>33</v>
      </c>
      <c r="T12" s="51" t="s">
        <v>34</v>
      </c>
      <c r="U12" s="51" t="s">
        <v>35</v>
      </c>
      <c r="V12" s="51" t="s">
        <v>36</v>
      </c>
      <c r="W12" s="51" t="s">
        <v>37</v>
      </c>
    </row>
    <row r="13" spans="1:23" ht="12.75">
      <c r="A13" s="2">
        <v>35370</v>
      </c>
      <c r="B13" s="38">
        <v>0</v>
      </c>
      <c r="E13" s="26">
        <f t="shared" si="0"/>
        <v>0</v>
      </c>
      <c r="F13" s="196">
        <v>468.9</v>
      </c>
      <c r="G13" s="196">
        <v>0</v>
      </c>
      <c r="H13" s="34">
        <v>95.60701501979035</v>
      </c>
      <c r="I13" s="9">
        <v>30</v>
      </c>
      <c r="J13" s="9"/>
      <c r="K13" s="9">
        <v>1</v>
      </c>
      <c r="L13" s="44">
        <v>121472.80129323664</v>
      </c>
      <c r="M13" s="198">
        <v>320</v>
      </c>
      <c r="N13" s="9"/>
      <c r="O13" s="9">
        <f t="shared" si="1"/>
        <v>71632841.6677619</v>
      </c>
      <c r="P13" s="9"/>
      <c r="Q13" s="13"/>
      <c r="R13" s="36" t="s">
        <v>30</v>
      </c>
      <c r="S13" s="36">
        <v>7</v>
      </c>
      <c r="T13" s="36">
        <v>23259166404967744</v>
      </c>
      <c r="U13" s="36">
        <v>3322738057852535</v>
      </c>
      <c r="V13" s="36">
        <v>475.6246613477653</v>
      </c>
      <c r="W13" s="36">
        <v>3.088417839675286E-124</v>
      </c>
    </row>
    <row r="14" spans="1:23" ht="12.75">
      <c r="A14" s="2">
        <v>35400</v>
      </c>
      <c r="B14" s="38">
        <v>0</v>
      </c>
      <c r="E14" s="26">
        <f t="shared" si="0"/>
        <v>0</v>
      </c>
      <c r="F14" s="196">
        <v>496.2</v>
      </c>
      <c r="G14" s="196">
        <v>0</v>
      </c>
      <c r="H14" s="34">
        <v>95.69377990430623</v>
      </c>
      <c r="I14" s="9">
        <v>31</v>
      </c>
      <c r="J14" s="9"/>
      <c r="K14" s="9">
        <v>0</v>
      </c>
      <c r="L14" s="44">
        <v>121624</v>
      </c>
      <c r="M14" s="198">
        <v>320</v>
      </c>
      <c r="N14" s="9"/>
      <c r="O14" s="9">
        <f t="shared" si="1"/>
        <v>80063934.7607132</v>
      </c>
      <c r="P14" s="9"/>
      <c r="Q14" s="13"/>
      <c r="R14" s="36" t="s">
        <v>31</v>
      </c>
      <c r="S14" s="36">
        <v>208</v>
      </c>
      <c r="T14" s="36">
        <v>1453098571623455</v>
      </c>
      <c r="U14" s="36">
        <v>6986050825112.765</v>
      </c>
      <c r="V14" s="36"/>
      <c r="W14" s="36"/>
    </row>
    <row r="15" spans="1:23" ht="13.5" thickBot="1">
      <c r="A15" s="2">
        <v>35431</v>
      </c>
      <c r="B15" s="38">
        <v>0</v>
      </c>
      <c r="E15" s="26">
        <f t="shared" si="0"/>
        <v>0</v>
      </c>
      <c r="F15" s="196">
        <v>606.3</v>
      </c>
      <c r="G15" s="196">
        <v>0</v>
      </c>
      <c r="H15" s="34">
        <v>96.05263157894737</v>
      </c>
      <c r="I15" s="9">
        <v>31</v>
      </c>
      <c r="J15" s="9"/>
      <c r="K15" s="9">
        <v>0</v>
      </c>
      <c r="L15" s="44">
        <v>121713.01666666666</v>
      </c>
      <c r="M15" s="198">
        <v>352</v>
      </c>
      <c r="N15" s="9"/>
      <c r="O15" s="9">
        <f t="shared" si="1"/>
        <v>83010351.28089207</v>
      </c>
      <c r="P15" s="9"/>
      <c r="Q15" s="13"/>
      <c r="R15" s="50" t="s">
        <v>11</v>
      </c>
      <c r="S15" s="50">
        <v>215</v>
      </c>
      <c r="T15" s="50">
        <v>24712264976591200</v>
      </c>
      <c r="U15" s="50"/>
      <c r="V15" s="50"/>
      <c r="W15" s="50"/>
    </row>
    <row r="16" spans="1:17" ht="13.5" thickBot="1">
      <c r="A16" s="2">
        <v>35462</v>
      </c>
      <c r="B16" s="38">
        <v>0</v>
      </c>
      <c r="E16" s="26">
        <f t="shared" si="0"/>
        <v>0</v>
      </c>
      <c r="F16" s="196">
        <v>503.8</v>
      </c>
      <c r="G16" s="196">
        <v>0</v>
      </c>
      <c r="H16" s="34">
        <v>96.41148325358851</v>
      </c>
      <c r="I16" s="9">
        <v>28</v>
      </c>
      <c r="J16" s="9"/>
      <c r="K16" s="9">
        <v>0</v>
      </c>
      <c r="L16" s="44">
        <v>121802.03333333333</v>
      </c>
      <c r="M16" s="198">
        <v>320</v>
      </c>
      <c r="N16" s="9"/>
      <c r="O16" s="9">
        <f t="shared" si="1"/>
        <v>72664413.8774628</v>
      </c>
      <c r="P16" s="9"/>
      <c r="Q16" s="13"/>
    </row>
    <row r="17" spans="1:26" ht="12.75">
      <c r="A17" s="2">
        <v>35490</v>
      </c>
      <c r="B17" s="38">
        <v>0</v>
      </c>
      <c r="E17" s="26">
        <f t="shared" si="0"/>
        <v>0</v>
      </c>
      <c r="F17" s="196">
        <v>500.5</v>
      </c>
      <c r="G17" s="196">
        <v>0</v>
      </c>
      <c r="H17" s="34">
        <v>96.77033492822966</v>
      </c>
      <c r="I17" s="9">
        <v>31</v>
      </c>
      <c r="J17" s="9"/>
      <c r="K17" s="9">
        <v>1</v>
      </c>
      <c r="L17" s="44">
        <v>121891.04999999999</v>
      </c>
      <c r="M17" s="198">
        <v>304</v>
      </c>
      <c r="N17" s="9"/>
      <c r="O17" s="9">
        <f t="shared" si="1"/>
        <v>76008861.14822578</v>
      </c>
      <c r="P17" s="9"/>
      <c r="Q17" s="13"/>
      <c r="R17" s="51"/>
      <c r="S17" s="51" t="s">
        <v>38</v>
      </c>
      <c r="T17" s="51" t="s">
        <v>27</v>
      </c>
      <c r="U17" s="51" t="s">
        <v>39</v>
      </c>
      <c r="V17" s="51" t="s">
        <v>40</v>
      </c>
      <c r="W17" s="51" t="s">
        <v>41</v>
      </c>
      <c r="X17" s="51" t="s">
        <v>42</v>
      </c>
      <c r="Y17" s="51" t="s">
        <v>43</v>
      </c>
      <c r="Z17" s="51" t="s">
        <v>44</v>
      </c>
    </row>
    <row r="18" spans="1:26" ht="12.75">
      <c r="A18" s="2">
        <v>35521</v>
      </c>
      <c r="B18" s="38">
        <v>0</v>
      </c>
      <c r="E18" s="26">
        <f t="shared" si="0"/>
        <v>0</v>
      </c>
      <c r="F18" s="196">
        <v>320.9</v>
      </c>
      <c r="G18" s="196">
        <v>0</v>
      </c>
      <c r="H18" s="34">
        <v>97.1291866028708</v>
      </c>
      <c r="I18" s="9">
        <v>30</v>
      </c>
      <c r="J18" s="9"/>
      <c r="K18" s="9">
        <v>1</v>
      </c>
      <c r="L18" s="44">
        <v>121980.06666666665</v>
      </c>
      <c r="M18" s="198">
        <v>352</v>
      </c>
      <c r="N18" s="9"/>
      <c r="O18" s="9">
        <f t="shared" si="1"/>
        <v>69151318.94535916</v>
      </c>
      <c r="P18" s="9"/>
      <c r="Q18" s="13"/>
      <c r="R18" s="36" t="s">
        <v>32</v>
      </c>
      <c r="S18" s="36">
        <v>-172029669.70162967</v>
      </c>
      <c r="T18" s="36">
        <v>25668720.682833318</v>
      </c>
      <c r="U18" s="298">
        <v>-6.7019183319361675</v>
      </c>
      <c r="V18" s="298">
        <v>1.8952860926204682E-10</v>
      </c>
      <c r="W18" s="36">
        <v>-222633875.2956426</v>
      </c>
      <c r="X18" s="36">
        <v>-121425464.10761674</v>
      </c>
      <c r="Y18" s="36">
        <v>-222633875.2956426</v>
      </c>
      <c r="Z18" s="36">
        <v>-121425464.10761674</v>
      </c>
    </row>
    <row r="19" spans="1:26" ht="12.75">
      <c r="A19" s="2">
        <v>35551</v>
      </c>
      <c r="B19" s="38">
        <v>0</v>
      </c>
      <c r="E19" s="26">
        <f t="shared" si="0"/>
        <v>0</v>
      </c>
      <c r="F19" s="196">
        <v>259.3</v>
      </c>
      <c r="G19" s="196">
        <v>0</v>
      </c>
      <c r="H19" s="34">
        <v>97.48803827751195</v>
      </c>
      <c r="I19" s="9">
        <v>31</v>
      </c>
      <c r="J19" s="9"/>
      <c r="K19" s="9">
        <v>1</v>
      </c>
      <c r="L19" s="44">
        <v>122069.08333333331</v>
      </c>
      <c r="M19" s="198">
        <v>336</v>
      </c>
      <c r="N19" s="9"/>
      <c r="O19" s="9">
        <f t="shared" si="1"/>
        <v>70572604.22043914</v>
      </c>
      <c r="P19" s="9"/>
      <c r="Q19" s="13"/>
      <c r="R19" s="36" t="s">
        <v>3</v>
      </c>
      <c r="S19" s="36">
        <v>24553.727715961013</v>
      </c>
      <c r="T19" s="36">
        <v>1270.3715495094968</v>
      </c>
      <c r="U19" s="298">
        <v>19.32798930001341</v>
      </c>
      <c r="V19" s="298">
        <v>2.4960055262942836E-48</v>
      </c>
      <c r="W19" s="36">
        <v>22049.27321405993</v>
      </c>
      <c r="X19" s="36">
        <v>27058.182217862097</v>
      </c>
      <c r="Y19" s="36">
        <v>22049.27321405993</v>
      </c>
      <c r="Z19" s="36">
        <v>27058.182217862097</v>
      </c>
    </row>
    <row r="20" spans="1:26" ht="12.75">
      <c r="A20" s="2">
        <v>35582</v>
      </c>
      <c r="B20" s="38">
        <v>0</v>
      </c>
      <c r="E20" s="26">
        <f t="shared" si="0"/>
        <v>0</v>
      </c>
      <c r="F20" s="196">
        <v>39.4</v>
      </c>
      <c r="G20" s="196">
        <v>64.4</v>
      </c>
      <c r="H20" s="34">
        <v>97.84688995215309</v>
      </c>
      <c r="I20" s="9">
        <v>30</v>
      </c>
      <c r="J20" s="9"/>
      <c r="K20" s="9">
        <v>0</v>
      </c>
      <c r="L20" s="44">
        <v>122158.09999999998</v>
      </c>
      <c r="M20" s="198">
        <v>336</v>
      </c>
      <c r="N20" s="9"/>
      <c r="O20" s="9">
        <f t="shared" si="1"/>
        <v>80747348.55310054</v>
      </c>
      <c r="P20" s="9"/>
      <c r="Q20" s="13"/>
      <c r="R20" s="36" t="s">
        <v>4</v>
      </c>
      <c r="S20" s="36">
        <v>203912.9475910015</v>
      </c>
      <c r="T20" s="36">
        <v>6268.492481037073</v>
      </c>
      <c r="U20" s="298">
        <v>32.52982247452033</v>
      </c>
      <c r="V20" s="298">
        <v>1.5837077617562075E-83</v>
      </c>
      <c r="W20" s="36">
        <v>191555.02425721148</v>
      </c>
      <c r="X20" s="36">
        <v>216270.8709247915</v>
      </c>
      <c r="Y20" s="36">
        <v>191555.02425721148</v>
      </c>
      <c r="Z20" s="36">
        <v>216270.8709247915</v>
      </c>
    </row>
    <row r="21" spans="1:26" ht="12.75">
      <c r="A21" s="2">
        <v>35612</v>
      </c>
      <c r="B21" s="38">
        <v>0</v>
      </c>
      <c r="E21" s="26">
        <f t="shared" si="0"/>
        <v>0</v>
      </c>
      <c r="F21" s="196">
        <v>9.7</v>
      </c>
      <c r="G21" s="196">
        <v>94.1</v>
      </c>
      <c r="H21" s="34">
        <v>98.20574162679424</v>
      </c>
      <c r="I21" s="9">
        <v>31</v>
      </c>
      <c r="J21" s="9"/>
      <c r="K21" s="9">
        <v>0</v>
      </c>
      <c r="L21" s="44">
        <v>122247.11666666664</v>
      </c>
      <c r="M21" s="198">
        <v>352</v>
      </c>
      <c r="N21" s="9"/>
      <c r="O21" s="9">
        <f t="shared" si="1"/>
        <v>89008112.28577244</v>
      </c>
      <c r="P21" s="9"/>
      <c r="Q21" s="13"/>
      <c r="R21" s="36" t="s">
        <v>7</v>
      </c>
      <c r="S21" s="36">
        <v>444961.6882511375</v>
      </c>
      <c r="T21" s="36">
        <v>133896.1658345688</v>
      </c>
      <c r="U21" s="298">
        <v>3.3231846892531336</v>
      </c>
      <c r="V21" s="298">
        <v>0.0010514844324960584</v>
      </c>
      <c r="W21" s="36">
        <v>180994.14628189494</v>
      </c>
      <c r="X21" s="36">
        <v>708929.23022038</v>
      </c>
      <c r="Y21" s="36">
        <v>180994.14628189494</v>
      </c>
      <c r="Z21" s="36">
        <v>708929.23022038</v>
      </c>
    </row>
    <row r="22" spans="1:26" ht="12.75">
      <c r="A22" s="2">
        <v>35643</v>
      </c>
      <c r="B22" s="38">
        <v>0</v>
      </c>
      <c r="E22" s="26">
        <f t="shared" si="0"/>
        <v>0</v>
      </c>
      <c r="F22" s="196">
        <v>9</v>
      </c>
      <c r="G22" s="196">
        <v>58.5</v>
      </c>
      <c r="H22" s="34">
        <v>98.56459330143538</v>
      </c>
      <c r="I22" s="9">
        <v>31</v>
      </c>
      <c r="J22" s="9"/>
      <c r="K22" s="9">
        <v>0</v>
      </c>
      <c r="L22" s="44">
        <v>122336.1333333333</v>
      </c>
      <c r="M22" s="198">
        <v>320</v>
      </c>
      <c r="N22" s="9"/>
      <c r="O22" s="9">
        <f t="shared" si="1"/>
        <v>81974674.84078322</v>
      </c>
      <c r="P22" s="9"/>
      <c r="Q22" s="13"/>
      <c r="R22" s="36" t="s">
        <v>5</v>
      </c>
      <c r="S22" s="36">
        <v>2690743.8037316203</v>
      </c>
      <c r="T22" s="36">
        <v>229271.2947945319</v>
      </c>
      <c r="U22" s="298">
        <v>11.73606929791629</v>
      </c>
      <c r="V22" s="298">
        <v>9.736499003998907E-25</v>
      </c>
      <c r="W22" s="36">
        <v>2238750.426969869</v>
      </c>
      <c r="X22" s="36">
        <v>3142737.1804933716</v>
      </c>
      <c r="Y22" s="36">
        <v>2238750.426969869</v>
      </c>
      <c r="Z22" s="36">
        <v>3142737.1804933716</v>
      </c>
    </row>
    <row r="23" spans="1:26" ht="12.75">
      <c r="A23" s="2">
        <v>35674</v>
      </c>
      <c r="B23" s="38">
        <v>0</v>
      </c>
      <c r="E23" s="26">
        <f t="shared" si="0"/>
        <v>0</v>
      </c>
      <c r="F23" s="196">
        <v>48.7</v>
      </c>
      <c r="G23" s="196">
        <v>18.3</v>
      </c>
      <c r="H23" s="34">
        <v>98.92344497607652</v>
      </c>
      <c r="I23" s="9">
        <v>30</v>
      </c>
      <c r="J23" s="9"/>
      <c r="K23" s="9">
        <v>1</v>
      </c>
      <c r="L23" s="44">
        <v>122425.14999999997</v>
      </c>
      <c r="M23" s="198">
        <v>336</v>
      </c>
      <c r="N23" s="9"/>
      <c r="O23" s="9">
        <f t="shared" si="1"/>
        <v>67414656.69524777</v>
      </c>
      <c r="P23" s="9"/>
      <c r="Q23" s="13"/>
      <c r="R23" s="36" t="s">
        <v>79</v>
      </c>
      <c r="S23" s="36">
        <v>-4.1411728976966415</v>
      </c>
      <c r="T23" s="36">
        <v>0.31568397599781073</v>
      </c>
      <c r="U23" s="298">
        <v>-13.118096617375855</v>
      </c>
      <c r="V23" s="298">
        <v>4.8199853401150643E-29</v>
      </c>
      <c r="W23" s="36">
        <v>-4.7635232291181975</v>
      </c>
      <c r="X23" s="36">
        <v>-3.5188225662750856</v>
      </c>
      <c r="Y23" s="36">
        <v>-4.7635232291181975</v>
      </c>
      <c r="Z23" s="36">
        <v>-3.5188225662750856</v>
      </c>
    </row>
    <row r="24" spans="1:26" ht="12.75">
      <c r="A24" s="2">
        <v>35704</v>
      </c>
      <c r="B24" s="38">
        <v>0</v>
      </c>
      <c r="E24" s="26">
        <f t="shared" si="0"/>
        <v>0</v>
      </c>
      <c r="F24" s="196">
        <v>221.5</v>
      </c>
      <c r="G24" s="196">
        <v>2.1</v>
      </c>
      <c r="H24" s="34">
        <v>99.28229665071767</v>
      </c>
      <c r="I24" s="9">
        <v>31</v>
      </c>
      <c r="J24" s="9"/>
      <c r="K24" s="9">
        <v>1</v>
      </c>
      <c r="L24" s="44">
        <v>122514.16666666663</v>
      </c>
      <c r="M24" s="198">
        <v>352</v>
      </c>
      <c r="N24" s="9"/>
      <c r="O24" s="9">
        <f t="shared" si="1"/>
        <v>71287945.99597482</v>
      </c>
      <c r="P24" s="9"/>
      <c r="Q24" s="13"/>
      <c r="R24" s="36" t="s">
        <v>20</v>
      </c>
      <c r="S24" s="36">
        <v>-4889807.937620778</v>
      </c>
      <c r="T24" s="36">
        <v>472264.1331970366</v>
      </c>
      <c r="U24" s="298">
        <v>-10.353968455149795</v>
      </c>
      <c r="V24" s="298">
        <v>1.5761739475119608E-20</v>
      </c>
      <c r="W24" s="36">
        <v>-5820845.817781434</v>
      </c>
      <c r="X24" s="36">
        <v>-3958770.0574601204</v>
      </c>
      <c r="Y24" s="36">
        <v>-5820845.817781434</v>
      </c>
      <c r="Z24" s="36">
        <v>-3958770.0574601204</v>
      </c>
    </row>
    <row r="25" spans="1:26" ht="13.5" thickBot="1">
      <c r="A25" s="2">
        <v>35735</v>
      </c>
      <c r="B25" s="38">
        <v>0</v>
      </c>
      <c r="E25" s="26">
        <f t="shared" si="0"/>
        <v>0</v>
      </c>
      <c r="F25" s="196">
        <v>384.9</v>
      </c>
      <c r="G25" s="196">
        <v>0</v>
      </c>
      <c r="H25" s="34">
        <v>99.64114832535881</v>
      </c>
      <c r="I25" s="9">
        <v>30</v>
      </c>
      <c r="J25" s="9"/>
      <c r="K25" s="9">
        <v>1</v>
      </c>
      <c r="L25" s="44">
        <v>122603.18333333329</v>
      </c>
      <c r="M25" s="198">
        <v>304</v>
      </c>
      <c r="N25" s="9"/>
      <c r="O25" s="9">
        <f t="shared" si="1"/>
        <v>72424115.20974171</v>
      </c>
      <c r="P25" s="9"/>
      <c r="Q25" s="13"/>
      <c r="R25" s="50" t="s">
        <v>21</v>
      </c>
      <c r="S25" s="50">
        <v>936.6319229152956</v>
      </c>
      <c r="T25" s="50">
        <v>300.6569982906606</v>
      </c>
      <c r="U25" s="299">
        <v>3.1152839556051353</v>
      </c>
      <c r="V25" s="299">
        <v>0.002096920689725147</v>
      </c>
      <c r="W25" s="50">
        <v>343.9062961584266</v>
      </c>
      <c r="X25" s="50">
        <v>1529.3575496721646</v>
      </c>
      <c r="Y25" s="50">
        <v>343.9062961584266</v>
      </c>
      <c r="Z25" s="50">
        <v>1529.3575496721646</v>
      </c>
    </row>
    <row r="26" spans="1:17" ht="12.75">
      <c r="A26" s="2">
        <v>35765</v>
      </c>
      <c r="B26" s="38">
        <v>0</v>
      </c>
      <c r="E26" s="26">
        <f t="shared" si="0"/>
        <v>0</v>
      </c>
      <c r="F26" s="196">
        <v>490</v>
      </c>
      <c r="G26" s="196">
        <v>0</v>
      </c>
      <c r="H26" s="34">
        <v>100</v>
      </c>
      <c r="I26" s="9">
        <v>31</v>
      </c>
      <c r="J26" s="9"/>
      <c r="K26" s="9">
        <v>0</v>
      </c>
      <c r="L26" s="44">
        <v>122692.19999999995</v>
      </c>
      <c r="M26" s="198">
        <v>336</v>
      </c>
      <c r="N26" s="9"/>
      <c r="O26" s="9">
        <f t="shared" si="1"/>
        <v>82828314.83269317</v>
      </c>
      <c r="P26" s="9"/>
      <c r="Q26" s="13"/>
    </row>
    <row r="27" spans="1:17" ht="12.75">
      <c r="A27" s="2">
        <v>35796</v>
      </c>
      <c r="B27" s="38">
        <v>0</v>
      </c>
      <c r="E27" s="26">
        <f t="shared" si="0"/>
        <v>0</v>
      </c>
      <c r="F27" s="196">
        <v>524.9</v>
      </c>
      <c r="G27" s="196">
        <v>0</v>
      </c>
      <c r="H27" s="34">
        <v>100.4</v>
      </c>
      <c r="I27" s="9">
        <v>31</v>
      </c>
      <c r="J27" s="9"/>
      <c r="K27" s="9">
        <v>0</v>
      </c>
      <c r="L27" s="44">
        <v>122781.21666666662</v>
      </c>
      <c r="M27" s="198">
        <v>336</v>
      </c>
      <c r="N27" s="9"/>
      <c r="O27" s="9">
        <f t="shared" si="1"/>
        <v>83946600.45695221</v>
      </c>
      <c r="P27" s="9"/>
      <c r="Q27" s="13"/>
    </row>
    <row r="28" spans="1:17" ht="12.75">
      <c r="A28" s="2">
        <v>35827</v>
      </c>
      <c r="B28" s="38">
        <v>0</v>
      </c>
      <c r="E28" s="26">
        <f t="shared" si="0"/>
        <v>0</v>
      </c>
      <c r="F28" s="196">
        <v>462.9</v>
      </c>
      <c r="G28" s="196">
        <v>0</v>
      </c>
      <c r="H28" s="34">
        <v>100.80000000000001</v>
      </c>
      <c r="I28" s="9">
        <v>28</v>
      </c>
      <c r="J28" s="9"/>
      <c r="K28" s="9">
        <v>0</v>
      </c>
      <c r="L28" s="44">
        <v>122870.23333333328</v>
      </c>
      <c r="M28" s="198">
        <v>320</v>
      </c>
      <c r="N28" s="9"/>
      <c r="O28" s="9">
        <f t="shared" si="1"/>
        <v>74613398.45433971</v>
      </c>
      <c r="P28" s="9"/>
      <c r="Q28" s="13"/>
    </row>
    <row r="29" spans="1:17" ht="12.75">
      <c r="A29" s="2">
        <v>35855</v>
      </c>
      <c r="B29" s="38">
        <v>0</v>
      </c>
      <c r="E29" s="26">
        <f t="shared" si="0"/>
        <v>0</v>
      </c>
      <c r="F29" s="196">
        <v>462.3</v>
      </c>
      <c r="G29" s="196">
        <v>5.5</v>
      </c>
      <c r="H29" s="34">
        <v>101.20000000000002</v>
      </c>
      <c r="I29" s="9">
        <v>31</v>
      </c>
      <c r="J29" s="9"/>
      <c r="K29" s="9">
        <v>1</v>
      </c>
      <c r="L29" s="44">
        <v>122959.24999999994</v>
      </c>
      <c r="M29" s="198">
        <v>352</v>
      </c>
      <c r="N29" s="9"/>
      <c r="O29" s="9">
        <f t="shared" si="1"/>
        <v>79163971.43000668</v>
      </c>
      <c r="P29" s="9"/>
      <c r="Q29" s="13"/>
    </row>
    <row r="30" spans="1:17" ht="12.75">
      <c r="A30" s="2">
        <v>35886</v>
      </c>
      <c r="B30" s="38">
        <v>0</v>
      </c>
      <c r="E30" s="26">
        <f t="shared" si="0"/>
        <v>0</v>
      </c>
      <c r="F30" s="196">
        <v>258.9</v>
      </c>
      <c r="G30" s="196">
        <v>0</v>
      </c>
      <c r="H30" s="34">
        <v>101.60000000000002</v>
      </c>
      <c r="I30" s="9">
        <v>30</v>
      </c>
      <c r="J30" s="9"/>
      <c r="K30" s="9">
        <v>1</v>
      </c>
      <c r="L30" s="44">
        <v>123048.2666666666</v>
      </c>
      <c r="M30" s="198">
        <v>336</v>
      </c>
      <c r="N30" s="9"/>
      <c r="O30" s="9">
        <f t="shared" si="1"/>
        <v>70618838.72407007</v>
      </c>
      <c r="P30" s="9"/>
      <c r="Q30" s="13"/>
    </row>
    <row r="31" spans="1:17" ht="12.75">
      <c r="A31" s="2">
        <v>35916</v>
      </c>
      <c r="B31" s="38">
        <v>0</v>
      </c>
      <c r="E31" s="26">
        <f t="shared" si="0"/>
        <v>0</v>
      </c>
      <c r="F31" s="196">
        <v>107.6</v>
      </c>
      <c r="G31" s="196">
        <v>16.8</v>
      </c>
      <c r="H31" s="34">
        <v>102.00000000000003</v>
      </c>
      <c r="I31" s="9">
        <v>31</v>
      </c>
      <c r="J31" s="9"/>
      <c r="K31" s="9">
        <v>1</v>
      </c>
      <c r="L31" s="44">
        <v>123137.28333333327</v>
      </c>
      <c r="M31" s="198">
        <v>320</v>
      </c>
      <c r="N31" s="9"/>
      <c r="O31" s="9">
        <f t="shared" si="1"/>
        <v>73281701.5708776</v>
      </c>
      <c r="P31" s="9"/>
      <c r="Q31" s="13"/>
    </row>
    <row r="32" spans="1:17" ht="12.75">
      <c r="A32" s="2">
        <v>35947</v>
      </c>
      <c r="B32" s="38">
        <v>0</v>
      </c>
      <c r="E32" s="26">
        <f t="shared" si="0"/>
        <v>0</v>
      </c>
      <c r="F32" s="196">
        <v>47.6</v>
      </c>
      <c r="G32" s="196">
        <v>92.2</v>
      </c>
      <c r="H32" s="34">
        <v>102.40000000000003</v>
      </c>
      <c r="I32" s="9">
        <v>30</v>
      </c>
      <c r="J32" s="9"/>
      <c r="K32" s="9">
        <v>0</v>
      </c>
      <c r="L32" s="44">
        <v>123226.29999999993</v>
      </c>
      <c r="M32" s="198">
        <v>352</v>
      </c>
      <c r="N32" s="9"/>
      <c r="O32" s="9">
        <f t="shared" si="1"/>
        <v>89643938.81714253</v>
      </c>
      <c r="P32" s="9"/>
      <c r="Q32" s="13"/>
    </row>
    <row r="33" spans="1:17" ht="12.75">
      <c r="A33" s="2">
        <v>35977</v>
      </c>
      <c r="B33" s="38">
        <v>0</v>
      </c>
      <c r="E33" s="26">
        <f t="shared" si="0"/>
        <v>0</v>
      </c>
      <c r="F33" s="196">
        <v>0</v>
      </c>
      <c r="G33" s="196">
        <v>127.8</v>
      </c>
      <c r="H33" s="34">
        <v>102.80000000000004</v>
      </c>
      <c r="I33" s="9">
        <v>31</v>
      </c>
      <c r="J33" s="9"/>
      <c r="K33" s="9">
        <v>0</v>
      </c>
      <c r="L33" s="44">
        <v>123315.3166666666</v>
      </c>
      <c r="M33" s="198">
        <v>352</v>
      </c>
      <c r="N33" s="9"/>
      <c r="O33" s="9">
        <f t="shared" si="1"/>
        <v>98686586.64280602</v>
      </c>
      <c r="P33" s="9"/>
      <c r="Q33" s="13"/>
    </row>
    <row r="34" spans="1:17" ht="12.75">
      <c r="A34" s="2">
        <v>36008</v>
      </c>
      <c r="B34" s="38">
        <v>0</v>
      </c>
      <c r="E34" s="26">
        <f t="shared" si="0"/>
        <v>0</v>
      </c>
      <c r="F34" s="196">
        <v>0</v>
      </c>
      <c r="G34" s="196">
        <v>135.6</v>
      </c>
      <c r="H34" s="34">
        <v>103.20000000000005</v>
      </c>
      <c r="I34" s="9">
        <v>31</v>
      </c>
      <c r="J34" s="9"/>
      <c r="K34" s="9">
        <v>0</v>
      </c>
      <c r="L34" s="44">
        <v>123404.33333333326</v>
      </c>
      <c r="M34" s="198">
        <v>320</v>
      </c>
      <c r="N34" s="9"/>
      <c r="O34" s="9">
        <f t="shared" si="1"/>
        <v>100538468.16098781</v>
      </c>
      <c r="P34" s="9"/>
      <c r="Q34" s="13"/>
    </row>
    <row r="35" spans="1:17" ht="12.75">
      <c r="A35" s="2">
        <v>36039</v>
      </c>
      <c r="B35" s="38">
        <v>0</v>
      </c>
      <c r="E35" s="26">
        <f t="shared" si="0"/>
        <v>0</v>
      </c>
      <c r="F35" s="196">
        <v>14.1</v>
      </c>
      <c r="G35" s="196">
        <v>64</v>
      </c>
      <c r="H35" s="34">
        <v>103.60000000000005</v>
      </c>
      <c r="I35" s="9">
        <v>30</v>
      </c>
      <c r="J35" s="9"/>
      <c r="K35" s="9">
        <v>1</v>
      </c>
      <c r="L35" s="44">
        <v>123493.34999999992</v>
      </c>
      <c r="M35" s="198">
        <v>336</v>
      </c>
      <c r="N35" s="9"/>
      <c r="O35" s="9">
        <f t="shared" si="1"/>
        <v>78965317.45988673</v>
      </c>
      <c r="P35" s="9"/>
      <c r="Q35" s="13"/>
    </row>
    <row r="36" spans="1:17" ht="12.75">
      <c r="A36" s="2">
        <v>36069</v>
      </c>
      <c r="B36" s="38">
        <v>0</v>
      </c>
      <c r="E36" s="26">
        <f t="shared" si="0"/>
        <v>0</v>
      </c>
      <c r="F36" s="196">
        <v>157</v>
      </c>
      <c r="G36" s="196">
        <v>0.3</v>
      </c>
      <c r="H36" s="34">
        <v>104.00000000000006</v>
      </c>
      <c r="I36" s="9">
        <v>31</v>
      </c>
      <c r="J36" s="9"/>
      <c r="K36" s="9">
        <v>1</v>
      </c>
      <c r="L36" s="44">
        <v>123582.36666666658</v>
      </c>
      <c r="M36" s="198">
        <v>336</v>
      </c>
      <c r="N36" s="9"/>
      <c r="O36" s="9">
        <f t="shared" si="1"/>
        <v>72436894.71965434</v>
      </c>
      <c r="P36" s="9"/>
      <c r="Q36" s="13"/>
    </row>
    <row r="37" spans="1:17" ht="12.75">
      <c r="A37" s="2">
        <v>36100</v>
      </c>
      <c r="B37" s="38">
        <v>0</v>
      </c>
      <c r="E37" s="26">
        <f t="shared" si="0"/>
        <v>0</v>
      </c>
      <c r="F37" s="196">
        <v>340.5</v>
      </c>
      <c r="G37" s="196">
        <v>0</v>
      </c>
      <c r="H37" s="34">
        <v>104.40000000000006</v>
      </c>
      <c r="I37" s="9">
        <v>30</v>
      </c>
      <c r="J37" s="9"/>
      <c r="K37" s="9">
        <v>1</v>
      </c>
      <c r="L37" s="44">
        <v>123671.38333333324</v>
      </c>
      <c r="M37" s="198">
        <v>336</v>
      </c>
      <c r="N37" s="9"/>
      <c r="O37" s="9">
        <f t="shared" si="1"/>
        <v>74451946.59449624</v>
      </c>
      <c r="P37" s="9"/>
      <c r="Q37" s="13"/>
    </row>
    <row r="38" spans="1:17" ht="12.75">
      <c r="A38" s="2">
        <v>36130</v>
      </c>
      <c r="B38" s="38">
        <v>0</v>
      </c>
      <c r="E38" s="26">
        <f t="shared" si="0"/>
        <v>0</v>
      </c>
      <c r="F38" s="196">
        <v>466.2</v>
      </c>
      <c r="G38" s="196">
        <v>0</v>
      </c>
      <c r="H38" s="34">
        <v>104.80000000000001</v>
      </c>
      <c r="I38" s="9">
        <v>31</v>
      </c>
      <c r="J38" s="9"/>
      <c r="K38" s="9">
        <v>0</v>
      </c>
      <c r="L38" s="44">
        <v>123760.3999999999</v>
      </c>
      <c r="M38" s="198">
        <v>336</v>
      </c>
      <c r="N38" s="9"/>
      <c r="O38" s="9">
        <f t="shared" si="1"/>
        <v>85380262.43671687</v>
      </c>
      <c r="P38" s="9"/>
      <c r="Q38" s="13"/>
    </row>
    <row r="39" spans="1:17" ht="12.75">
      <c r="A39" s="2">
        <v>36161</v>
      </c>
      <c r="B39" s="38">
        <v>0</v>
      </c>
      <c r="E39" s="26">
        <f t="shared" si="0"/>
        <v>0</v>
      </c>
      <c r="F39" s="196">
        <v>671.9</v>
      </c>
      <c r="G39" s="196">
        <v>0</v>
      </c>
      <c r="H39" s="34">
        <v>105.45500000000001</v>
      </c>
      <c r="I39" s="9">
        <v>31</v>
      </c>
      <c r="J39" s="9"/>
      <c r="K39" s="9">
        <v>0</v>
      </c>
      <c r="L39" s="44">
        <v>123849.41666666657</v>
      </c>
      <c r="M39" s="198">
        <v>320</v>
      </c>
      <c r="N39" s="9"/>
      <c r="O39" s="9">
        <f t="shared" si="1"/>
        <v>90805789.98536605</v>
      </c>
      <c r="P39" s="9"/>
      <c r="Q39" s="13"/>
    </row>
    <row r="40" spans="1:17" ht="12.75">
      <c r="A40" s="2">
        <v>36192</v>
      </c>
      <c r="B40" s="38">
        <v>0</v>
      </c>
      <c r="E40" s="26">
        <f t="shared" si="0"/>
        <v>0</v>
      </c>
      <c r="F40" s="196">
        <v>502.7</v>
      </c>
      <c r="G40" s="196">
        <v>0</v>
      </c>
      <c r="H40" s="34">
        <v>106.11000000000001</v>
      </c>
      <c r="I40" s="9">
        <v>28</v>
      </c>
      <c r="J40" s="9"/>
      <c r="K40" s="9">
        <v>0</v>
      </c>
      <c r="L40" s="44">
        <v>123938.43333333323</v>
      </c>
      <c r="M40" s="198">
        <v>320</v>
      </c>
      <c r="N40" s="9"/>
      <c r="O40" s="9">
        <f t="shared" si="1"/>
        <v>78953893.60210657</v>
      </c>
      <c r="P40" s="9"/>
      <c r="Q40" s="13"/>
    </row>
    <row r="41" spans="1:17" ht="12.75">
      <c r="A41" s="2">
        <v>36220</v>
      </c>
      <c r="B41" s="38">
        <v>0</v>
      </c>
      <c r="E41" s="26">
        <f t="shared" si="0"/>
        <v>0</v>
      </c>
      <c r="F41" s="196">
        <v>517.7</v>
      </c>
      <c r="G41" s="196">
        <v>0</v>
      </c>
      <c r="H41" s="34">
        <v>106.76500000000001</v>
      </c>
      <c r="I41" s="9">
        <v>31</v>
      </c>
      <c r="J41" s="9"/>
      <c r="K41" s="9">
        <v>1</v>
      </c>
      <c r="L41" s="44">
        <v>124027.4499999999</v>
      </c>
      <c r="M41" s="198">
        <v>368</v>
      </c>
      <c r="N41" s="9"/>
      <c r="O41" s="9">
        <f t="shared" si="1"/>
        <v>82879448.74889609</v>
      </c>
      <c r="P41" s="9"/>
      <c r="Q41" s="13"/>
    </row>
    <row r="42" spans="1:17" ht="12.75">
      <c r="A42" s="2">
        <v>36251</v>
      </c>
      <c r="B42" s="38">
        <v>0</v>
      </c>
      <c r="E42" s="26">
        <f t="shared" si="0"/>
        <v>0</v>
      </c>
      <c r="F42" s="196">
        <v>312.5</v>
      </c>
      <c r="G42" s="196">
        <v>0</v>
      </c>
      <c r="H42" s="34">
        <v>107.42000000000002</v>
      </c>
      <c r="I42" s="9">
        <v>30</v>
      </c>
      <c r="J42" s="9"/>
      <c r="K42" s="9">
        <v>1</v>
      </c>
      <c r="L42" s="44">
        <v>124116.46666666656</v>
      </c>
      <c r="M42" s="198">
        <v>336</v>
      </c>
      <c r="N42" s="9"/>
      <c r="O42" s="9">
        <f t="shared" si="1"/>
        <v>75525105.77532525</v>
      </c>
      <c r="P42" s="9"/>
      <c r="Q42" s="13"/>
    </row>
    <row r="43" spans="1:17" ht="12.75">
      <c r="A43" s="2">
        <v>36281</v>
      </c>
      <c r="B43" s="38">
        <v>0</v>
      </c>
      <c r="E43" s="26">
        <f t="shared" si="0"/>
        <v>0</v>
      </c>
      <c r="F43" s="196">
        <v>137.3</v>
      </c>
      <c r="G43" s="196">
        <v>14.1</v>
      </c>
      <c r="H43" s="34">
        <v>108.07500000000002</v>
      </c>
      <c r="I43" s="9">
        <v>31</v>
      </c>
      <c r="J43" s="9"/>
      <c r="K43" s="9">
        <v>1</v>
      </c>
      <c r="L43" s="44">
        <v>124205.48333333322</v>
      </c>
      <c r="M43" s="198">
        <v>320</v>
      </c>
      <c r="N43" s="9"/>
      <c r="O43" s="9">
        <f t="shared" si="1"/>
        <v>77164034.80172963</v>
      </c>
      <c r="P43" s="9"/>
      <c r="Q43" s="13"/>
    </row>
    <row r="44" spans="1:17" ht="12.75">
      <c r="A44" s="2">
        <v>36312</v>
      </c>
      <c r="B44" s="38">
        <v>0</v>
      </c>
      <c r="E44" s="26">
        <f t="shared" si="0"/>
        <v>0</v>
      </c>
      <c r="F44" s="196">
        <v>17.7</v>
      </c>
      <c r="G44" s="196">
        <v>72.6</v>
      </c>
      <c r="H44" s="34">
        <v>108.73000000000002</v>
      </c>
      <c r="I44" s="9">
        <v>30</v>
      </c>
      <c r="J44" s="9"/>
      <c r="K44" s="9">
        <v>0</v>
      </c>
      <c r="L44" s="44">
        <v>124294.49999999988</v>
      </c>
      <c r="M44" s="198">
        <v>352</v>
      </c>
      <c r="N44" s="9"/>
      <c r="O44" s="9">
        <f t="shared" si="1"/>
        <v>88730206.29233946</v>
      </c>
      <c r="P44" s="9"/>
      <c r="Q44" s="13"/>
    </row>
    <row r="45" spans="1:17" ht="12.75">
      <c r="A45" s="2">
        <v>36342</v>
      </c>
      <c r="B45" s="38">
        <v>0</v>
      </c>
      <c r="E45" s="26">
        <f t="shared" si="0"/>
        <v>0</v>
      </c>
      <c r="F45" s="196">
        <v>0.2</v>
      </c>
      <c r="G45" s="196">
        <v>184.1</v>
      </c>
      <c r="H45" s="34">
        <v>109.38500000000002</v>
      </c>
      <c r="I45" s="9">
        <v>31</v>
      </c>
      <c r="J45" s="9"/>
      <c r="K45" s="9">
        <v>0</v>
      </c>
      <c r="L45" s="44">
        <v>124383.51666666655</v>
      </c>
      <c r="M45" s="198">
        <v>336</v>
      </c>
      <c r="N45" s="9"/>
      <c r="O45" s="9">
        <f t="shared" si="1"/>
        <v>114102379.27491438</v>
      </c>
      <c r="P45" s="9"/>
      <c r="Q45" s="13"/>
    </row>
    <row r="46" spans="1:17" ht="12.75">
      <c r="A46" s="2">
        <v>36373</v>
      </c>
      <c r="B46" s="38">
        <v>0</v>
      </c>
      <c r="E46" s="26">
        <f t="shared" si="0"/>
        <v>0</v>
      </c>
      <c r="F46" s="196">
        <v>1.6</v>
      </c>
      <c r="G46" s="196">
        <v>91</v>
      </c>
      <c r="H46" s="34">
        <v>110.04000000000002</v>
      </c>
      <c r="I46" s="9">
        <v>31</v>
      </c>
      <c r="J46" s="9"/>
      <c r="K46" s="9">
        <v>0</v>
      </c>
      <c r="L46" s="44">
        <v>124472.53333333321</v>
      </c>
      <c r="M46" s="198">
        <v>336</v>
      </c>
      <c r="N46" s="9"/>
      <c r="O46" s="9">
        <f t="shared" si="1"/>
        <v>95527284.83047053</v>
      </c>
      <c r="P46" s="9"/>
      <c r="Q46" s="13"/>
    </row>
    <row r="47" spans="1:17" ht="12.75">
      <c r="A47" s="2">
        <v>36404</v>
      </c>
      <c r="B47" s="38">
        <v>0</v>
      </c>
      <c r="E47" s="26">
        <f t="shared" si="0"/>
        <v>0</v>
      </c>
      <c r="F47" s="196">
        <v>25.2</v>
      </c>
      <c r="G47" s="196">
        <v>59.6</v>
      </c>
      <c r="H47" s="34">
        <v>110.69500000000002</v>
      </c>
      <c r="I47" s="9">
        <v>30</v>
      </c>
      <c r="J47" s="9"/>
      <c r="K47" s="9">
        <v>1</v>
      </c>
      <c r="L47" s="44">
        <v>124561.54999999987</v>
      </c>
      <c r="M47" s="198">
        <v>336</v>
      </c>
      <c r="N47" s="9"/>
      <c r="O47" s="9">
        <f t="shared" si="1"/>
        <v>82498160.26633339</v>
      </c>
      <c r="P47" s="9"/>
      <c r="Q47" s="13"/>
    </row>
    <row r="48" spans="1:17" ht="12.75">
      <c r="A48" s="2">
        <v>36434</v>
      </c>
      <c r="B48" s="38">
        <v>0</v>
      </c>
      <c r="E48" s="26">
        <f t="shared" si="0"/>
        <v>0</v>
      </c>
      <c r="F48" s="196">
        <v>201</v>
      </c>
      <c r="G48" s="196">
        <v>1</v>
      </c>
      <c r="H48" s="34">
        <v>111.35000000000002</v>
      </c>
      <c r="I48" s="9">
        <v>31</v>
      </c>
      <c r="J48" s="9"/>
      <c r="K48" s="9">
        <v>1</v>
      </c>
      <c r="L48" s="44">
        <v>124650.56666666653</v>
      </c>
      <c r="M48" s="198">
        <v>320</v>
      </c>
      <c r="N48" s="9"/>
      <c r="O48" s="9">
        <f t="shared" si="1"/>
        <v>77930976.43117426</v>
      </c>
      <c r="P48" s="9"/>
      <c r="Q48" s="13"/>
    </row>
    <row r="49" spans="1:17" ht="12.75">
      <c r="A49" s="2">
        <v>36465</v>
      </c>
      <c r="B49" s="38">
        <v>0</v>
      </c>
      <c r="E49" s="26">
        <f t="shared" si="0"/>
        <v>0</v>
      </c>
      <c r="F49" s="196">
        <v>322.1</v>
      </c>
      <c r="G49" s="196">
        <v>0</v>
      </c>
      <c r="H49" s="34">
        <v>112.00500000000002</v>
      </c>
      <c r="I49" s="9">
        <v>30</v>
      </c>
      <c r="J49" s="9"/>
      <c r="K49" s="9">
        <v>1</v>
      </c>
      <c r="L49" s="44">
        <v>124739.5833333332</v>
      </c>
      <c r="M49" s="198">
        <v>352</v>
      </c>
      <c r="N49" s="9"/>
      <c r="O49" s="9">
        <f t="shared" si="1"/>
        <v>78384601.8637305</v>
      </c>
      <c r="P49" s="9"/>
      <c r="Q49" s="13"/>
    </row>
    <row r="50" spans="1:17" ht="12.75">
      <c r="A50" s="2">
        <v>36495</v>
      </c>
      <c r="B50" s="38">
        <v>0</v>
      </c>
      <c r="E50" s="26">
        <f t="shared" si="0"/>
        <v>0</v>
      </c>
      <c r="F50" s="196">
        <v>516</v>
      </c>
      <c r="G50" s="196">
        <v>0</v>
      </c>
      <c r="H50" s="34">
        <v>112.66000000000001</v>
      </c>
      <c r="I50" s="9">
        <v>31</v>
      </c>
      <c r="J50" s="9"/>
      <c r="K50" s="9">
        <v>0</v>
      </c>
      <c r="L50" s="44">
        <v>124828.59999999986</v>
      </c>
      <c r="M50" s="198">
        <v>336</v>
      </c>
      <c r="N50" s="9"/>
      <c r="O50" s="9">
        <f t="shared" si="1"/>
        <v>91100947.16668373</v>
      </c>
      <c r="P50" s="9"/>
      <c r="Q50" s="13"/>
    </row>
    <row r="51" spans="1:17" ht="12.75">
      <c r="A51" s="2">
        <v>36526</v>
      </c>
      <c r="B51" s="38">
        <v>0</v>
      </c>
      <c r="E51" s="26">
        <f t="shared" si="0"/>
        <v>0</v>
      </c>
      <c r="F51" s="196">
        <v>662.5</v>
      </c>
      <c r="G51" s="196">
        <v>0</v>
      </c>
      <c r="H51" s="34">
        <v>113.21391166666668</v>
      </c>
      <c r="I51" s="9">
        <v>31</v>
      </c>
      <c r="J51" s="9"/>
      <c r="K51" s="9">
        <v>0</v>
      </c>
      <c r="L51" s="44">
        <v>124917.61666666652</v>
      </c>
      <c r="M51" s="198">
        <v>320</v>
      </c>
      <c r="N51" s="9"/>
      <c r="O51" s="9">
        <f t="shared" si="1"/>
        <v>95027913.59908555</v>
      </c>
      <c r="P51" s="9"/>
      <c r="Q51" s="13"/>
    </row>
    <row r="52" spans="1:17" ht="12.75">
      <c r="A52" s="2">
        <v>36557</v>
      </c>
      <c r="B52" s="38">
        <v>0</v>
      </c>
      <c r="E52" s="26">
        <f t="shared" si="0"/>
        <v>0</v>
      </c>
      <c r="F52" s="196">
        <v>542.5</v>
      </c>
      <c r="G52" s="196">
        <v>0</v>
      </c>
      <c r="H52" s="34">
        <v>113.76782333333334</v>
      </c>
      <c r="I52" s="9">
        <v>29</v>
      </c>
      <c r="J52" s="9"/>
      <c r="K52" s="9">
        <v>0</v>
      </c>
      <c r="L52" s="44">
        <v>125006.63333333319</v>
      </c>
      <c r="M52" s="198">
        <v>336</v>
      </c>
      <c r="N52" s="9"/>
      <c r="O52" s="9">
        <f t="shared" si="1"/>
        <v>87029823.98772047</v>
      </c>
      <c r="P52" s="9"/>
      <c r="Q52" s="13"/>
    </row>
    <row r="53" spans="1:17" ht="12.75">
      <c r="A53" s="2">
        <v>36586</v>
      </c>
      <c r="B53" s="38">
        <v>0</v>
      </c>
      <c r="E53" s="26">
        <f t="shared" si="0"/>
        <v>0</v>
      </c>
      <c r="F53" s="196">
        <v>426.9</v>
      </c>
      <c r="G53" s="196">
        <v>0</v>
      </c>
      <c r="H53" s="34">
        <v>114.321735</v>
      </c>
      <c r="I53" s="9">
        <v>31</v>
      </c>
      <c r="J53" s="9"/>
      <c r="K53" s="9">
        <v>1</v>
      </c>
      <c r="L53" s="44">
        <v>125095.64999999985</v>
      </c>
      <c r="M53" s="198">
        <v>368</v>
      </c>
      <c r="N53" s="9"/>
      <c r="O53" s="9">
        <f t="shared" si="1"/>
        <v>85012938.05561136</v>
      </c>
      <c r="P53" s="9"/>
      <c r="Q53" s="13"/>
    </row>
    <row r="54" spans="1:17" ht="12.75">
      <c r="A54" s="2">
        <v>36617</v>
      </c>
      <c r="B54" s="38">
        <v>0</v>
      </c>
      <c r="E54" s="26">
        <f t="shared" si="0"/>
        <v>0</v>
      </c>
      <c r="F54" s="196">
        <v>337.1</v>
      </c>
      <c r="G54" s="196">
        <v>0</v>
      </c>
      <c r="H54" s="34">
        <v>114.87564666666667</v>
      </c>
      <c r="I54" s="9">
        <v>30</v>
      </c>
      <c r="J54" s="9"/>
      <c r="K54" s="9">
        <v>1</v>
      </c>
      <c r="L54" s="44">
        <v>125184.66666666651</v>
      </c>
      <c r="M54" s="198">
        <v>304</v>
      </c>
      <c r="N54" s="9"/>
      <c r="O54" s="9">
        <f t="shared" si="1"/>
        <v>80447114.82499994</v>
      </c>
      <c r="P54" s="9"/>
      <c r="Q54" s="13"/>
    </row>
    <row r="55" spans="1:17" ht="12.75">
      <c r="A55" s="2">
        <v>36647</v>
      </c>
      <c r="B55" s="38">
        <v>0</v>
      </c>
      <c r="E55" s="26">
        <f t="shared" si="0"/>
        <v>0</v>
      </c>
      <c r="F55" s="196">
        <v>149.2</v>
      </c>
      <c r="G55" s="196">
        <v>0</v>
      </c>
      <c r="H55" s="34">
        <v>115.42955833333333</v>
      </c>
      <c r="I55" s="9">
        <v>31</v>
      </c>
      <c r="J55" s="9"/>
      <c r="K55" s="9">
        <v>1</v>
      </c>
      <c r="L55" s="44">
        <v>125273.68333333317</v>
      </c>
      <c r="M55" s="198">
        <v>352</v>
      </c>
      <c r="N55" s="9"/>
      <c r="O55" s="9">
        <f t="shared" si="1"/>
        <v>78854058.512916</v>
      </c>
      <c r="P55" s="9"/>
      <c r="Q55" s="13"/>
    </row>
    <row r="56" spans="1:17" ht="12.75">
      <c r="A56" s="2">
        <v>36678</v>
      </c>
      <c r="B56" s="38">
        <v>0</v>
      </c>
      <c r="E56" s="26">
        <f t="shared" si="0"/>
        <v>0</v>
      </c>
      <c r="F56" s="196">
        <v>44.8</v>
      </c>
      <c r="G56" s="196">
        <v>33.1</v>
      </c>
      <c r="H56" s="34">
        <v>115.98347</v>
      </c>
      <c r="I56" s="9">
        <v>30</v>
      </c>
      <c r="J56" s="9"/>
      <c r="K56" s="9">
        <v>0</v>
      </c>
      <c r="L56" s="44">
        <v>125362.69999999984</v>
      </c>
      <c r="M56" s="198">
        <v>352</v>
      </c>
      <c r="N56" s="9"/>
      <c r="O56" s="9">
        <f t="shared" si="1"/>
        <v>85569077.36053446</v>
      </c>
      <c r="P56" s="9"/>
      <c r="Q56" s="13"/>
    </row>
    <row r="57" spans="1:17" ht="12.75">
      <c r="A57" s="2">
        <v>36708</v>
      </c>
      <c r="B57" s="38">
        <v>0</v>
      </c>
      <c r="E57" s="26">
        <f t="shared" si="0"/>
        <v>0</v>
      </c>
      <c r="F57" s="196">
        <v>0.2</v>
      </c>
      <c r="G57" s="196">
        <v>83.7</v>
      </c>
      <c r="H57" s="34">
        <v>116.53738166666666</v>
      </c>
      <c r="I57" s="9">
        <v>31</v>
      </c>
      <c r="J57" s="9"/>
      <c r="K57" s="9">
        <v>0</v>
      </c>
      <c r="L57" s="44">
        <v>125451.7166666665</v>
      </c>
      <c r="M57" s="198">
        <v>320</v>
      </c>
      <c r="N57" s="9"/>
      <c r="O57" s="9">
        <f t="shared" si="1"/>
        <v>97812565.37825242</v>
      </c>
      <c r="P57" s="9"/>
      <c r="Q57" s="13"/>
    </row>
    <row r="58" spans="1:17" ht="12.75">
      <c r="A58" s="2">
        <v>36739</v>
      </c>
      <c r="B58" s="38">
        <v>0</v>
      </c>
      <c r="E58" s="26">
        <f t="shared" si="0"/>
        <v>0</v>
      </c>
      <c r="F58" s="196">
        <v>2.8</v>
      </c>
      <c r="G58" s="196">
        <v>109.1</v>
      </c>
      <c r="H58" s="34">
        <v>117.09129333333333</v>
      </c>
      <c r="I58" s="9">
        <v>31</v>
      </c>
      <c r="J58" s="9"/>
      <c r="K58" s="9">
        <v>0</v>
      </c>
      <c r="L58" s="44">
        <v>125540.73333333316</v>
      </c>
      <c r="M58" s="198">
        <v>352</v>
      </c>
      <c r="N58" s="9"/>
      <c r="O58" s="9">
        <f t="shared" si="1"/>
        <v>103385639.26113887</v>
      </c>
      <c r="P58" s="9"/>
      <c r="Q58" s="13"/>
    </row>
    <row r="59" spans="1:17" ht="12.75">
      <c r="A59" s="2">
        <v>36770</v>
      </c>
      <c r="B59" s="38">
        <v>0</v>
      </c>
      <c r="E59" s="26">
        <f t="shared" si="0"/>
        <v>0</v>
      </c>
      <c r="F59" s="196">
        <v>60.3</v>
      </c>
      <c r="G59" s="196">
        <v>50.3</v>
      </c>
      <c r="H59" s="34">
        <v>117.64520499999999</v>
      </c>
      <c r="I59" s="9">
        <v>30</v>
      </c>
      <c r="J59" s="9"/>
      <c r="K59" s="9">
        <v>1</v>
      </c>
      <c r="L59" s="44">
        <v>125629.74999999983</v>
      </c>
      <c r="M59" s="198">
        <v>320</v>
      </c>
      <c r="N59" s="9"/>
      <c r="O59" s="9">
        <f t="shared" si="1"/>
        <v>85556690.86711685</v>
      </c>
      <c r="P59" s="9"/>
      <c r="Q59" s="13"/>
    </row>
    <row r="60" spans="1:17" ht="12.75">
      <c r="A60" s="2">
        <v>36800</v>
      </c>
      <c r="B60" s="38">
        <v>0</v>
      </c>
      <c r="E60" s="26">
        <f t="shared" si="0"/>
        <v>0</v>
      </c>
      <c r="F60" s="196">
        <v>196.6</v>
      </c>
      <c r="G60" s="196">
        <v>0</v>
      </c>
      <c r="H60" s="34">
        <v>118.19911666666665</v>
      </c>
      <c r="I60" s="9">
        <v>31</v>
      </c>
      <c r="J60" s="9"/>
      <c r="K60" s="9">
        <v>1</v>
      </c>
      <c r="L60" s="44">
        <v>125718.76666666649</v>
      </c>
      <c r="M60" s="198">
        <v>336</v>
      </c>
      <c r="N60" s="9"/>
      <c r="O60" s="9">
        <f t="shared" si="1"/>
        <v>81667131.81672008</v>
      </c>
      <c r="P60" s="9"/>
      <c r="Q60" s="13"/>
    </row>
    <row r="61" spans="1:17" ht="12.75">
      <c r="A61" s="2">
        <v>36831</v>
      </c>
      <c r="B61" s="38">
        <v>0</v>
      </c>
      <c r="E61" s="26">
        <f t="shared" si="0"/>
        <v>0</v>
      </c>
      <c r="F61" s="196">
        <v>376.8</v>
      </c>
      <c r="G61" s="196">
        <v>0</v>
      </c>
      <c r="H61" s="34">
        <v>118.75302833333332</v>
      </c>
      <c r="I61" s="9">
        <v>30</v>
      </c>
      <c r="J61" s="9"/>
      <c r="K61" s="9">
        <v>1</v>
      </c>
      <c r="L61" s="44">
        <v>125807.78333333315</v>
      </c>
      <c r="M61" s="198">
        <v>352</v>
      </c>
      <c r="N61" s="9"/>
      <c r="O61" s="9">
        <f t="shared" si="1"/>
        <v>83730815.06941815</v>
      </c>
      <c r="P61" s="9"/>
      <c r="Q61" s="13"/>
    </row>
    <row r="62" spans="1:17" ht="12.75">
      <c r="A62" s="2">
        <v>36861</v>
      </c>
      <c r="B62" s="38">
        <v>0</v>
      </c>
      <c r="E62" s="26">
        <f t="shared" si="0"/>
        <v>0</v>
      </c>
      <c r="F62" s="196">
        <v>628.6</v>
      </c>
      <c r="G62" s="196">
        <v>0</v>
      </c>
      <c r="H62" s="34">
        <v>119.30694000000001</v>
      </c>
      <c r="I62" s="9">
        <v>31</v>
      </c>
      <c r="J62" s="9"/>
      <c r="K62" s="9">
        <v>0</v>
      </c>
      <c r="L62" s="44">
        <v>125896.79999999981</v>
      </c>
      <c r="M62" s="198">
        <v>304</v>
      </c>
      <c r="N62" s="9"/>
      <c r="O62" s="9">
        <f t="shared" si="1"/>
        <v>97823840.77166304</v>
      </c>
      <c r="P62" s="9"/>
      <c r="Q62" s="13"/>
    </row>
    <row r="63" spans="1:17" ht="12.75">
      <c r="A63" s="2">
        <v>36892</v>
      </c>
      <c r="B63" s="38">
        <v>0</v>
      </c>
      <c r="E63" s="26">
        <f t="shared" si="0"/>
        <v>0</v>
      </c>
      <c r="F63" s="196">
        <v>621.5</v>
      </c>
      <c r="G63" s="196">
        <v>0</v>
      </c>
      <c r="H63" s="34">
        <v>119.48590041000001</v>
      </c>
      <c r="I63" s="9">
        <v>31</v>
      </c>
      <c r="J63" s="9"/>
      <c r="K63" s="9">
        <v>0</v>
      </c>
      <c r="L63" s="44">
        <v>125985.81666666648</v>
      </c>
      <c r="M63" s="198">
        <v>352</v>
      </c>
      <c r="N63" s="9"/>
      <c r="O63" s="9">
        <f t="shared" si="1"/>
        <v>97812515.68271495</v>
      </c>
      <c r="P63" s="9"/>
      <c r="Q63" s="13"/>
    </row>
    <row r="64" spans="1:17" ht="12.75">
      <c r="A64" s="2">
        <v>36925</v>
      </c>
      <c r="B64" s="38">
        <v>0</v>
      </c>
      <c r="E64" s="26">
        <f t="shared" si="0"/>
        <v>0</v>
      </c>
      <c r="F64" s="196">
        <v>530.3000000000001</v>
      </c>
      <c r="G64" s="196">
        <v>0</v>
      </c>
      <c r="H64" s="34">
        <v>119.66486082000002</v>
      </c>
      <c r="I64" s="9">
        <v>28</v>
      </c>
      <c r="J64" s="9"/>
      <c r="K64" s="9">
        <v>0</v>
      </c>
      <c r="L64" s="44">
        <v>126074.83333333314</v>
      </c>
      <c r="M64" s="198">
        <v>320</v>
      </c>
      <c r="N64" s="9"/>
      <c r="O64" s="9">
        <f t="shared" si="1"/>
        <v>87663990.68165965</v>
      </c>
      <c r="P64" s="9"/>
      <c r="Q64" s="13"/>
    </row>
    <row r="65" spans="1:17" ht="12.75">
      <c r="A65" s="2">
        <v>36958</v>
      </c>
      <c r="B65" s="38">
        <v>0</v>
      </c>
      <c r="E65" s="26">
        <f t="shared" si="0"/>
        <v>0</v>
      </c>
      <c r="F65" s="196">
        <v>520.5</v>
      </c>
      <c r="G65" s="196">
        <v>0</v>
      </c>
      <c r="H65" s="34">
        <v>119.84382123000002</v>
      </c>
      <c r="I65" s="9">
        <v>31</v>
      </c>
      <c r="J65" s="9"/>
      <c r="K65" s="9">
        <v>1</v>
      </c>
      <c r="L65" s="44">
        <v>126163.8499999998</v>
      </c>
      <c r="M65" s="198">
        <v>352</v>
      </c>
      <c r="N65" s="9"/>
      <c r="O65" s="9">
        <f t="shared" si="1"/>
        <v>90768794.00145255</v>
      </c>
      <c r="P65" s="9"/>
      <c r="Q65" s="13"/>
    </row>
    <row r="66" spans="1:17" ht="12.75">
      <c r="A66" s="2">
        <v>36991</v>
      </c>
      <c r="B66" s="38">
        <v>0</v>
      </c>
      <c r="E66" s="26">
        <f t="shared" si="0"/>
        <v>0</v>
      </c>
      <c r="F66" s="196">
        <v>322.8</v>
      </c>
      <c r="G66" s="196">
        <v>0</v>
      </c>
      <c r="H66" s="34">
        <v>120.02278164000002</v>
      </c>
      <c r="I66" s="9">
        <v>30</v>
      </c>
      <c r="J66" s="9"/>
      <c r="K66" s="9">
        <v>1</v>
      </c>
      <c r="L66" s="44">
        <v>126252.86666666646</v>
      </c>
      <c r="M66" s="198">
        <v>320</v>
      </c>
      <c r="N66" s="9"/>
      <c r="O66" s="9">
        <f t="shared" si="1"/>
        <v>83386784.60611066</v>
      </c>
      <c r="P66" s="9"/>
      <c r="Q66" s="13"/>
    </row>
    <row r="67" spans="1:17" ht="12.75">
      <c r="A67" s="2">
        <v>37024</v>
      </c>
      <c r="B67" s="38">
        <v>0</v>
      </c>
      <c r="E67" s="26">
        <f aca="true" t="shared" si="2" ref="E67:E130">B67+D67+C67</f>
        <v>0</v>
      </c>
      <c r="F67" s="196">
        <v>129.4</v>
      </c>
      <c r="G67" s="196">
        <v>2.2</v>
      </c>
      <c r="H67" s="34">
        <v>120.20174205000002</v>
      </c>
      <c r="I67" s="9">
        <v>31</v>
      </c>
      <c r="J67" s="9"/>
      <c r="K67" s="9">
        <v>1</v>
      </c>
      <c r="L67" s="44">
        <v>126341.88333333313</v>
      </c>
      <c r="M67" s="198">
        <v>352</v>
      </c>
      <c r="N67" s="9"/>
      <c r="O67" s="9">
        <f t="shared" si="1"/>
        <v>81940452.33211085</v>
      </c>
      <c r="P67" s="9"/>
      <c r="Q67" s="13"/>
    </row>
    <row r="68" spans="1:17" ht="12.75">
      <c r="A68" s="2">
        <v>37057</v>
      </c>
      <c r="B68" s="38">
        <v>0</v>
      </c>
      <c r="E68" s="26">
        <f t="shared" si="2"/>
        <v>0</v>
      </c>
      <c r="F68" s="196">
        <v>27.7</v>
      </c>
      <c r="G68" s="196">
        <v>61</v>
      </c>
      <c r="H68" s="34">
        <v>120.38070246000002</v>
      </c>
      <c r="I68" s="9">
        <v>30</v>
      </c>
      <c r="J68" s="9"/>
      <c r="K68" s="9">
        <v>0</v>
      </c>
      <c r="L68" s="44">
        <v>126430.89999999979</v>
      </c>
      <c r="M68" s="198">
        <v>336</v>
      </c>
      <c r="N68" s="9"/>
      <c r="O68" s="9">
        <f aca="true" t="shared" si="3" ref="O68:O131">$S$18+F68*$S$19+G68*$S$20+H68*$S$21+I68*$S$22+J68*$S$23+K68*$S$24+L68*$S$25</f>
        <v>93795490.05347286</v>
      </c>
      <c r="P68" s="9"/>
      <c r="Q68" s="13"/>
    </row>
    <row r="69" spans="1:17" ht="12.75">
      <c r="A69" s="2">
        <v>37090</v>
      </c>
      <c r="B69" s="38">
        <v>0</v>
      </c>
      <c r="E69" s="26">
        <f t="shared" si="2"/>
        <v>0</v>
      </c>
      <c r="F69" s="196">
        <v>1.8</v>
      </c>
      <c r="G69" s="196">
        <v>91</v>
      </c>
      <c r="H69" s="34">
        <v>120.55966287000003</v>
      </c>
      <c r="I69" s="9">
        <v>31</v>
      </c>
      <c r="J69" s="9"/>
      <c r="K69" s="9">
        <v>0</v>
      </c>
      <c r="L69" s="44">
        <v>126519.91666666645</v>
      </c>
      <c r="M69" s="198">
        <v>336</v>
      </c>
      <c r="N69" s="9"/>
      <c r="O69" s="9">
        <f t="shared" si="3"/>
        <v>102130687.11492638</v>
      </c>
      <c r="P69" s="9"/>
      <c r="Q69" s="13"/>
    </row>
    <row r="70" spans="1:17" ht="12.75">
      <c r="A70" s="2">
        <v>37123</v>
      </c>
      <c r="B70" s="38">
        <v>0</v>
      </c>
      <c r="E70" s="26">
        <f t="shared" si="2"/>
        <v>0</v>
      </c>
      <c r="F70" s="196">
        <v>0</v>
      </c>
      <c r="G70" s="196">
        <v>0</v>
      </c>
      <c r="H70" s="34">
        <v>120.73862328000003</v>
      </c>
      <c r="I70" s="9">
        <v>31</v>
      </c>
      <c r="J70" s="9"/>
      <c r="K70" s="9">
        <v>0</v>
      </c>
      <c r="L70" s="44">
        <v>126608.93333333312</v>
      </c>
      <c r="M70" s="198">
        <v>352</v>
      </c>
      <c r="N70" s="9"/>
      <c r="O70" s="9">
        <f t="shared" si="3"/>
        <v>83693418.55209173</v>
      </c>
      <c r="P70" s="9"/>
      <c r="Q70" s="13"/>
    </row>
    <row r="71" spans="1:17" ht="12.75">
      <c r="A71" s="2">
        <v>37156</v>
      </c>
      <c r="B71" s="38">
        <v>0</v>
      </c>
      <c r="E71" s="26">
        <f t="shared" si="2"/>
        <v>0</v>
      </c>
      <c r="F71" s="196">
        <v>43.6</v>
      </c>
      <c r="G71" s="196">
        <v>45.2</v>
      </c>
      <c r="H71" s="34">
        <v>120.91758369000003</v>
      </c>
      <c r="I71" s="9">
        <v>30</v>
      </c>
      <c r="J71" s="9"/>
      <c r="K71" s="9">
        <v>1</v>
      </c>
      <c r="L71" s="44">
        <v>126697.94999999978</v>
      </c>
      <c r="M71" s="198">
        <v>304</v>
      </c>
      <c r="N71" s="9"/>
      <c r="O71" s="9">
        <f t="shared" si="3"/>
        <v>86563280.9481037</v>
      </c>
      <c r="P71" s="9"/>
      <c r="Q71" s="13"/>
    </row>
    <row r="72" spans="1:17" ht="12.75">
      <c r="A72" s="2">
        <v>37189</v>
      </c>
      <c r="B72" s="38">
        <v>0</v>
      </c>
      <c r="E72" s="26">
        <f t="shared" si="2"/>
        <v>0</v>
      </c>
      <c r="F72" s="196">
        <v>184.9</v>
      </c>
      <c r="G72" s="196">
        <v>3.8</v>
      </c>
      <c r="H72" s="34">
        <v>121.09654410000003</v>
      </c>
      <c r="I72" s="9">
        <v>31</v>
      </c>
      <c r="J72" s="9"/>
      <c r="K72" s="9">
        <v>1</v>
      </c>
      <c r="L72" s="44">
        <v>126786.96666666644</v>
      </c>
      <c r="M72" s="198">
        <v>352</v>
      </c>
      <c r="N72" s="9"/>
      <c r="O72" s="9">
        <f t="shared" si="3"/>
        <v>84444476.82566842</v>
      </c>
      <c r="P72" s="9"/>
      <c r="Q72" s="13"/>
    </row>
    <row r="73" spans="1:17" ht="12.75">
      <c r="A73" s="2">
        <v>37222</v>
      </c>
      <c r="B73" s="38">
        <v>0</v>
      </c>
      <c r="E73" s="26">
        <f t="shared" si="2"/>
        <v>0</v>
      </c>
      <c r="F73" s="196">
        <v>290.4</v>
      </c>
      <c r="G73" s="196">
        <v>0</v>
      </c>
      <c r="H73" s="34">
        <v>121.27550451000003</v>
      </c>
      <c r="I73" s="9">
        <v>30</v>
      </c>
      <c r="J73" s="9"/>
      <c r="K73" s="9">
        <v>1</v>
      </c>
      <c r="L73" s="44">
        <v>126875.9833333331</v>
      </c>
      <c r="M73" s="198">
        <v>352</v>
      </c>
      <c r="N73" s="9"/>
      <c r="O73" s="9">
        <f t="shared" si="3"/>
        <v>83732288.47296007</v>
      </c>
      <c r="P73" s="9"/>
      <c r="Q73" s="13"/>
    </row>
    <row r="74" spans="1:17" ht="12.75">
      <c r="A74" s="2">
        <v>37255</v>
      </c>
      <c r="B74" s="38">
        <v>0</v>
      </c>
      <c r="E74" s="26">
        <f t="shared" si="2"/>
        <v>0</v>
      </c>
      <c r="F74" s="196">
        <v>455</v>
      </c>
      <c r="G74" s="196">
        <v>0</v>
      </c>
      <c r="H74" s="34">
        <v>121.45446492</v>
      </c>
      <c r="I74" s="9">
        <v>31</v>
      </c>
      <c r="J74" s="9"/>
      <c r="K74" s="9">
        <v>0</v>
      </c>
      <c r="L74" s="44">
        <v>126965</v>
      </c>
      <c r="M74" s="198">
        <v>304</v>
      </c>
      <c r="N74" s="9"/>
      <c r="O74" s="9">
        <f t="shared" si="3"/>
        <v>95517390.1741951</v>
      </c>
      <c r="P74" s="9"/>
      <c r="Q74" s="13"/>
    </row>
    <row r="75" spans="1:36" s="14" customFormat="1" ht="12.75">
      <c r="A75" s="12">
        <v>37275</v>
      </c>
      <c r="B75" s="38">
        <v>98398774.07602799</v>
      </c>
      <c r="C75" s="26"/>
      <c r="D75" s="26"/>
      <c r="E75" s="26">
        <f t="shared" si="2"/>
        <v>98398774.07602799</v>
      </c>
      <c r="F75" s="196">
        <v>530.3</v>
      </c>
      <c r="G75" s="196">
        <v>0</v>
      </c>
      <c r="H75" s="34">
        <v>121.76822228771</v>
      </c>
      <c r="I75" s="9">
        <v>31</v>
      </c>
      <c r="J75" s="9">
        <v>0</v>
      </c>
      <c r="K75" s="9">
        <v>0</v>
      </c>
      <c r="L75" s="44">
        <v>127069.38333333333</v>
      </c>
      <c r="M75" s="198">
        <v>352</v>
      </c>
      <c r="N75" s="9"/>
      <c r="O75" s="9">
        <f t="shared" si="3"/>
        <v>97603664.64146474</v>
      </c>
      <c r="P75" s="9"/>
      <c r="Q75" s="13"/>
      <c r="R75"/>
      <c r="S75"/>
      <c r="T75"/>
      <c r="U75"/>
      <c r="V75"/>
      <c r="W75"/>
      <c r="X75"/>
      <c r="Y75"/>
      <c r="Z75"/>
      <c r="AA75"/>
      <c r="AB75" s="10"/>
      <c r="AC75" s="10"/>
      <c r="AD75" s="10"/>
      <c r="AE75" s="10"/>
      <c r="AF75" s="10"/>
      <c r="AG75" s="10"/>
      <c r="AH75" s="10"/>
      <c r="AI75" s="10"/>
      <c r="AJ75" s="10"/>
    </row>
    <row r="76" spans="1:17" ht="12.75">
      <c r="A76" s="2">
        <v>37308</v>
      </c>
      <c r="B76" s="38">
        <v>87515454.44591543</v>
      </c>
      <c r="E76" s="26">
        <f t="shared" si="2"/>
        <v>87515454.44591543</v>
      </c>
      <c r="F76" s="196">
        <v>492.3</v>
      </c>
      <c r="G76" s="196">
        <v>0</v>
      </c>
      <c r="H76" s="34">
        <v>122.08197965542</v>
      </c>
      <c r="I76" s="9">
        <v>28</v>
      </c>
      <c r="J76" s="9">
        <v>0</v>
      </c>
      <c r="K76" s="9">
        <v>0</v>
      </c>
      <c r="L76" s="44">
        <v>127173.76666666666</v>
      </c>
      <c r="M76" s="198">
        <v>320</v>
      </c>
      <c r="N76" s="9"/>
      <c r="O76" s="9">
        <f t="shared" si="3"/>
        <v>88835770.34732112</v>
      </c>
      <c r="P76" s="9"/>
      <c r="Q76" s="13"/>
    </row>
    <row r="77" spans="1:17" ht="12.75">
      <c r="A77" s="2">
        <v>37341</v>
      </c>
      <c r="B77" s="38">
        <v>94028461.32406956</v>
      </c>
      <c r="E77" s="26">
        <f t="shared" si="2"/>
        <v>94028461.32406956</v>
      </c>
      <c r="F77" s="196">
        <v>513.5</v>
      </c>
      <c r="G77" s="196">
        <v>0</v>
      </c>
      <c r="H77" s="34">
        <v>122.39573702313</v>
      </c>
      <c r="I77" s="9">
        <v>31</v>
      </c>
      <c r="J77" s="9">
        <v>0</v>
      </c>
      <c r="K77" s="9">
        <v>1</v>
      </c>
      <c r="L77" s="44">
        <v>127278.15</v>
      </c>
      <c r="M77" s="198">
        <v>320</v>
      </c>
      <c r="N77" s="9"/>
      <c r="O77" s="9">
        <f t="shared" si="3"/>
        <v>92776111.61873136</v>
      </c>
      <c r="P77" s="9"/>
      <c r="Q77" s="13"/>
    </row>
    <row r="78" spans="1:17" ht="12.75">
      <c r="A78" s="2">
        <v>37374</v>
      </c>
      <c r="B78" s="38">
        <v>86184465.62416014</v>
      </c>
      <c r="E78" s="26">
        <f t="shared" si="2"/>
        <v>86184465.62416014</v>
      </c>
      <c r="F78" s="196">
        <v>314.1</v>
      </c>
      <c r="G78" s="196">
        <v>0</v>
      </c>
      <c r="H78" s="34">
        <v>122.70949439083999</v>
      </c>
      <c r="I78" s="9">
        <v>30</v>
      </c>
      <c r="J78" s="9">
        <v>0</v>
      </c>
      <c r="K78" s="9">
        <v>1</v>
      </c>
      <c r="L78" s="44">
        <v>127382.53333333333</v>
      </c>
      <c r="M78" s="198">
        <v>352</v>
      </c>
      <c r="N78" s="9"/>
      <c r="O78" s="9">
        <f t="shared" si="3"/>
        <v>85426733.2786949</v>
      </c>
      <c r="P78" s="9"/>
      <c r="Q78" s="13"/>
    </row>
    <row r="79" spans="1:17" ht="12.75">
      <c r="A79" s="2">
        <v>37407</v>
      </c>
      <c r="B79" s="38">
        <v>85447299.00560406</v>
      </c>
      <c r="E79" s="26">
        <f t="shared" si="2"/>
        <v>85447299.00560406</v>
      </c>
      <c r="F79" s="196">
        <v>224.5</v>
      </c>
      <c r="G79" s="196">
        <v>2.4</v>
      </c>
      <c r="H79" s="34">
        <v>123.02325175854999</v>
      </c>
      <c r="I79" s="9">
        <v>31</v>
      </c>
      <c r="J79" s="9">
        <v>0</v>
      </c>
      <c r="K79" s="9">
        <v>1</v>
      </c>
      <c r="L79" s="44">
        <v>127486.91666666666</v>
      </c>
      <c r="M79" s="198">
        <v>352</v>
      </c>
      <c r="N79" s="9"/>
      <c r="O79" s="9">
        <f t="shared" si="3"/>
        <v>86644232.92355259</v>
      </c>
      <c r="P79" s="9"/>
      <c r="Q79" s="13"/>
    </row>
    <row r="80" spans="1:17" ht="12.75">
      <c r="A80" s="2">
        <v>37408</v>
      </c>
      <c r="B80" s="38">
        <v>95651672.75514369</v>
      </c>
      <c r="E80" s="26">
        <f t="shared" si="2"/>
        <v>95651672.75514369</v>
      </c>
      <c r="F80" s="196">
        <v>39.3</v>
      </c>
      <c r="G80" s="196">
        <v>54.8</v>
      </c>
      <c r="H80" s="34">
        <v>123.33700912625999</v>
      </c>
      <c r="I80" s="9">
        <v>30</v>
      </c>
      <c r="J80" s="9">
        <v>0</v>
      </c>
      <c r="K80" s="9">
        <v>0</v>
      </c>
      <c r="L80" s="44">
        <v>127591.29999999999</v>
      </c>
      <c r="M80" s="198">
        <v>320</v>
      </c>
      <c r="N80" s="9"/>
      <c r="O80" s="9">
        <f t="shared" si="3"/>
        <v>95218363.90847203</v>
      </c>
      <c r="P80" s="9"/>
      <c r="Q80" s="13"/>
    </row>
    <row r="81" spans="1:17" ht="12.75">
      <c r="A81" s="2">
        <v>37440</v>
      </c>
      <c r="B81" s="38">
        <v>119450096.05526412</v>
      </c>
      <c r="E81" s="26">
        <f t="shared" si="2"/>
        <v>119450096.05526412</v>
      </c>
      <c r="F81" s="196">
        <v>0</v>
      </c>
      <c r="G81" s="196">
        <v>191.6</v>
      </c>
      <c r="H81" s="34">
        <v>123.65076649396998</v>
      </c>
      <c r="I81" s="9">
        <v>31</v>
      </c>
      <c r="J81" s="9">
        <v>0</v>
      </c>
      <c r="K81" s="9">
        <v>0</v>
      </c>
      <c r="L81" s="44">
        <v>127695.68333333332</v>
      </c>
      <c r="M81" s="198">
        <v>352</v>
      </c>
      <c r="N81" s="9"/>
      <c r="O81" s="9">
        <f t="shared" si="3"/>
        <v>125076816.21367316</v>
      </c>
      <c r="P81" s="9"/>
      <c r="Q81" s="13"/>
    </row>
    <row r="82" spans="1:17" ht="12.75">
      <c r="A82" s="2">
        <v>37473</v>
      </c>
      <c r="B82" s="38">
        <v>114483162.95551597</v>
      </c>
      <c r="E82" s="26">
        <f t="shared" si="2"/>
        <v>114483162.95551597</v>
      </c>
      <c r="F82" s="196">
        <v>0</v>
      </c>
      <c r="G82" s="196">
        <v>155</v>
      </c>
      <c r="H82" s="34">
        <v>123.96452386167998</v>
      </c>
      <c r="I82" s="9">
        <v>31</v>
      </c>
      <c r="J82" s="9">
        <v>0</v>
      </c>
      <c r="K82" s="9">
        <v>0</v>
      </c>
      <c r="L82" s="44">
        <v>127800.06666666665</v>
      </c>
      <c r="M82" s="198">
        <v>336</v>
      </c>
      <c r="N82" s="9"/>
      <c r="O82" s="9">
        <f t="shared" si="3"/>
        <v>117850981.1021003</v>
      </c>
      <c r="P82" s="9"/>
      <c r="Q82" s="13"/>
    </row>
    <row r="83" spans="1:17" ht="12.75">
      <c r="A83" s="2">
        <v>37506</v>
      </c>
      <c r="B83" s="38">
        <v>96936653.29524302</v>
      </c>
      <c r="E83" s="26">
        <f t="shared" si="2"/>
        <v>96936653.29524302</v>
      </c>
      <c r="F83" s="196">
        <v>9.8</v>
      </c>
      <c r="G83" s="196">
        <v>92.3</v>
      </c>
      <c r="H83" s="34">
        <v>124.27828122938998</v>
      </c>
      <c r="I83" s="9">
        <v>30</v>
      </c>
      <c r="J83" s="9">
        <v>0</v>
      </c>
      <c r="K83" s="9">
        <v>1</v>
      </c>
      <c r="L83" s="44">
        <v>127904.44999999998</v>
      </c>
      <c r="M83" s="198">
        <v>320</v>
      </c>
      <c r="N83" s="9"/>
      <c r="O83" s="9">
        <f t="shared" si="3"/>
        <v>97963092.8486663</v>
      </c>
      <c r="P83" s="9"/>
      <c r="Q83" s="13"/>
    </row>
    <row r="84" spans="1:17" ht="12.75">
      <c r="A84" s="2">
        <v>37539</v>
      </c>
      <c r="B84" s="38">
        <v>90917730.90590566</v>
      </c>
      <c r="E84" s="26">
        <f t="shared" si="2"/>
        <v>90917730.90590566</v>
      </c>
      <c r="F84" s="196">
        <v>234.60000000000002</v>
      </c>
      <c r="G84" s="196">
        <v>11.4</v>
      </c>
      <c r="H84" s="34">
        <v>124.59203859709997</v>
      </c>
      <c r="I84" s="9">
        <v>31</v>
      </c>
      <c r="J84" s="9">
        <v>0</v>
      </c>
      <c r="K84" s="9">
        <v>1</v>
      </c>
      <c r="L84" s="44">
        <v>128008.83333333331</v>
      </c>
      <c r="M84" s="198">
        <v>352</v>
      </c>
      <c r="N84" s="9"/>
      <c r="O84" s="9">
        <f t="shared" si="3"/>
        <v>89914335.95309174</v>
      </c>
      <c r="P84" s="9"/>
      <c r="Q84" s="13"/>
    </row>
    <row r="85" spans="1:17" ht="12.75">
      <c r="A85" s="2">
        <v>37572</v>
      </c>
      <c r="B85" s="38">
        <v>90920617.54078616</v>
      </c>
      <c r="E85" s="26">
        <f t="shared" si="2"/>
        <v>90920617.54078616</v>
      </c>
      <c r="F85" s="196">
        <v>381.2</v>
      </c>
      <c r="G85" s="196">
        <v>0</v>
      </c>
      <c r="H85" s="34">
        <v>124.90579596480997</v>
      </c>
      <c r="I85" s="9">
        <v>30</v>
      </c>
      <c r="J85" s="9">
        <v>0</v>
      </c>
      <c r="K85" s="9">
        <v>1</v>
      </c>
      <c r="L85" s="44">
        <v>128113.21666666665</v>
      </c>
      <c r="M85" s="198">
        <v>336</v>
      </c>
      <c r="N85" s="9"/>
      <c r="O85" s="9">
        <f t="shared" si="3"/>
        <v>88735939.80024035</v>
      </c>
      <c r="P85" s="9"/>
      <c r="Q85" s="13"/>
    </row>
    <row r="86" spans="1:36" s="32" customFormat="1" ht="12.75">
      <c r="A86" s="31">
        <v>37605</v>
      </c>
      <c r="B86" s="38">
        <v>102776285.796761</v>
      </c>
      <c r="C86" s="26"/>
      <c r="D86" s="26"/>
      <c r="E86" s="26">
        <f t="shared" si="2"/>
        <v>102776285.796761</v>
      </c>
      <c r="F86" s="196">
        <v>567.2</v>
      </c>
      <c r="G86" s="196">
        <v>0</v>
      </c>
      <c r="H86" s="34">
        <v>125.21955333252</v>
      </c>
      <c r="I86" s="17">
        <v>31</v>
      </c>
      <c r="J86" s="9">
        <v>0</v>
      </c>
      <c r="K86" s="17">
        <v>0</v>
      </c>
      <c r="L86" s="44">
        <v>128217.59999999998</v>
      </c>
      <c r="M86" s="198">
        <v>320</v>
      </c>
      <c r="N86" s="9"/>
      <c r="O86" s="9">
        <f t="shared" si="3"/>
        <v>101120863.66701928</v>
      </c>
      <c r="P86" s="17"/>
      <c r="Q86" s="30"/>
      <c r="R86"/>
      <c r="S86"/>
      <c r="T86"/>
      <c r="U86"/>
      <c r="V86"/>
      <c r="W86"/>
      <c r="X86"/>
      <c r="Y86"/>
      <c r="Z86"/>
      <c r="AA86"/>
      <c r="AB86" s="26"/>
      <c r="AC86" s="26"/>
      <c r="AD86" s="26"/>
      <c r="AE86" s="26"/>
      <c r="AF86" s="26"/>
      <c r="AG86" s="26"/>
      <c r="AH86" s="26"/>
      <c r="AI86" s="26"/>
      <c r="AJ86" s="26"/>
    </row>
    <row r="87" spans="1:30" ht="12.75">
      <c r="A87" s="2">
        <v>37622</v>
      </c>
      <c r="B87" s="38">
        <v>104493534.93325901</v>
      </c>
      <c r="E87" s="26">
        <f t="shared" si="2"/>
        <v>104493534.93325901</v>
      </c>
      <c r="F87" s="196">
        <v>707.7</v>
      </c>
      <c r="G87" s="196">
        <v>0</v>
      </c>
      <c r="H87" s="34">
        <v>125.36564281140794</v>
      </c>
      <c r="I87" s="9">
        <v>31</v>
      </c>
      <c r="J87" s="9">
        <v>0</v>
      </c>
      <c r="K87" s="9">
        <v>0</v>
      </c>
      <c r="L87" s="44">
        <v>128321.98333333331</v>
      </c>
      <c r="M87" s="198">
        <v>352</v>
      </c>
      <c r="N87" s="9"/>
      <c r="O87" s="9">
        <f t="shared" si="3"/>
        <v>104733435.39449382</v>
      </c>
      <c r="P87" s="9"/>
      <c r="Q87" s="13"/>
      <c r="AB87" s="10"/>
      <c r="AC87" s="10"/>
      <c r="AD87" s="10"/>
    </row>
    <row r="88" spans="1:17" ht="12.75">
      <c r="A88" s="2">
        <v>37653</v>
      </c>
      <c r="B88" s="38">
        <v>96011347.4612544</v>
      </c>
      <c r="E88" s="26">
        <f t="shared" si="2"/>
        <v>96011347.4612544</v>
      </c>
      <c r="F88" s="196">
        <v>625.6999999999999</v>
      </c>
      <c r="G88" s="196">
        <v>0</v>
      </c>
      <c r="H88" s="34">
        <v>125.51173229029588</v>
      </c>
      <c r="I88" s="9">
        <v>28</v>
      </c>
      <c r="J88" s="9">
        <v>0</v>
      </c>
      <c r="K88" s="9">
        <v>0</v>
      </c>
      <c r="L88" s="44">
        <v>128426.36666666664</v>
      </c>
      <c r="M88" s="198">
        <v>320</v>
      </c>
      <c r="N88" s="9"/>
      <c r="O88" s="9">
        <f t="shared" si="3"/>
        <v>94810571.29397216</v>
      </c>
      <c r="P88" s="9"/>
      <c r="Q88" s="13"/>
    </row>
    <row r="89" spans="1:17" ht="12.75">
      <c r="A89" s="2">
        <v>37681</v>
      </c>
      <c r="B89" s="38">
        <v>95684640.11626172</v>
      </c>
      <c r="E89" s="26">
        <f t="shared" si="2"/>
        <v>95684640.11626172</v>
      </c>
      <c r="F89" s="196">
        <v>547.7</v>
      </c>
      <c r="G89" s="196">
        <v>0</v>
      </c>
      <c r="H89" s="34">
        <v>125.65782176918383</v>
      </c>
      <c r="I89" s="9">
        <v>31</v>
      </c>
      <c r="J89" s="9">
        <v>0</v>
      </c>
      <c r="K89" s="9">
        <v>1</v>
      </c>
      <c r="L89" s="44">
        <v>128530.74999999997</v>
      </c>
      <c r="M89" s="198">
        <v>336</v>
      </c>
      <c r="N89" s="9"/>
      <c r="O89" s="9">
        <f t="shared" si="3"/>
        <v>96240576.9890833</v>
      </c>
      <c r="P89" s="9"/>
      <c r="Q89" s="13"/>
    </row>
    <row r="90" spans="1:17" ht="12.75">
      <c r="A90" s="2">
        <v>37712</v>
      </c>
      <c r="B90" s="38">
        <v>86343957.47688204</v>
      </c>
      <c r="E90" s="26">
        <f t="shared" si="2"/>
        <v>86343957.47688204</v>
      </c>
      <c r="F90" s="196">
        <v>398.3</v>
      </c>
      <c r="G90" s="196">
        <v>0</v>
      </c>
      <c r="H90" s="34">
        <v>125.80391124807177</v>
      </c>
      <c r="I90" s="9">
        <v>30</v>
      </c>
      <c r="J90" s="9">
        <v>0</v>
      </c>
      <c r="K90" s="9">
        <v>1</v>
      </c>
      <c r="L90" s="44">
        <v>128635.1333333333</v>
      </c>
      <c r="M90" s="198">
        <v>336</v>
      </c>
      <c r="N90" s="9"/>
      <c r="O90" s="9">
        <f t="shared" si="3"/>
        <v>90044279.24796914</v>
      </c>
      <c r="P90" s="9"/>
      <c r="Q90" s="13"/>
    </row>
    <row r="91" spans="1:17" ht="12.75">
      <c r="A91" s="2">
        <v>37742</v>
      </c>
      <c r="B91" s="38">
        <v>84100206.04600699</v>
      </c>
      <c r="E91" s="26">
        <f t="shared" si="2"/>
        <v>84100206.04600699</v>
      </c>
      <c r="F91" s="196">
        <v>235.4</v>
      </c>
      <c r="G91" s="196">
        <v>0</v>
      </c>
      <c r="H91" s="34">
        <v>125.95000072695971</v>
      </c>
      <c r="I91" s="9">
        <v>31</v>
      </c>
      <c r="J91" s="9">
        <v>0</v>
      </c>
      <c r="K91" s="9">
        <v>1</v>
      </c>
      <c r="L91" s="44">
        <v>128739.51666666663</v>
      </c>
      <c r="M91" s="198">
        <v>336</v>
      </c>
      <c r="N91" s="9"/>
      <c r="O91" s="9">
        <f t="shared" si="3"/>
        <v>88897993.79015273</v>
      </c>
      <c r="P91" s="9"/>
      <c r="Q91" s="13"/>
    </row>
    <row r="92" spans="1:17" ht="12.75">
      <c r="A92" s="2">
        <v>37773</v>
      </c>
      <c r="B92" s="38">
        <v>90485412.53994009</v>
      </c>
      <c r="E92" s="26">
        <f t="shared" si="2"/>
        <v>90485412.53994009</v>
      </c>
      <c r="F92" s="196">
        <v>74.1</v>
      </c>
      <c r="G92" s="196">
        <v>44.6</v>
      </c>
      <c r="H92" s="34">
        <v>126.09609020584766</v>
      </c>
      <c r="I92" s="9">
        <v>30</v>
      </c>
      <c r="J92" s="9">
        <v>0</v>
      </c>
      <c r="K92" s="9">
        <v>0</v>
      </c>
      <c r="L92" s="44">
        <v>128843.89999999997</v>
      </c>
      <c r="M92" s="198">
        <v>336</v>
      </c>
      <c r="N92" s="9"/>
      <c r="O92" s="9">
        <f t="shared" si="3"/>
        <v>96393832.08939803</v>
      </c>
      <c r="P92" s="9"/>
      <c r="Q92" s="13"/>
    </row>
    <row r="93" spans="1:17" ht="12.75">
      <c r="A93" s="2">
        <v>37803</v>
      </c>
      <c r="B93" s="38">
        <v>107838219.04581785</v>
      </c>
      <c r="E93" s="26">
        <f t="shared" si="2"/>
        <v>107838219.04581785</v>
      </c>
      <c r="F93" s="196">
        <v>3.4</v>
      </c>
      <c r="G93" s="196">
        <v>105</v>
      </c>
      <c r="H93" s="34">
        <v>126.2421796847356</v>
      </c>
      <c r="I93" s="9">
        <v>31</v>
      </c>
      <c r="J93" s="9">
        <v>0</v>
      </c>
      <c r="K93" s="9">
        <v>0</v>
      </c>
      <c r="L93" s="44">
        <v>128948.2833333333</v>
      </c>
      <c r="M93" s="198">
        <v>352</v>
      </c>
      <c r="N93" s="9"/>
      <c r="O93" s="9">
        <f t="shared" si="3"/>
        <v>109827742.36148973</v>
      </c>
      <c r="P93" s="9"/>
      <c r="Q93" s="13"/>
    </row>
    <row r="94" spans="1:17" ht="12.75">
      <c r="A94" s="2">
        <v>37834</v>
      </c>
      <c r="B94" s="38">
        <v>111720633.46704757</v>
      </c>
      <c r="E94" s="26">
        <f t="shared" si="2"/>
        <v>111720633.46704757</v>
      </c>
      <c r="F94" s="196">
        <v>0</v>
      </c>
      <c r="G94" s="196">
        <v>143.5</v>
      </c>
      <c r="H94" s="34">
        <v>126.38826916362355</v>
      </c>
      <c r="I94" s="9">
        <v>31</v>
      </c>
      <c r="J94" s="9">
        <v>0</v>
      </c>
      <c r="K94" s="9">
        <v>0</v>
      </c>
      <c r="L94" s="44">
        <v>129052.66666666663</v>
      </c>
      <c r="M94" s="198">
        <v>320</v>
      </c>
      <c r="N94" s="9"/>
      <c r="O94" s="9">
        <f t="shared" si="3"/>
        <v>117757681.15289102</v>
      </c>
      <c r="P94" s="9"/>
      <c r="Q94" s="13"/>
    </row>
    <row r="95" spans="1:17" ht="12.75">
      <c r="A95" s="2">
        <v>37865</v>
      </c>
      <c r="B95" s="38">
        <v>90994823.96504186</v>
      </c>
      <c r="E95" s="26">
        <f t="shared" si="2"/>
        <v>90994823.96504186</v>
      </c>
      <c r="F95" s="196">
        <v>26.8</v>
      </c>
      <c r="G95" s="196">
        <v>27.4</v>
      </c>
      <c r="H95" s="34">
        <v>126.53435864251149</v>
      </c>
      <c r="I95" s="9">
        <v>30</v>
      </c>
      <c r="J95" s="9">
        <v>0</v>
      </c>
      <c r="K95" s="9">
        <v>1</v>
      </c>
      <c r="L95" s="44">
        <v>129157.04999999996</v>
      </c>
      <c r="M95" s="198">
        <v>336</v>
      </c>
      <c r="N95" s="9"/>
      <c r="O95" s="9">
        <f t="shared" si="3"/>
        <v>87323649.08239312</v>
      </c>
      <c r="P95" s="9"/>
      <c r="Q95" s="13"/>
    </row>
    <row r="96" spans="1:17" ht="12.75">
      <c r="A96" s="2">
        <v>37895</v>
      </c>
      <c r="B96" s="38">
        <v>90574201.447299</v>
      </c>
      <c r="E96" s="26">
        <f t="shared" si="2"/>
        <v>90574201.447299</v>
      </c>
      <c r="F96" s="196">
        <v>245.3</v>
      </c>
      <c r="G96" s="196">
        <v>0</v>
      </c>
      <c r="H96" s="34">
        <v>126.68044812139944</v>
      </c>
      <c r="I96" s="9">
        <v>31</v>
      </c>
      <c r="J96" s="9">
        <v>0</v>
      </c>
      <c r="K96" s="9">
        <v>1</v>
      </c>
      <c r="L96" s="44">
        <v>129261.43333333329</v>
      </c>
      <c r="M96" s="198">
        <v>352</v>
      </c>
      <c r="N96" s="9"/>
      <c r="O96" s="9">
        <f t="shared" si="3"/>
        <v>89954940.61145079</v>
      </c>
      <c r="P96" s="9"/>
      <c r="Q96" s="13"/>
    </row>
    <row r="97" spans="1:17" ht="12.75">
      <c r="A97" s="2">
        <v>37926</v>
      </c>
      <c r="B97" s="38">
        <v>91660392.38326548</v>
      </c>
      <c r="E97" s="26">
        <f t="shared" si="2"/>
        <v>91660392.38326548</v>
      </c>
      <c r="F97" s="196">
        <v>348</v>
      </c>
      <c r="G97" s="196">
        <v>0</v>
      </c>
      <c r="H97" s="34">
        <v>126.82653760028738</v>
      </c>
      <c r="I97" s="9">
        <v>30</v>
      </c>
      <c r="J97" s="9">
        <v>0</v>
      </c>
      <c r="K97" s="9">
        <v>1</v>
      </c>
      <c r="L97" s="44">
        <v>129365.81666666662</v>
      </c>
      <c r="M97" s="198">
        <v>320</v>
      </c>
      <c r="N97" s="9"/>
      <c r="O97" s="9">
        <f t="shared" si="3"/>
        <v>89948637.62753041</v>
      </c>
      <c r="P97" s="9"/>
      <c r="Q97" s="13"/>
    </row>
    <row r="98" spans="1:17" ht="12.75">
      <c r="A98" s="2">
        <v>37956</v>
      </c>
      <c r="B98" s="38">
        <v>102135791.28634423</v>
      </c>
      <c r="E98" s="26">
        <f t="shared" si="2"/>
        <v>102135791.28634423</v>
      </c>
      <c r="F98" s="196">
        <v>510.1</v>
      </c>
      <c r="G98" s="196">
        <v>0</v>
      </c>
      <c r="H98" s="34">
        <v>126.97262707917527</v>
      </c>
      <c r="I98" s="9">
        <v>31</v>
      </c>
      <c r="J98" s="9">
        <v>0</v>
      </c>
      <c r="K98" s="9">
        <v>0</v>
      </c>
      <c r="L98" s="44">
        <v>129470.19999999995</v>
      </c>
      <c r="M98" s="198">
        <v>336</v>
      </c>
      <c r="N98" s="9"/>
      <c r="O98" s="9">
        <f t="shared" si="3"/>
        <v>101672121.61502205</v>
      </c>
      <c r="P98" s="9"/>
      <c r="Q98" s="13"/>
    </row>
    <row r="99" spans="1:30" ht="12.75">
      <c r="A99" s="2">
        <v>37987</v>
      </c>
      <c r="B99" s="38">
        <v>110906403.35247804</v>
      </c>
      <c r="E99" s="26">
        <f t="shared" si="2"/>
        <v>110906403.35247804</v>
      </c>
      <c r="F99" s="196">
        <v>750.2</v>
      </c>
      <c r="G99" s="196">
        <v>0</v>
      </c>
      <c r="H99" s="34">
        <v>127.23715338559022</v>
      </c>
      <c r="I99" s="9">
        <v>31</v>
      </c>
      <c r="J99" s="9">
        <v>0</v>
      </c>
      <c r="K99" s="9">
        <v>0</v>
      </c>
      <c r="L99" s="44">
        <v>129574.58333333328</v>
      </c>
      <c r="M99" s="198">
        <v>336</v>
      </c>
      <c r="N99" s="9"/>
      <c r="O99" s="9">
        <f t="shared" si="3"/>
        <v>107782944.47373384</v>
      </c>
      <c r="P99" s="9"/>
      <c r="Q99" s="13"/>
      <c r="AB99" s="10"/>
      <c r="AC99" s="10"/>
      <c r="AD99" s="10"/>
    </row>
    <row r="100" spans="1:17" ht="12.75">
      <c r="A100" s="2">
        <v>38018</v>
      </c>
      <c r="B100" s="38">
        <v>98773309.57666007</v>
      </c>
      <c r="E100" s="26">
        <f t="shared" si="2"/>
        <v>98773309.57666007</v>
      </c>
      <c r="F100" s="196">
        <v>578.9</v>
      </c>
      <c r="G100" s="196">
        <v>0</v>
      </c>
      <c r="H100" s="34">
        <v>127.50167969200517</v>
      </c>
      <c r="I100" s="9">
        <v>29</v>
      </c>
      <c r="J100" s="9">
        <v>0</v>
      </c>
      <c r="K100" s="9">
        <v>0</v>
      </c>
      <c r="L100" s="44">
        <v>129678.96666666662</v>
      </c>
      <c r="M100" s="198">
        <v>320</v>
      </c>
      <c r="N100" s="9"/>
      <c r="O100" s="9">
        <f t="shared" si="3"/>
        <v>98410876.14263602</v>
      </c>
      <c r="P100" s="9"/>
      <c r="Q100" s="13"/>
    </row>
    <row r="101" spans="1:17" ht="12.75">
      <c r="A101" s="2">
        <v>38047</v>
      </c>
      <c r="B101" s="38">
        <v>100169246.38921793</v>
      </c>
      <c r="E101" s="26">
        <f t="shared" si="2"/>
        <v>100169246.38921793</v>
      </c>
      <c r="F101" s="196">
        <v>479.8</v>
      </c>
      <c r="G101" s="196">
        <v>0</v>
      </c>
      <c r="H101" s="34">
        <v>127.76620599842012</v>
      </c>
      <c r="I101" s="9">
        <v>31</v>
      </c>
      <c r="J101" s="9">
        <v>0</v>
      </c>
      <c r="K101" s="9">
        <v>1</v>
      </c>
      <c r="L101" s="44">
        <v>129783.34999999995</v>
      </c>
      <c r="M101" s="198">
        <v>368</v>
      </c>
      <c r="N101" s="9"/>
      <c r="O101" s="9">
        <f t="shared" si="3"/>
        <v>96684754.2299363</v>
      </c>
      <c r="P101" s="9"/>
      <c r="Q101" s="13"/>
    </row>
    <row r="102" spans="1:17" ht="12.75">
      <c r="A102" s="2">
        <v>38078</v>
      </c>
      <c r="B102" s="38">
        <v>89485332.90863304</v>
      </c>
      <c r="E102" s="26">
        <f t="shared" si="2"/>
        <v>89485332.90863304</v>
      </c>
      <c r="F102" s="196">
        <v>332.5</v>
      </c>
      <c r="G102" s="196">
        <v>0.5</v>
      </c>
      <c r="H102" s="34">
        <v>128.03073230483506</v>
      </c>
      <c r="I102" s="9">
        <v>30</v>
      </c>
      <c r="J102" s="9">
        <v>0</v>
      </c>
      <c r="K102" s="9">
        <v>1</v>
      </c>
      <c r="L102" s="44">
        <v>129887.73333333328</v>
      </c>
      <c r="M102" s="198">
        <v>336</v>
      </c>
      <c r="N102" s="9"/>
      <c r="O102" s="9">
        <f t="shared" si="3"/>
        <v>90694675.64154866</v>
      </c>
      <c r="P102" s="9"/>
      <c r="Q102" s="13"/>
    </row>
    <row r="103" spans="1:17" ht="12.75">
      <c r="A103" s="2">
        <v>38108</v>
      </c>
      <c r="B103" s="38">
        <v>90686143.15718225</v>
      </c>
      <c r="E103" s="26">
        <f t="shared" si="2"/>
        <v>90686143.15718225</v>
      </c>
      <c r="F103" s="196">
        <v>169.7</v>
      </c>
      <c r="G103" s="196">
        <v>1.2</v>
      </c>
      <c r="H103" s="34">
        <v>128.29525861125</v>
      </c>
      <c r="I103" s="9">
        <v>31</v>
      </c>
      <c r="J103" s="9">
        <v>0</v>
      </c>
      <c r="K103" s="9">
        <v>1</v>
      </c>
      <c r="L103" s="44">
        <v>129992.11666666661</v>
      </c>
      <c r="M103" s="198">
        <v>320</v>
      </c>
      <c r="N103" s="9"/>
      <c r="O103" s="9">
        <f t="shared" si="3"/>
        <v>89746284.47054502</v>
      </c>
      <c r="P103" s="9"/>
      <c r="Q103" s="13"/>
    </row>
    <row r="104" spans="1:17" ht="12.75">
      <c r="A104" s="2">
        <v>38139</v>
      </c>
      <c r="B104" s="38">
        <v>96517444.23320028</v>
      </c>
      <c r="E104" s="26">
        <f t="shared" si="2"/>
        <v>96517444.23320028</v>
      </c>
      <c r="F104" s="196">
        <v>45.6</v>
      </c>
      <c r="G104" s="196">
        <v>26.3</v>
      </c>
      <c r="H104" s="34">
        <v>128.55978491766496</v>
      </c>
      <c r="I104" s="9">
        <v>30</v>
      </c>
      <c r="J104" s="9">
        <v>0</v>
      </c>
      <c r="K104" s="9">
        <v>0</v>
      </c>
      <c r="L104" s="44">
        <v>130096.49999999994</v>
      </c>
      <c r="M104" s="198">
        <v>352</v>
      </c>
      <c r="N104" s="9"/>
      <c r="O104" s="9">
        <f t="shared" si="3"/>
        <v>94231918.81352714</v>
      </c>
      <c r="P104" s="9"/>
      <c r="Q104" s="13"/>
    </row>
    <row r="105" spans="1:17" ht="12.75">
      <c r="A105" s="2">
        <v>38169</v>
      </c>
      <c r="B105" s="38">
        <v>110297641.91792004</v>
      </c>
      <c r="E105" s="26">
        <f t="shared" si="2"/>
        <v>110297641.91792004</v>
      </c>
      <c r="F105" s="196">
        <v>1.9</v>
      </c>
      <c r="G105" s="196">
        <v>79.3</v>
      </c>
      <c r="H105" s="34">
        <v>128.8243112240799</v>
      </c>
      <c r="I105" s="9">
        <v>31</v>
      </c>
      <c r="J105" s="9">
        <v>0</v>
      </c>
      <c r="K105" s="9">
        <v>0</v>
      </c>
      <c r="L105" s="44">
        <v>130200.88333333327</v>
      </c>
      <c r="M105" s="198">
        <v>336</v>
      </c>
      <c r="N105" s="9"/>
      <c r="O105" s="9">
        <f t="shared" si="3"/>
        <v>106872523.77250387</v>
      </c>
      <c r="P105" s="9"/>
      <c r="Q105" s="13"/>
    </row>
    <row r="106" spans="1:17" ht="12.75">
      <c r="A106" s="2">
        <v>38200</v>
      </c>
      <c r="B106" s="38">
        <v>109063695.09172532</v>
      </c>
      <c r="E106" s="26">
        <f t="shared" si="2"/>
        <v>109063695.09172532</v>
      </c>
      <c r="F106" s="196">
        <v>1.8</v>
      </c>
      <c r="G106" s="196">
        <v>85</v>
      </c>
      <c r="H106" s="34">
        <v>129.08883753049486</v>
      </c>
      <c r="I106" s="9">
        <v>31</v>
      </c>
      <c r="J106" s="9">
        <v>0</v>
      </c>
      <c r="K106" s="9">
        <v>0</v>
      </c>
      <c r="L106" s="44">
        <v>130305.2666666666</v>
      </c>
      <c r="M106" s="198">
        <v>336</v>
      </c>
      <c r="N106" s="9"/>
      <c r="O106" s="9">
        <f t="shared" si="3"/>
        <v>108247845.03511052</v>
      </c>
      <c r="P106" s="9"/>
      <c r="Q106" s="13"/>
    </row>
    <row r="107" spans="1:17" ht="12.75">
      <c r="A107" s="2">
        <v>38231</v>
      </c>
      <c r="B107" s="38">
        <v>103094592.03886008</v>
      </c>
      <c r="E107" s="26">
        <f t="shared" si="2"/>
        <v>103094592.03886008</v>
      </c>
      <c r="F107" s="196">
        <v>14.6</v>
      </c>
      <c r="G107" s="196">
        <v>65.3</v>
      </c>
      <c r="H107" s="34">
        <v>129.3533638369098</v>
      </c>
      <c r="I107" s="9">
        <v>30</v>
      </c>
      <c r="J107" s="9">
        <v>0</v>
      </c>
      <c r="K107" s="9">
        <v>1</v>
      </c>
      <c r="L107" s="44">
        <v>130409.64999999994</v>
      </c>
      <c r="M107" s="198">
        <v>336</v>
      </c>
      <c r="N107" s="9"/>
      <c r="O107" s="9">
        <f t="shared" si="3"/>
        <v>97179968.77508923</v>
      </c>
      <c r="P107" s="9"/>
      <c r="Q107" s="13"/>
    </row>
    <row r="108" spans="1:17" ht="12.75">
      <c r="A108" s="2">
        <v>38261</v>
      </c>
      <c r="B108" s="38">
        <v>93329245.59290485</v>
      </c>
      <c r="E108" s="26">
        <f t="shared" si="2"/>
        <v>93329245.59290485</v>
      </c>
      <c r="F108" s="196">
        <v>196.4</v>
      </c>
      <c r="G108" s="196">
        <v>2.6</v>
      </c>
      <c r="H108" s="34">
        <v>129.61789014332476</v>
      </c>
      <c r="I108" s="9">
        <v>31</v>
      </c>
      <c r="J108" s="9">
        <v>0</v>
      </c>
      <c r="K108" s="9">
        <v>1</v>
      </c>
      <c r="L108" s="44">
        <v>130514.03333333327</v>
      </c>
      <c r="M108" s="198">
        <v>320</v>
      </c>
      <c r="N108" s="9"/>
      <c r="O108" s="9">
        <f t="shared" si="3"/>
        <v>91764711.29773633</v>
      </c>
      <c r="P108" s="9"/>
      <c r="Q108" s="13"/>
    </row>
    <row r="109" spans="1:17" ht="12.75">
      <c r="A109" s="2">
        <v>38292</v>
      </c>
      <c r="B109" s="38">
        <v>94434398.73386222</v>
      </c>
      <c r="E109" s="26">
        <f t="shared" si="2"/>
        <v>94434398.73386222</v>
      </c>
      <c r="F109" s="196">
        <v>341</v>
      </c>
      <c r="G109" s="196">
        <v>0</v>
      </c>
      <c r="H109" s="34">
        <v>129.8824164497397</v>
      </c>
      <c r="I109" s="9">
        <v>30</v>
      </c>
      <c r="J109" s="9">
        <v>0</v>
      </c>
      <c r="K109" s="9">
        <v>1</v>
      </c>
      <c r="L109" s="44">
        <v>130618.4166666666</v>
      </c>
      <c r="M109" s="198">
        <v>352</v>
      </c>
      <c r="N109" s="17"/>
      <c r="O109" s="9">
        <f t="shared" si="3"/>
        <v>92309735.69210562</v>
      </c>
      <c r="P109" s="9"/>
      <c r="Q109" s="13"/>
    </row>
    <row r="110" spans="1:17" ht="12.75">
      <c r="A110" s="2">
        <v>38322</v>
      </c>
      <c r="B110" s="38">
        <v>108483620.83553149</v>
      </c>
      <c r="E110" s="26">
        <f t="shared" si="2"/>
        <v>108483620.83553149</v>
      </c>
      <c r="F110" s="196">
        <v>566.7</v>
      </c>
      <c r="G110" s="196">
        <v>0</v>
      </c>
      <c r="H110" s="34">
        <v>130.14694275615463</v>
      </c>
      <c r="I110" s="9">
        <v>31</v>
      </c>
      <c r="J110" s="9">
        <v>0</v>
      </c>
      <c r="K110" s="9">
        <v>0</v>
      </c>
      <c r="L110" s="44">
        <v>130722.79999999993</v>
      </c>
      <c r="M110" s="198">
        <v>336</v>
      </c>
      <c r="N110" s="17"/>
      <c r="O110" s="9">
        <f t="shared" si="3"/>
        <v>105647536.61305994</v>
      </c>
      <c r="P110" s="9"/>
      <c r="Q110" s="13"/>
    </row>
    <row r="111" spans="1:30" ht="12.75">
      <c r="A111" s="2">
        <v>38353</v>
      </c>
      <c r="B111" s="38">
        <v>111357551.02040815</v>
      </c>
      <c r="E111" s="26">
        <f t="shared" si="2"/>
        <v>111357551.02040815</v>
      </c>
      <c r="F111" s="196">
        <v>693.3</v>
      </c>
      <c r="G111" s="196">
        <v>0</v>
      </c>
      <c r="H111" s="34">
        <v>130.43977337735598</v>
      </c>
      <c r="I111" s="9">
        <v>31</v>
      </c>
      <c r="J111" s="9">
        <v>0</v>
      </c>
      <c r="K111" s="9">
        <v>0</v>
      </c>
      <c r="L111" s="44">
        <v>130827.18333333326</v>
      </c>
      <c r="M111" s="198">
        <v>320</v>
      </c>
      <c r="N111" s="17"/>
      <c r="O111" s="9">
        <f t="shared" si="3"/>
        <v>108984105.71170229</v>
      </c>
      <c r="P111" s="9"/>
      <c r="Q111" s="13"/>
      <c r="AB111" s="10"/>
      <c r="AC111" s="10"/>
      <c r="AD111" s="10"/>
    </row>
    <row r="112" spans="1:17" ht="12.75">
      <c r="A112" s="2">
        <v>38384</v>
      </c>
      <c r="B112" s="38">
        <v>97354644.10154305</v>
      </c>
      <c r="E112" s="26">
        <f t="shared" si="2"/>
        <v>97354644.10154305</v>
      </c>
      <c r="F112" s="196">
        <v>582</v>
      </c>
      <c r="G112" s="196">
        <v>0</v>
      </c>
      <c r="H112" s="34">
        <v>130.73260399855732</v>
      </c>
      <c r="I112" s="9">
        <v>28</v>
      </c>
      <c r="J112" s="9">
        <v>0</v>
      </c>
      <c r="K112" s="9">
        <v>0</v>
      </c>
      <c r="L112" s="44">
        <v>130931.5666666666</v>
      </c>
      <c r="M112" s="198">
        <v>320</v>
      </c>
      <c r="N112" s="17"/>
      <c r="O112" s="9">
        <f t="shared" si="3"/>
        <v>98407111.57552262</v>
      </c>
      <c r="P112" s="9"/>
      <c r="Q112" s="13"/>
    </row>
    <row r="113" spans="1:17" ht="12.75">
      <c r="A113" s="2">
        <v>38412</v>
      </c>
      <c r="B113" s="38">
        <v>103696306.62020905</v>
      </c>
      <c r="E113" s="26">
        <f t="shared" si="2"/>
        <v>103696306.62020905</v>
      </c>
      <c r="F113" s="196">
        <v>576.1</v>
      </c>
      <c r="G113" s="196">
        <v>0</v>
      </c>
      <c r="H113" s="34">
        <v>131.02543461975867</v>
      </c>
      <c r="I113" s="9">
        <v>31</v>
      </c>
      <c r="J113" s="9">
        <v>0</v>
      </c>
      <c r="K113" s="9">
        <v>1</v>
      </c>
      <c r="L113" s="44">
        <v>131035.94999999992</v>
      </c>
      <c r="M113" s="198">
        <v>352</v>
      </c>
      <c r="N113" s="17"/>
      <c r="O113" s="9">
        <f t="shared" si="3"/>
        <v>101672735.22537424</v>
      </c>
      <c r="P113" s="9"/>
      <c r="Q113" s="13"/>
    </row>
    <row r="114" spans="1:17" ht="12.75">
      <c r="A114" s="2">
        <v>38443</v>
      </c>
      <c r="B114" s="38">
        <v>91002648.0836237</v>
      </c>
      <c r="E114" s="26">
        <f t="shared" si="2"/>
        <v>91002648.0836237</v>
      </c>
      <c r="F114" s="196">
        <v>345.1</v>
      </c>
      <c r="G114" s="196">
        <v>0</v>
      </c>
      <c r="H114" s="34">
        <v>131.31826524096002</v>
      </c>
      <c r="I114" s="9">
        <v>30</v>
      </c>
      <c r="J114" s="9">
        <v>0</v>
      </c>
      <c r="K114" s="9">
        <v>1</v>
      </c>
      <c r="L114" s="44">
        <v>131140.33333333326</v>
      </c>
      <c r="M114" s="198">
        <v>336</v>
      </c>
      <c r="N114" s="17"/>
      <c r="O114" s="9">
        <f t="shared" si="3"/>
        <v>93538147.48905732</v>
      </c>
      <c r="P114" s="9"/>
      <c r="Q114" s="13"/>
    </row>
    <row r="115" spans="1:17" ht="12.75">
      <c r="A115" s="2">
        <v>38473</v>
      </c>
      <c r="B115" s="38">
        <v>90914554.50472873</v>
      </c>
      <c r="E115" s="26">
        <f t="shared" si="2"/>
        <v>90914554.50472873</v>
      </c>
      <c r="F115" s="196">
        <v>215.3</v>
      </c>
      <c r="G115" s="196">
        <v>0</v>
      </c>
      <c r="H115" s="34">
        <v>131.61109586216136</v>
      </c>
      <c r="I115" s="9">
        <v>31</v>
      </c>
      <c r="J115" s="9">
        <v>0</v>
      </c>
      <c r="K115" s="9">
        <v>1</v>
      </c>
      <c r="L115" s="44">
        <v>131244.7166666666</v>
      </c>
      <c r="M115" s="198">
        <v>336</v>
      </c>
      <c r="N115" s="17"/>
      <c r="O115" s="9">
        <f t="shared" si="3"/>
        <v>93269884.60505886</v>
      </c>
      <c r="P115" s="9"/>
      <c r="Q115" s="13"/>
    </row>
    <row r="116" spans="1:17" ht="12.75">
      <c r="A116" s="2">
        <v>38504</v>
      </c>
      <c r="B116" s="38">
        <v>117110313.58885016</v>
      </c>
      <c r="E116" s="26">
        <f t="shared" si="2"/>
        <v>117110313.58885016</v>
      </c>
      <c r="F116" s="196">
        <v>10.4</v>
      </c>
      <c r="G116" s="196">
        <v>107.8</v>
      </c>
      <c r="H116" s="34">
        <v>131.9039264833627</v>
      </c>
      <c r="I116" s="9">
        <v>30</v>
      </c>
      <c r="J116" s="9">
        <v>0</v>
      </c>
      <c r="K116" s="9">
        <v>0</v>
      </c>
      <c r="L116" s="44">
        <v>131349.09999999992</v>
      </c>
      <c r="M116" s="198">
        <v>352</v>
      </c>
      <c r="N116" s="17"/>
      <c r="O116" s="9">
        <f t="shared" si="3"/>
        <v>112647772.85005929</v>
      </c>
      <c r="P116" s="9"/>
      <c r="Q116" s="13"/>
    </row>
    <row r="117" spans="1:17" ht="12.75">
      <c r="A117" s="2">
        <v>38534</v>
      </c>
      <c r="B117" s="38">
        <v>130492623.1956197</v>
      </c>
      <c r="E117" s="26">
        <f t="shared" si="2"/>
        <v>130492623.1956197</v>
      </c>
      <c r="F117" s="196">
        <v>0</v>
      </c>
      <c r="G117" s="196">
        <v>183.5</v>
      </c>
      <c r="H117" s="34">
        <v>132.19675710456406</v>
      </c>
      <c r="I117" s="9">
        <v>31</v>
      </c>
      <c r="J117" s="9">
        <v>0</v>
      </c>
      <c r="K117" s="9">
        <v>0</v>
      </c>
      <c r="L117" s="44">
        <v>131453.48333333325</v>
      </c>
      <c r="M117" s="198">
        <v>320</v>
      </c>
      <c r="N117" s="17"/>
      <c r="O117" s="9">
        <f t="shared" si="3"/>
        <v>130747435.18798542</v>
      </c>
      <c r="P117" s="9"/>
      <c r="Q117" s="13"/>
    </row>
    <row r="118" spans="1:17" ht="12.75">
      <c r="A118" s="2">
        <v>38565</v>
      </c>
      <c r="B118" s="38">
        <v>125304430.0647088</v>
      </c>
      <c r="E118" s="26">
        <f t="shared" si="2"/>
        <v>125304430.0647088</v>
      </c>
      <c r="F118" s="196">
        <v>0</v>
      </c>
      <c r="G118" s="196">
        <v>165.7</v>
      </c>
      <c r="H118" s="34">
        <v>132.4895877257654</v>
      </c>
      <c r="I118" s="9">
        <v>31</v>
      </c>
      <c r="J118" s="9">
        <v>0</v>
      </c>
      <c r="K118" s="9">
        <v>0</v>
      </c>
      <c r="L118" s="44">
        <v>131557.86666666658</v>
      </c>
      <c r="M118" s="198">
        <v>352</v>
      </c>
      <c r="N118" s="17"/>
      <c r="O118" s="9">
        <f t="shared" si="3"/>
        <v>127345851.89066726</v>
      </c>
      <c r="P118" s="9"/>
      <c r="Q118" s="13"/>
    </row>
    <row r="119" spans="1:17" ht="12.75">
      <c r="A119" s="2">
        <v>38596</v>
      </c>
      <c r="B119" s="38">
        <v>103515709.3081135</v>
      </c>
      <c r="E119" s="26">
        <f t="shared" si="2"/>
        <v>103515709.3081135</v>
      </c>
      <c r="F119" s="196">
        <v>7.3</v>
      </c>
      <c r="G119" s="196">
        <v>76.6</v>
      </c>
      <c r="H119" s="34">
        <v>132.78241834696675</v>
      </c>
      <c r="I119" s="9">
        <v>30</v>
      </c>
      <c r="J119" s="9">
        <v>0</v>
      </c>
      <c r="K119" s="9">
        <v>1</v>
      </c>
      <c r="L119" s="44">
        <v>131662.2499999999</v>
      </c>
      <c r="M119" s="198">
        <v>336</v>
      </c>
      <c r="N119" s="17"/>
      <c r="O119" s="9">
        <f t="shared" si="3"/>
        <v>102003965.90108486</v>
      </c>
      <c r="P119" s="9"/>
      <c r="Q119" s="13"/>
    </row>
    <row r="120" spans="1:17" ht="12.75">
      <c r="A120" s="2">
        <v>38626</v>
      </c>
      <c r="B120" s="38">
        <v>95683703.33499254</v>
      </c>
      <c r="E120" s="26">
        <f t="shared" si="2"/>
        <v>95683703.33499254</v>
      </c>
      <c r="F120" s="196">
        <v>216.6</v>
      </c>
      <c r="G120" s="196">
        <v>13.4</v>
      </c>
      <c r="H120" s="34">
        <v>133.0752489681681</v>
      </c>
      <c r="I120" s="9">
        <v>31</v>
      </c>
      <c r="J120" s="9">
        <v>0</v>
      </c>
      <c r="K120" s="9">
        <v>1</v>
      </c>
      <c r="L120" s="44">
        <v>131766.63333333324</v>
      </c>
      <c r="M120" s="198">
        <v>320</v>
      </c>
      <c r="N120" s="17"/>
      <c r="O120" s="9">
        <f t="shared" si="3"/>
        <v>97174573.79781748</v>
      </c>
      <c r="P120" s="9"/>
      <c r="Q120" s="13"/>
    </row>
    <row r="121" spans="1:17" ht="12.75">
      <c r="A121" s="2">
        <v>38657</v>
      </c>
      <c r="B121" s="38">
        <v>95832424.09158786</v>
      </c>
      <c r="E121" s="26">
        <f t="shared" si="2"/>
        <v>95832424.09158786</v>
      </c>
      <c r="F121" s="196">
        <v>369.3</v>
      </c>
      <c r="G121" s="196">
        <v>0</v>
      </c>
      <c r="H121" s="34">
        <v>133.36807958936944</v>
      </c>
      <c r="I121" s="9">
        <v>30</v>
      </c>
      <c r="J121" s="9">
        <v>0</v>
      </c>
      <c r="K121" s="9">
        <v>1</v>
      </c>
      <c r="L121" s="44">
        <v>131871.01666666658</v>
      </c>
      <c r="M121" s="198">
        <v>352</v>
      </c>
      <c r="N121" s="17"/>
      <c r="O121" s="9">
        <f t="shared" si="3"/>
        <v>95728817.88839538</v>
      </c>
      <c r="P121" s="9"/>
      <c r="Q121" s="13"/>
    </row>
    <row r="122" spans="1:17" ht="12.75">
      <c r="A122" s="2">
        <v>38687</v>
      </c>
      <c r="B122" s="38">
        <v>109926431.06022897</v>
      </c>
      <c r="E122" s="26">
        <f t="shared" si="2"/>
        <v>109926431.06022897</v>
      </c>
      <c r="F122" s="196">
        <v>640.8</v>
      </c>
      <c r="G122" s="196">
        <v>0</v>
      </c>
      <c r="H122" s="34">
        <v>133.6609102105708</v>
      </c>
      <c r="I122" s="9">
        <v>31</v>
      </c>
      <c r="J122" s="9">
        <v>0</v>
      </c>
      <c r="K122" s="9">
        <v>0</v>
      </c>
      <c r="L122" s="44">
        <v>131975.3999999999</v>
      </c>
      <c r="M122" s="198">
        <v>320</v>
      </c>
      <c r="N122" s="17"/>
      <c r="O122" s="9">
        <f t="shared" si="3"/>
        <v>110203773.87443286</v>
      </c>
      <c r="P122" s="9"/>
      <c r="Q122" s="13"/>
    </row>
    <row r="123" spans="1:30" ht="12.75">
      <c r="A123" s="2">
        <v>38718</v>
      </c>
      <c r="B123" s="38">
        <v>105189785.96316576</v>
      </c>
      <c r="E123" s="26">
        <f t="shared" si="2"/>
        <v>105189785.96316576</v>
      </c>
      <c r="F123" s="196">
        <v>520.4</v>
      </c>
      <c r="G123" s="196">
        <v>0</v>
      </c>
      <c r="H123" s="34">
        <v>133.93937044017613</v>
      </c>
      <c r="I123" s="9">
        <v>31</v>
      </c>
      <c r="J123" s="17">
        <f>'CDM Activity'!C63</f>
        <v>26995.328137311983</v>
      </c>
      <c r="K123" s="9">
        <v>0</v>
      </c>
      <c r="L123" s="44">
        <v>132079.78333333324</v>
      </c>
      <c r="M123" s="198">
        <v>336</v>
      </c>
      <c r="N123" s="17"/>
      <c r="O123" s="9">
        <f t="shared" si="3"/>
        <v>107357385.6322808</v>
      </c>
      <c r="P123" s="9"/>
      <c r="Q123" s="13"/>
      <c r="AB123" s="10"/>
      <c r="AC123" s="10"/>
      <c r="AD123" s="10"/>
    </row>
    <row r="124" spans="1:17" ht="12.75">
      <c r="A124" s="2">
        <v>38749</v>
      </c>
      <c r="B124" s="38">
        <v>97673987.05823794</v>
      </c>
      <c r="E124" s="26">
        <f t="shared" si="2"/>
        <v>97673987.05823794</v>
      </c>
      <c r="F124" s="196">
        <v>564.7</v>
      </c>
      <c r="G124" s="196">
        <v>0</v>
      </c>
      <c r="H124" s="34">
        <v>134.21783066978148</v>
      </c>
      <c r="I124" s="9">
        <v>28</v>
      </c>
      <c r="J124" s="17">
        <f>'CDM Activity'!C64</f>
        <v>53990.656274623965</v>
      </c>
      <c r="K124" s="9">
        <v>0</v>
      </c>
      <c r="L124" s="44">
        <v>132184.16666666657</v>
      </c>
      <c r="M124" s="198">
        <v>320</v>
      </c>
      <c r="N124" s="17"/>
      <c r="O124" s="9">
        <f t="shared" si="3"/>
        <v>100482764.93375264</v>
      </c>
      <c r="P124" s="9"/>
      <c r="Q124" s="13"/>
    </row>
    <row r="125" spans="1:17" ht="12.75">
      <c r="A125" s="2">
        <v>38777</v>
      </c>
      <c r="B125" s="38">
        <v>102138407.16774514</v>
      </c>
      <c r="E125" s="26">
        <f t="shared" si="2"/>
        <v>102138407.16774514</v>
      </c>
      <c r="F125" s="196">
        <v>488.7</v>
      </c>
      <c r="G125" s="196">
        <v>0</v>
      </c>
      <c r="H125" s="34">
        <v>134.49629089938682</v>
      </c>
      <c r="I125" s="9">
        <v>31</v>
      </c>
      <c r="J125" s="17">
        <f>'CDM Activity'!C65</f>
        <v>80985.98441193595</v>
      </c>
      <c r="K125" s="9">
        <v>1</v>
      </c>
      <c r="L125" s="44">
        <v>132288.5499999999</v>
      </c>
      <c r="M125" s="198">
        <v>368</v>
      </c>
      <c r="N125" s="17"/>
      <c r="O125" s="9">
        <f t="shared" si="3"/>
        <v>101908985.67576334</v>
      </c>
      <c r="P125" s="9"/>
      <c r="Q125" s="13"/>
    </row>
    <row r="126" spans="1:17" ht="12.75">
      <c r="A126" s="2">
        <v>38808</v>
      </c>
      <c r="B126" s="38">
        <v>89654385.26630163</v>
      </c>
      <c r="E126" s="26">
        <f t="shared" si="2"/>
        <v>89654385.26630163</v>
      </c>
      <c r="F126" s="196">
        <v>296.7</v>
      </c>
      <c r="G126" s="196">
        <v>0</v>
      </c>
      <c r="H126" s="34">
        <v>134.77475112899216</v>
      </c>
      <c r="I126" s="9">
        <v>30</v>
      </c>
      <c r="J126" s="17">
        <f>'CDM Activity'!C66</f>
        <v>107981.31254924793</v>
      </c>
      <c r="K126" s="9">
        <v>1</v>
      </c>
      <c r="L126" s="44">
        <v>132392.93333333323</v>
      </c>
      <c r="M126" s="198">
        <v>304</v>
      </c>
      <c r="N126" s="17"/>
      <c r="O126" s="9">
        <f t="shared" si="3"/>
        <v>94613806.72541684</v>
      </c>
      <c r="P126" s="9"/>
      <c r="Q126" s="13"/>
    </row>
    <row r="127" spans="1:17" ht="12.75">
      <c r="A127" s="2">
        <v>38838</v>
      </c>
      <c r="B127" s="38">
        <v>96375370.83125934</v>
      </c>
      <c r="E127" s="26">
        <f t="shared" si="2"/>
        <v>96375370.83125934</v>
      </c>
      <c r="F127" s="196">
        <v>135.3</v>
      </c>
      <c r="G127" s="196">
        <v>29.2</v>
      </c>
      <c r="H127" s="34">
        <v>135.0532113585975</v>
      </c>
      <c r="I127" s="9">
        <v>31</v>
      </c>
      <c r="J127" s="17">
        <f>'CDM Activity'!C67</f>
        <v>134976.6406865599</v>
      </c>
      <c r="K127" s="9">
        <v>1</v>
      </c>
      <c r="L127" s="44">
        <v>132497.31666666656</v>
      </c>
      <c r="M127" s="198">
        <v>352</v>
      </c>
      <c r="N127" s="17"/>
      <c r="O127" s="9">
        <f t="shared" si="3"/>
        <v>99405717.52029923</v>
      </c>
      <c r="P127" s="9"/>
      <c r="Q127" s="13"/>
    </row>
    <row r="128" spans="1:17" ht="12.75">
      <c r="A128" s="2">
        <v>38869</v>
      </c>
      <c r="B128" s="38">
        <v>106149795.91836734</v>
      </c>
      <c r="E128" s="26">
        <f t="shared" si="2"/>
        <v>106149795.91836734</v>
      </c>
      <c r="F128" s="196">
        <v>15.9</v>
      </c>
      <c r="G128" s="196">
        <v>65.6</v>
      </c>
      <c r="H128" s="34">
        <v>135.33167158820285</v>
      </c>
      <c r="I128" s="9">
        <v>30</v>
      </c>
      <c r="J128" s="17">
        <f>'CDM Activity'!C68</f>
        <v>161971.96882387187</v>
      </c>
      <c r="K128" s="9">
        <v>0</v>
      </c>
      <c r="L128" s="44">
        <v>132601.6999999999</v>
      </c>
      <c r="M128" s="198">
        <v>352</v>
      </c>
      <c r="N128" s="17"/>
      <c r="O128" s="9">
        <f t="shared" si="3"/>
        <v>106205378.43206474</v>
      </c>
      <c r="P128" s="9"/>
      <c r="Q128" s="13"/>
    </row>
    <row r="129" spans="1:17" ht="12.75">
      <c r="A129" s="2">
        <v>38899</v>
      </c>
      <c r="B129" s="38">
        <v>129944897.9591837</v>
      </c>
      <c r="E129" s="26">
        <f t="shared" si="2"/>
        <v>129944897.9591837</v>
      </c>
      <c r="F129" s="196">
        <v>0.6</v>
      </c>
      <c r="G129" s="196">
        <v>166.8</v>
      </c>
      <c r="H129" s="34">
        <v>135.6101318178082</v>
      </c>
      <c r="I129" s="9">
        <v>31</v>
      </c>
      <c r="J129" s="17">
        <f>'CDM Activity'!C69</f>
        <v>188967.29696118383</v>
      </c>
      <c r="K129" s="9">
        <v>0</v>
      </c>
      <c r="L129" s="44">
        <v>132706.08333333323</v>
      </c>
      <c r="M129" s="198">
        <v>320</v>
      </c>
      <c r="N129" s="17"/>
      <c r="O129" s="9">
        <f t="shared" si="3"/>
        <v>129266321.07280113</v>
      </c>
      <c r="P129" s="9"/>
      <c r="Q129" s="13"/>
    </row>
    <row r="130" spans="1:17" ht="12.75">
      <c r="A130" s="2">
        <v>38930</v>
      </c>
      <c r="B130" s="38">
        <v>120333539.07416625</v>
      </c>
      <c r="E130" s="26">
        <f t="shared" si="2"/>
        <v>120333539.07416625</v>
      </c>
      <c r="F130" s="196">
        <v>1.4</v>
      </c>
      <c r="G130" s="196">
        <v>103.8</v>
      </c>
      <c r="H130" s="34">
        <v>135.88859204741354</v>
      </c>
      <c r="I130" s="9">
        <v>31</v>
      </c>
      <c r="J130" s="17">
        <f>'CDM Activity'!C70</f>
        <v>215962.6250984958</v>
      </c>
      <c r="K130" s="9">
        <v>0</v>
      </c>
      <c r="L130" s="44">
        <v>132810.46666666656</v>
      </c>
      <c r="M130" s="198">
        <v>352</v>
      </c>
      <c r="N130" s="17"/>
      <c r="O130" s="9">
        <f t="shared" si="3"/>
        <v>116549328.93159042</v>
      </c>
      <c r="P130" s="9"/>
      <c r="Q130" s="13"/>
    </row>
    <row r="131" spans="1:17" ht="12.75">
      <c r="A131" s="2">
        <v>38961</v>
      </c>
      <c r="B131" s="38">
        <v>95914534.59432554</v>
      </c>
      <c r="E131" s="26">
        <f aca="true" t="shared" si="4" ref="E131:E194">B131+D131+C131</f>
        <v>95914534.59432554</v>
      </c>
      <c r="F131" s="196">
        <v>45.9</v>
      </c>
      <c r="G131" s="196">
        <v>17</v>
      </c>
      <c r="H131" s="34">
        <v>136.16705227701888</v>
      </c>
      <c r="I131" s="9">
        <v>30</v>
      </c>
      <c r="J131" s="17">
        <f>'CDM Activity'!C71</f>
        <v>242957.95323580777</v>
      </c>
      <c r="K131" s="9">
        <v>1</v>
      </c>
      <c r="L131" s="44">
        <v>132914.8499999999</v>
      </c>
      <c r="M131" s="198">
        <v>320</v>
      </c>
      <c r="N131" s="17"/>
      <c r="O131" s="9">
        <f t="shared" si="3"/>
        <v>92471654.79754901</v>
      </c>
      <c r="P131" s="9"/>
      <c r="Q131" s="13"/>
    </row>
    <row r="132" spans="1:17" ht="12.75">
      <c r="A132" s="2">
        <v>38991</v>
      </c>
      <c r="B132" s="38">
        <v>99436286.70980588</v>
      </c>
      <c r="E132" s="26">
        <f t="shared" si="4"/>
        <v>99436286.70980588</v>
      </c>
      <c r="F132" s="196">
        <v>234.4</v>
      </c>
      <c r="G132" s="196">
        <v>0.4</v>
      </c>
      <c r="H132" s="34">
        <v>136.44551250662423</v>
      </c>
      <c r="I132" s="9">
        <v>31</v>
      </c>
      <c r="J132" s="17">
        <f>'CDM Activity'!C72</f>
        <v>269953.28137311974</v>
      </c>
      <c r="K132" s="9">
        <v>1</v>
      </c>
      <c r="L132" s="44">
        <v>133019.23333333322</v>
      </c>
      <c r="M132" s="198">
        <v>336</v>
      </c>
      <c r="N132" s="17"/>
      <c r="O132" s="9">
        <f aca="true" t="shared" si="5" ref="O132:O195">$S$18+F132*$S$19+G132*$S$20+H132*$S$21+I132*$S$22+J132*$S$23+K132*$S$24+L132*$S$25</f>
        <v>96515701.9205783</v>
      </c>
      <c r="P132" s="9"/>
      <c r="Q132" s="13"/>
    </row>
    <row r="133" spans="1:17" ht="12.75">
      <c r="A133" s="2">
        <v>39022</v>
      </c>
      <c r="B133" s="38">
        <v>98699342.95669487</v>
      </c>
      <c r="E133" s="26">
        <f t="shared" si="4"/>
        <v>98699342.95669487</v>
      </c>
      <c r="F133" s="196">
        <v>341.9</v>
      </c>
      <c r="G133" s="196">
        <v>0</v>
      </c>
      <c r="H133" s="34">
        <v>136.72397273622957</v>
      </c>
      <c r="I133" s="9">
        <v>30</v>
      </c>
      <c r="J133" s="17">
        <f>'CDM Activity'!C73</f>
        <v>296948.6095104317</v>
      </c>
      <c r="K133" s="9">
        <v>1</v>
      </c>
      <c r="L133" s="44">
        <v>133123.61666666655</v>
      </c>
      <c r="M133" s="198">
        <v>352</v>
      </c>
      <c r="N133" s="17"/>
      <c r="O133" s="9">
        <f t="shared" si="5"/>
        <v>96492799.2421257</v>
      </c>
      <c r="P133" s="9"/>
      <c r="Q133" s="13"/>
    </row>
    <row r="134" spans="1:17" ht="12.75">
      <c r="A134" s="2">
        <v>39052</v>
      </c>
      <c r="B134" s="38">
        <v>106547506.22200099</v>
      </c>
      <c r="E134" s="26">
        <f t="shared" si="4"/>
        <v>106547506.22200099</v>
      </c>
      <c r="F134" s="196">
        <v>445.2</v>
      </c>
      <c r="G134" s="196">
        <v>0</v>
      </c>
      <c r="H134" s="34">
        <v>137.00243296583506</v>
      </c>
      <c r="I134" s="9">
        <v>31</v>
      </c>
      <c r="J134" s="17">
        <f>'CDM Activity'!C74</f>
        <v>323943.9376477437</v>
      </c>
      <c r="K134" s="9">
        <v>0</v>
      </c>
      <c r="L134" s="44">
        <v>133228</v>
      </c>
      <c r="M134" s="198">
        <v>304</v>
      </c>
      <c r="N134" s="17"/>
      <c r="O134" s="9">
        <f t="shared" si="5"/>
        <v>106719631.6313867</v>
      </c>
      <c r="P134" s="9"/>
      <c r="Q134" s="13"/>
    </row>
    <row r="135" spans="1:30" ht="12.75">
      <c r="A135" s="2">
        <v>39083</v>
      </c>
      <c r="B135" s="38">
        <v>110076804.3802887</v>
      </c>
      <c r="E135" s="26">
        <f t="shared" si="4"/>
        <v>110076804.3802887</v>
      </c>
      <c r="F135" s="196">
        <v>578</v>
      </c>
      <c r="G135" s="196">
        <v>0</v>
      </c>
      <c r="H135" s="34">
        <v>137.2536040929391</v>
      </c>
      <c r="I135" s="9">
        <v>31</v>
      </c>
      <c r="J135" s="17">
        <f>'CDM Activity'!C75</f>
        <v>351105.5315871596</v>
      </c>
      <c r="K135" s="9">
        <v>0</v>
      </c>
      <c r="L135" s="44">
        <v>133272.85</v>
      </c>
      <c r="M135" s="198">
        <v>352</v>
      </c>
      <c r="N135" s="17"/>
      <c r="O135" s="9">
        <f t="shared" si="5"/>
        <v>110021655.28588508</v>
      </c>
      <c r="P135" s="9"/>
      <c r="Q135" s="13"/>
      <c r="AB135" s="10"/>
      <c r="AC135" s="10"/>
      <c r="AD135" s="10"/>
    </row>
    <row r="136" spans="1:17" ht="12.75">
      <c r="A136" s="2">
        <v>39114</v>
      </c>
      <c r="B136" s="38">
        <v>106214902.93678446</v>
      </c>
      <c r="E136" s="26">
        <f t="shared" si="4"/>
        <v>106214902.93678446</v>
      </c>
      <c r="F136" s="196">
        <v>657.8</v>
      </c>
      <c r="G136" s="196">
        <v>0</v>
      </c>
      <c r="H136" s="34">
        <v>137.50477522004314</v>
      </c>
      <c r="I136" s="9">
        <v>28</v>
      </c>
      <c r="J136" s="17">
        <f>'CDM Activity'!C76</f>
        <v>378267.12552657555</v>
      </c>
      <c r="K136" s="9">
        <v>0</v>
      </c>
      <c r="L136" s="44">
        <v>133317.7</v>
      </c>
      <c r="M136" s="198">
        <v>320</v>
      </c>
      <c r="N136" s="17"/>
      <c r="O136" s="9">
        <f t="shared" si="5"/>
        <v>103950099.96024266</v>
      </c>
      <c r="P136" s="9"/>
      <c r="Q136" s="13"/>
    </row>
    <row r="137" spans="1:17" ht="12.75">
      <c r="A137" s="2">
        <v>39142</v>
      </c>
      <c r="B137" s="38">
        <v>105901314.08661026</v>
      </c>
      <c r="E137" s="26">
        <f t="shared" si="4"/>
        <v>105901314.08661026</v>
      </c>
      <c r="F137" s="196">
        <v>515.5</v>
      </c>
      <c r="G137" s="196">
        <v>0</v>
      </c>
      <c r="H137" s="34">
        <v>137.7559463471472</v>
      </c>
      <c r="I137" s="9">
        <v>31</v>
      </c>
      <c r="J137" s="17">
        <f>'CDM Activity'!C77</f>
        <v>405428.7194659915</v>
      </c>
      <c r="K137" s="9">
        <v>1</v>
      </c>
      <c r="L137" s="44">
        <v>133362.55000000002</v>
      </c>
      <c r="M137" s="198">
        <v>352</v>
      </c>
      <c r="N137" s="17"/>
      <c r="O137" s="9">
        <f t="shared" si="5"/>
        <v>103679816.59365427</v>
      </c>
      <c r="P137" s="9"/>
      <c r="Q137" s="13"/>
    </row>
    <row r="138" spans="1:17" ht="12.75">
      <c r="A138" s="2">
        <v>39173</v>
      </c>
      <c r="B138" s="38">
        <v>96871139.87058239</v>
      </c>
      <c r="E138" s="26">
        <f t="shared" si="4"/>
        <v>96871139.87058239</v>
      </c>
      <c r="F138" s="196">
        <v>362.1</v>
      </c>
      <c r="G138" s="196">
        <v>0</v>
      </c>
      <c r="H138" s="34">
        <v>138.00711747425123</v>
      </c>
      <c r="I138" s="9">
        <v>30</v>
      </c>
      <c r="J138" s="17">
        <f>'CDM Activity'!C78</f>
        <v>432590.3134054074</v>
      </c>
      <c r="K138" s="9">
        <v>1</v>
      </c>
      <c r="L138" s="44">
        <v>133407.40000000002</v>
      </c>
      <c r="M138" s="198">
        <v>320</v>
      </c>
      <c r="N138" s="17"/>
      <c r="O138" s="9">
        <f t="shared" si="5"/>
        <v>97263819.57211298</v>
      </c>
      <c r="P138" s="9"/>
      <c r="Q138" s="13"/>
    </row>
    <row r="139" spans="1:17" ht="12.75">
      <c r="A139" s="2">
        <v>39203</v>
      </c>
      <c r="B139" s="38">
        <v>96387834.74365357</v>
      </c>
      <c r="E139" s="26">
        <f t="shared" si="4"/>
        <v>96387834.74365357</v>
      </c>
      <c r="F139" s="196">
        <v>157.9</v>
      </c>
      <c r="G139" s="196">
        <v>13.6</v>
      </c>
      <c r="H139" s="34">
        <v>138.25828860135528</v>
      </c>
      <c r="I139" s="9">
        <v>31</v>
      </c>
      <c r="J139" s="17">
        <f>'CDM Activity'!C79</f>
        <v>459751.90734482335</v>
      </c>
      <c r="K139" s="9">
        <v>1</v>
      </c>
      <c r="L139" s="44">
        <v>133452.25000000003</v>
      </c>
      <c r="M139" s="198">
        <v>352</v>
      </c>
      <c r="N139" s="17"/>
      <c r="O139" s="9">
        <f t="shared" si="5"/>
        <v>97755196.87730177</v>
      </c>
      <c r="P139" s="9"/>
      <c r="Q139" s="13"/>
    </row>
    <row r="140" spans="1:17" ht="12.75">
      <c r="A140" s="2">
        <v>39234</v>
      </c>
      <c r="B140" s="38">
        <v>113036515.67944252</v>
      </c>
      <c r="E140" s="26">
        <f t="shared" si="4"/>
        <v>113036515.67944252</v>
      </c>
      <c r="F140" s="196">
        <v>10.9</v>
      </c>
      <c r="G140" s="196">
        <v>81.7</v>
      </c>
      <c r="H140" s="34">
        <v>138.50945972845932</v>
      </c>
      <c r="I140" s="9">
        <v>30</v>
      </c>
      <c r="J140" s="17">
        <f>'CDM Activity'!C80</f>
        <v>486913.5012842393</v>
      </c>
      <c r="K140" s="9">
        <v>0</v>
      </c>
      <c r="L140" s="44">
        <v>133497.10000000003</v>
      </c>
      <c r="M140" s="198">
        <v>336</v>
      </c>
      <c r="N140" s="17"/>
      <c r="O140" s="9">
        <f t="shared" si="5"/>
        <v>110272623.38171062</v>
      </c>
      <c r="P140" s="9"/>
      <c r="Q140" s="13"/>
    </row>
    <row r="141" spans="1:17" ht="12.75">
      <c r="A141" s="2">
        <v>39264</v>
      </c>
      <c r="B141" s="38">
        <v>116239482.32951717</v>
      </c>
      <c r="E141" s="26">
        <f t="shared" si="4"/>
        <v>116239482.32951717</v>
      </c>
      <c r="F141" s="196">
        <v>0</v>
      </c>
      <c r="G141" s="196">
        <v>109</v>
      </c>
      <c r="H141" s="34">
        <v>138.76063085556336</v>
      </c>
      <c r="I141" s="9">
        <v>31</v>
      </c>
      <c r="J141" s="17">
        <f>'CDM Activity'!C81</f>
        <v>514075.0952236552</v>
      </c>
      <c r="K141" s="9">
        <v>0</v>
      </c>
      <c r="L141" s="44">
        <v>133541.95000000004</v>
      </c>
      <c r="M141" s="198">
        <v>336</v>
      </c>
      <c r="N141" s="17"/>
      <c r="O141" s="9">
        <f t="shared" si="5"/>
        <v>118303843.63639137</v>
      </c>
      <c r="P141" s="9"/>
      <c r="Q141" s="13"/>
    </row>
    <row r="142" spans="1:17" ht="12.75">
      <c r="A142" s="2">
        <v>39295</v>
      </c>
      <c r="B142" s="38">
        <v>124879950.22399203</v>
      </c>
      <c r="E142" s="26">
        <f t="shared" si="4"/>
        <v>124879950.22399203</v>
      </c>
      <c r="F142" s="196">
        <v>6.8</v>
      </c>
      <c r="G142" s="196">
        <v>142.5</v>
      </c>
      <c r="H142" s="34">
        <v>139.0118019826674</v>
      </c>
      <c r="I142" s="9">
        <v>31</v>
      </c>
      <c r="J142" s="17">
        <f>'CDM Activity'!C82</f>
        <v>541236.6891630711</v>
      </c>
      <c r="K142" s="9">
        <v>0</v>
      </c>
      <c r="L142" s="44">
        <v>133586.80000000005</v>
      </c>
      <c r="M142" s="198">
        <v>352</v>
      </c>
      <c r="N142" s="17"/>
      <c r="O142" s="9">
        <f t="shared" si="5"/>
        <v>125343181.34297721</v>
      </c>
      <c r="P142" s="9"/>
      <c r="Q142" s="13"/>
    </row>
    <row r="143" spans="1:17" ht="12.75">
      <c r="A143" s="2">
        <v>39326</v>
      </c>
      <c r="B143" s="38">
        <v>104023175.70930812</v>
      </c>
      <c r="E143" s="26">
        <f t="shared" si="4"/>
        <v>104023175.70930812</v>
      </c>
      <c r="F143" s="196">
        <v>19.2</v>
      </c>
      <c r="G143" s="196">
        <v>54.7</v>
      </c>
      <c r="H143" s="34">
        <v>139.26297310977145</v>
      </c>
      <c r="I143" s="9">
        <v>30</v>
      </c>
      <c r="J143" s="17">
        <f>'CDM Activity'!C83</f>
        <v>568398.283102487</v>
      </c>
      <c r="K143" s="9">
        <v>1</v>
      </c>
      <c r="L143" s="44">
        <v>133631.65000000005</v>
      </c>
      <c r="M143" s="198">
        <v>304</v>
      </c>
      <c r="N143" s="17"/>
      <c r="O143" s="9">
        <f t="shared" si="5"/>
        <v>100204827.64063156</v>
      </c>
      <c r="P143" s="9"/>
      <c r="Q143" s="13"/>
    </row>
    <row r="144" spans="1:17" ht="12.75">
      <c r="A144" s="2">
        <v>39356</v>
      </c>
      <c r="B144" s="38">
        <v>99226202.09059234</v>
      </c>
      <c r="E144" s="26">
        <f t="shared" si="4"/>
        <v>99226202.09059234</v>
      </c>
      <c r="F144" s="196">
        <v>103</v>
      </c>
      <c r="G144" s="196">
        <v>20.6</v>
      </c>
      <c r="H144" s="34">
        <v>139.5141442368755</v>
      </c>
      <c r="I144" s="9">
        <v>31</v>
      </c>
      <c r="J144" s="17">
        <f>'CDM Activity'!C84</f>
        <v>595559.8770419029</v>
      </c>
      <c r="K144" s="9">
        <v>1</v>
      </c>
      <c r="L144" s="44">
        <v>133676.50000000006</v>
      </c>
      <c r="M144" s="198">
        <v>352</v>
      </c>
      <c r="N144" s="17"/>
      <c r="O144" s="9">
        <f t="shared" si="5"/>
        <v>98041030.92792633</v>
      </c>
      <c r="P144" s="9"/>
      <c r="Q144" s="13"/>
    </row>
    <row r="145" spans="1:17" ht="12.75">
      <c r="A145" s="2">
        <v>39387</v>
      </c>
      <c r="B145" s="38">
        <v>100079143.85266301</v>
      </c>
      <c r="E145" s="26">
        <f t="shared" si="4"/>
        <v>100079143.85266301</v>
      </c>
      <c r="F145" s="196">
        <v>385.4</v>
      </c>
      <c r="G145" s="196">
        <v>0</v>
      </c>
      <c r="H145" s="34">
        <v>139.76531536397954</v>
      </c>
      <c r="I145" s="9">
        <v>30</v>
      </c>
      <c r="J145" s="17">
        <f>'CDM Activity'!C85</f>
        <v>622721.4709813187</v>
      </c>
      <c r="K145" s="9">
        <v>1</v>
      </c>
      <c r="L145" s="44">
        <v>133721.35000000006</v>
      </c>
      <c r="M145" s="198">
        <v>352</v>
      </c>
      <c r="N145" s="17"/>
      <c r="O145" s="9">
        <f t="shared" si="5"/>
        <v>98124941.72462621</v>
      </c>
      <c r="P145" s="9"/>
      <c r="Q145" s="13"/>
    </row>
    <row r="146" spans="1:17" ht="12.75">
      <c r="A146" s="2">
        <v>39417</v>
      </c>
      <c r="B146" s="38">
        <v>110979900.44798407</v>
      </c>
      <c r="E146" s="26">
        <f t="shared" si="4"/>
        <v>110979900.44798407</v>
      </c>
      <c r="F146" s="196">
        <v>567.1</v>
      </c>
      <c r="G146" s="196">
        <v>0</v>
      </c>
      <c r="H146" s="34">
        <v>140.01648649108344</v>
      </c>
      <c r="I146" s="9">
        <v>31</v>
      </c>
      <c r="J146" s="17">
        <f>'CDM Activity'!C86</f>
        <v>649883.0649207346</v>
      </c>
      <c r="K146" s="9">
        <v>0</v>
      </c>
      <c r="L146" s="44">
        <v>133766.20000000007</v>
      </c>
      <c r="M146" s="198">
        <v>304</v>
      </c>
      <c r="N146" s="17"/>
      <c r="O146" s="9">
        <f t="shared" si="5"/>
        <v>110208194.40578744</v>
      </c>
      <c r="P146" s="9"/>
      <c r="Q146" s="13"/>
    </row>
    <row r="147" spans="1:15" ht="12.75">
      <c r="A147" s="2">
        <v>39448</v>
      </c>
      <c r="B147" s="44">
        <v>109593071.1796914</v>
      </c>
      <c r="C147" s="17"/>
      <c r="D147" s="17">
        <f>'Load Transfers 2015 COS'!C34</f>
        <v>-81873.33333333333</v>
      </c>
      <c r="E147" s="26">
        <f t="shared" si="4"/>
        <v>109511197.84635808</v>
      </c>
      <c r="F147" s="196">
        <v>562.4</v>
      </c>
      <c r="G147" s="196">
        <v>0</v>
      </c>
      <c r="H147" s="34">
        <v>139.9464782478379</v>
      </c>
      <c r="I147" s="9">
        <v>31</v>
      </c>
      <c r="J147" s="17">
        <f>'CDM Activity'!C87</f>
        <v>660140.676782788</v>
      </c>
      <c r="K147" s="9">
        <v>0</v>
      </c>
      <c r="L147" s="44">
        <v>133811.05000000008</v>
      </c>
      <c r="M147" s="198">
        <v>352</v>
      </c>
      <c r="N147" s="17"/>
      <c r="O147" s="9">
        <f t="shared" si="5"/>
        <v>110061170.2969209</v>
      </c>
    </row>
    <row r="148" spans="1:15" ht="12.75">
      <c r="A148" s="2">
        <v>39479</v>
      </c>
      <c r="B148" s="44">
        <v>104778875.06222</v>
      </c>
      <c r="C148" s="17"/>
      <c r="D148" s="17">
        <f>'Load Transfers 2015 COS'!C35</f>
        <v>-81873.33333333333</v>
      </c>
      <c r="E148" s="26">
        <f t="shared" si="4"/>
        <v>104697001.72888668</v>
      </c>
      <c r="F148" s="196">
        <v>599.9</v>
      </c>
      <c r="G148" s="196">
        <v>0</v>
      </c>
      <c r="H148" s="34">
        <v>139.87647000459233</v>
      </c>
      <c r="I148" s="9">
        <v>29</v>
      </c>
      <c r="J148" s="17">
        <f>'CDM Activity'!C88</f>
        <v>670398.2886448414</v>
      </c>
      <c r="K148" s="9">
        <v>0</v>
      </c>
      <c r="L148" s="44">
        <v>133855.90000000008</v>
      </c>
      <c r="M148" s="198">
        <v>320</v>
      </c>
      <c r="N148" s="17"/>
      <c r="O148" s="9">
        <f t="shared" si="5"/>
        <v>105568825.89020468</v>
      </c>
    </row>
    <row r="149" spans="1:15" ht="12.75">
      <c r="A149" s="2">
        <v>39508</v>
      </c>
      <c r="B149" s="44">
        <v>105424609.25833748</v>
      </c>
      <c r="C149" s="17"/>
      <c r="D149" s="17">
        <f>'Load Transfers 2015 COS'!C36</f>
        <v>-81873.33333333333</v>
      </c>
      <c r="E149" s="26">
        <f t="shared" si="4"/>
        <v>105342735.92500415</v>
      </c>
      <c r="F149" s="196">
        <v>548</v>
      </c>
      <c r="G149" s="196">
        <v>0</v>
      </c>
      <c r="H149" s="34">
        <v>139.80646176134678</v>
      </c>
      <c r="I149" s="9">
        <v>31</v>
      </c>
      <c r="J149" s="17">
        <f>'CDM Activity'!C89</f>
        <v>680655.9005068948</v>
      </c>
      <c r="K149" s="9">
        <v>1</v>
      </c>
      <c r="L149" s="44">
        <v>133900.7500000001</v>
      </c>
      <c r="M149" s="198">
        <v>304</v>
      </c>
      <c r="N149" s="17"/>
      <c r="O149" s="9">
        <f t="shared" si="5"/>
        <v>104754545.5029873</v>
      </c>
    </row>
    <row r="150" spans="1:15" ht="12.75">
      <c r="A150" s="2">
        <v>39539</v>
      </c>
      <c r="B150" s="44">
        <v>86811986.06271778</v>
      </c>
      <c r="C150" s="17"/>
      <c r="D150" s="17">
        <f>'Load Transfers 2015 COS'!C37</f>
        <v>-81873.33333333333</v>
      </c>
      <c r="E150" s="26">
        <f t="shared" si="4"/>
        <v>86730112.72938445</v>
      </c>
      <c r="F150" s="196">
        <v>303.3</v>
      </c>
      <c r="G150" s="196">
        <v>0</v>
      </c>
      <c r="H150" s="34">
        <v>139.73645351810123</v>
      </c>
      <c r="I150" s="9">
        <v>30</v>
      </c>
      <c r="J150" s="17">
        <f>'CDM Activity'!C90</f>
        <v>690913.5123689482</v>
      </c>
      <c r="K150" s="9">
        <v>1</v>
      </c>
      <c r="L150" s="44">
        <v>133945.6000000001</v>
      </c>
      <c r="M150" s="198">
        <v>352</v>
      </c>
      <c r="N150" s="17"/>
      <c r="O150" s="9">
        <f t="shared" si="5"/>
        <v>96023882.93855846</v>
      </c>
    </row>
    <row r="151" spans="1:15" ht="12.75">
      <c r="A151" s="2">
        <v>39569</v>
      </c>
      <c r="B151" s="44">
        <v>95673539.07416625</v>
      </c>
      <c r="C151" s="17"/>
      <c r="D151" s="17">
        <f>'Load Transfers 2015 COS'!C38</f>
        <v>-81873.33333333333</v>
      </c>
      <c r="E151" s="26">
        <f t="shared" si="4"/>
        <v>95591665.74083292</v>
      </c>
      <c r="F151" s="196">
        <v>192.7</v>
      </c>
      <c r="G151" s="196">
        <v>0</v>
      </c>
      <c r="H151" s="34">
        <v>139.66644527485568</v>
      </c>
      <c r="I151" s="9">
        <v>31</v>
      </c>
      <c r="J151" s="17">
        <f>'CDM Activity'!C91</f>
        <v>701171.1242310016</v>
      </c>
      <c r="K151" s="9">
        <v>1</v>
      </c>
      <c r="L151" s="44">
        <v>133990.4500000001</v>
      </c>
      <c r="M151" s="198">
        <v>336</v>
      </c>
      <c r="N151" s="17"/>
      <c r="O151" s="9">
        <f t="shared" si="5"/>
        <v>95967362.8683033</v>
      </c>
    </row>
    <row r="152" spans="1:15" ht="12.75">
      <c r="A152" s="2">
        <v>39600</v>
      </c>
      <c r="B152" s="44">
        <v>106441284.22100548</v>
      </c>
      <c r="C152" s="17"/>
      <c r="D152" s="17">
        <f>'Load Transfers 2015 COS'!C39</f>
        <v>-81873.33333333333</v>
      </c>
      <c r="E152" s="26">
        <f t="shared" si="4"/>
        <v>106359410.88767216</v>
      </c>
      <c r="F152" s="196">
        <v>30.4</v>
      </c>
      <c r="G152" s="196">
        <v>62.5</v>
      </c>
      <c r="H152" s="34">
        <v>139.59643703161012</v>
      </c>
      <c r="I152" s="9">
        <v>30</v>
      </c>
      <c r="J152" s="17">
        <f>'CDM Activity'!C92</f>
        <v>711428.736093055</v>
      </c>
      <c r="K152" s="9">
        <v>0</v>
      </c>
      <c r="L152" s="44">
        <v>134035.3000000001</v>
      </c>
      <c r="M152" s="198">
        <v>336</v>
      </c>
      <c r="N152" s="17"/>
      <c r="O152" s="9">
        <f t="shared" si="5"/>
        <v>106894294.62972808</v>
      </c>
    </row>
    <row r="153" spans="1:15" ht="12.75">
      <c r="A153" s="2">
        <v>39630</v>
      </c>
      <c r="B153" s="44">
        <v>120363653.55898456</v>
      </c>
      <c r="C153" s="17"/>
      <c r="D153" s="17">
        <f>'Load Transfers 2015 COS'!C40</f>
        <v>-81873.33333333333</v>
      </c>
      <c r="E153" s="26">
        <f t="shared" si="4"/>
        <v>120281780.22565123</v>
      </c>
      <c r="F153" s="196">
        <v>0</v>
      </c>
      <c r="G153" s="196">
        <v>115.4</v>
      </c>
      <c r="H153" s="34">
        <v>139.52642878836457</v>
      </c>
      <c r="I153" s="9">
        <v>31</v>
      </c>
      <c r="J153" s="17">
        <f>'CDM Activity'!C93</f>
        <v>721686.3479551084</v>
      </c>
      <c r="K153" s="9">
        <v>0</v>
      </c>
      <c r="L153" s="44">
        <v>134080.1500000001</v>
      </c>
      <c r="M153" s="198">
        <v>352</v>
      </c>
      <c r="N153" s="17"/>
      <c r="O153" s="9">
        <f t="shared" si="5"/>
        <v>119593978.44985697</v>
      </c>
    </row>
    <row r="154" spans="1:15" ht="12.75">
      <c r="A154" s="2">
        <v>39661</v>
      </c>
      <c r="B154" s="44">
        <v>112977083.1259333</v>
      </c>
      <c r="C154" s="17"/>
      <c r="D154" s="17">
        <f>'Load Transfers 2015 COS'!C41</f>
        <v>-81873.33333333333</v>
      </c>
      <c r="E154" s="26">
        <f t="shared" si="4"/>
        <v>112895209.79259998</v>
      </c>
      <c r="F154" s="196">
        <v>4.5</v>
      </c>
      <c r="G154" s="196">
        <v>85.7</v>
      </c>
      <c r="H154" s="34">
        <v>139.45642054511902</v>
      </c>
      <c r="I154" s="9">
        <v>31</v>
      </c>
      <c r="J154" s="17">
        <f>'CDM Activity'!C94</f>
        <v>731943.9598171618</v>
      </c>
      <c r="K154" s="9">
        <v>0</v>
      </c>
      <c r="L154" s="44">
        <v>134125.00000000012</v>
      </c>
      <c r="M154" s="198">
        <v>320</v>
      </c>
      <c r="N154" s="17"/>
      <c r="O154" s="9">
        <f t="shared" si="5"/>
        <v>113616634.09252451</v>
      </c>
    </row>
    <row r="155" spans="1:15" ht="12.75">
      <c r="A155" s="2">
        <v>39692</v>
      </c>
      <c r="B155" s="44">
        <v>101476764.55948234</v>
      </c>
      <c r="C155" s="17"/>
      <c r="D155" s="17">
        <f>'Load Transfers 2015 COS'!C42</f>
        <v>-81873.33333333333</v>
      </c>
      <c r="E155" s="26">
        <f t="shared" si="4"/>
        <v>101394891.22614901</v>
      </c>
      <c r="F155" s="196">
        <v>38.6</v>
      </c>
      <c r="G155" s="196">
        <v>39.6</v>
      </c>
      <c r="H155" s="34">
        <v>139.38641230187346</v>
      </c>
      <c r="I155" s="9">
        <v>30</v>
      </c>
      <c r="J155" s="17">
        <f>'CDM Activity'!C95</f>
        <v>742201.5716792152</v>
      </c>
      <c r="K155" s="9">
        <v>1</v>
      </c>
      <c r="L155" s="44">
        <v>134169.85000000012</v>
      </c>
      <c r="M155" s="198">
        <v>336</v>
      </c>
      <c r="N155" s="17"/>
      <c r="O155" s="9">
        <f t="shared" si="5"/>
        <v>97441355.99373972</v>
      </c>
    </row>
    <row r="156" spans="1:15" ht="12.75">
      <c r="A156" s="2">
        <v>39722</v>
      </c>
      <c r="B156" s="44">
        <v>95543325.03733201</v>
      </c>
      <c r="C156" s="17"/>
      <c r="D156" s="17">
        <f>'Load Transfers 2015 COS'!C43</f>
        <v>-81873.33333333333</v>
      </c>
      <c r="E156" s="26">
        <f t="shared" si="4"/>
        <v>95461451.70399868</v>
      </c>
      <c r="F156" s="196">
        <v>207.1</v>
      </c>
      <c r="G156" s="196">
        <v>0.4</v>
      </c>
      <c r="H156" s="34">
        <v>139.3164040586279</v>
      </c>
      <c r="I156" s="9">
        <v>31</v>
      </c>
      <c r="J156" s="17">
        <f>'CDM Activity'!C96</f>
        <v>752459.1835412686</v>
      </c>
      <c r="K156" s="9">
        <v>1</v>
      </c>
      <c r="L156" s="44">
        <v>134214.70000000013</v>
      </c>
      <c r="M156" s="198">
        <v>352</v>
      </c>
      <c r="N156" s="17"/>
      <c r="O156" s="9">
        <f t="shared" si="5"/>
        <v>96244393.783442</v>
      </c>
    </row>
    <row r="157" spans="1:15" ht="12.75">
      <c r="A157" s="2">
        <v>39753</v>
      </c>
      <c r="B157" s="44">
        <v>97619273.27028373</v>
      </c>
      <c r="C157" s="17"/>
      <c r="D157" s="17">
        <f>'Load Transfers 2015 COS'!C44</f>
        <v>-81873.33333333333</v>
      </c>
      <c r="E157" s="26">
        <f t="shared" si="4"/>
        <v>97537399.9369504</v>
      </c>
      <c r="F157" s="196">
        <v>420.9</v>
      </c>
      <c r="G157" s="196">
        <v>0</v>
      </c>
      <c r="H157" s="34">
        <v>139.24639581538236</v>
      </c>
      <c r="I157" s="9">
        <v>30</v>
      </c>
      <c r="J157" s="17">
        <f>'CDM Activity'!C97</f>
        <v>762716.795403322</v>
      </c>
      <c r="K157" s="9">
        <v>1</v>
      </c>
      <c r="L157" s="44">
        <v>134259.55000000013</v>
      </c>
      <c r="M157" s="198">
        <v>304</v>
      </c>
      <c r="N157" s="17"/>
      <c r="O157" s="9">
        <f t="shared" si="5"/>
        <v>98690050.19774494</v>
      </c>
    </row>
    <row r="158" spans="1:15" ht="12.75">
      <c r="A158" s="2">
        <v>39783</v>
      </c>
      <c r="B158" s="44">
        <v>111639153.80786462</v>
      </c>
      <c r="C158" s="17"/>
      <c r="D158" s="17">
        <f>'Load Transfers 2015 COS'!C45</f>
        <v>-81873.33333333333</v>
      </c>
      <c r="E158" s="26">
        <f t="shared" si="4"/>
        <v>111557280.4745313</v>
      </c>
      <c r="F158" s="196">
        <v>620.1</v>
      </c>
      <c r="G158" s="196">
        <v>0</v>
      </c>
      <c r="H158" s="34">
        <v>139.17638757213695</v>
      </c>
      <c r="I158" s="9">
        <v>31</v>
      </c>
      <c r="J158" s="17">
        <f>'CDM Activity'!C98</f>
        <v>772974.4072653754</v>
      </c>
      <c r="K158" s="9">
        <v>0</v>
      </c>
      <c r="L158" s="44">
        <v>134304.40000000014</v>
      </c>
      <c r="M158" s="198">
        <v>336</v>
      </c>
      <c r="N158" s="17"/>
      <c r="O158" s="9">
        <f t="shared" si="5"/>
        <v>111130082.91151533</v>
      </c>
    </row>
    <row r="159" spans="1:15" ht="12.75">
      <c r="A159" s="2">
        <v>39814</v>
      </c>
      <c r="B159" s="44">
        <v>117706102.53857641</v>
      </c>
      <c r="C159" s="17"/>
      <c r="D159" s="17">
        <f>'Load Transfers 2015 COS'!C46</f>
        <v>-61304</v>
      </c>
      <c r="E159" s="26">
        <f t="shared" si="4"/>
        <v>117644798.53857641</v>
      </c>
      <c r="F159" s="196">
        <v>723.9</v>
      </c>
      <c r="G159" s="196">
        <v>0</v>
      </c>
      <c r="H159" s="34">
        <v>138.80525053861123</v>
      </c>
      <c r="I159" s="9">
        <v>31</v>
      </c>
      <c r="J159" s="17">
        <f>'CDM Activity'!C99</f>
        <v>798306.233662782</v>
      </c>
      <c r="K159" s="9">
        <v>0</v>
      </c>
      <c r="L159" s="44">
        <v>134349.25000000015</v>
      </c>
      <c r="M159" s="198">
        <v>336</v>
      </c>
      <c r="N159" s="17"/>
      <c r="O159" s="9">
        <f t="shared" si="5"/>
        <v>113450722.55623862</v>
      </c>
    </row>
    <row r="160" spans="1:15" ht="12.75">
      <c r="A160" s="2">
        <v>39845</v>
      </c>
      <c r="B160" s="44">
        <v>97637232.4539572</v>
      </c>
      <c r="C160" s="17"/>
      <c r="D160" s="17">
        <f>'Load Transfers 2015 COS'!C47</f>
        <v>-61304</v>
      </c>
      <c r="E160" s="26">
        <f t="shared" si="4"/>
        <v>97575928.4539572</v>
      </c>
      <c r="F160" s="196">
        <v>537</v>
      </c>
      <c r="G160" s="196">
        <v>0</v>
      </c>
      <c r="H160" s="34">
        <v>138.43411350508552</v>
      </c>
      <c r="I160" s="9">
        <v>28</v>
      </c>
      <c r="J160" s="17">
        <f>'CDM Activity'!C100</f>
        <v>823638.0600601886</v>
      </c>
      <c r="K160" s="9">
        <v>0</v>
      </c>
      <c r="L160" s="44">
        <v>134394.10000000015</v>
      </c>
      <c r="M160" s="198">
        <v>304</v>
      </c>
      <c r="N160" s="17"/>
      <c r="O160" s="9">
        <f t="shared" si="5"/>
        <v>100561362.14273721</v>
      </c>
    </row>
    <row r="161" spans="1:15" ht="12.75">
      <c r="A161" s="2">
        <v>39873</v>
      </c>
      <c r="B161" s="44">
        <v>102033200.59731211</v>
      </c>
      <c r="C161" s="17"/>
      <c r="D161" s="17">
        <f>'Load Transfers 2015 COS'!C48</f>
        <v>-61304</v>
      </c>
      <c r="E161" s="26">
        <f t="shared" si="4"/>
        <v>101971896.59731211</v>
      </c>
      <c r="F161" s="196">
        <v>509.1</v>
      </c>
      <c r="G161" s="196">
        <v>0</v>
      </c>
      <c r="H161" s="34">
        <v>138.0629764715598</v>
      </c>
      <c r="I161" s="9">
        <v>31</v>
      </c>
      <c r="J161" s="17">
        <f>'CDM Activity'!C101</f>
        <v>848969.8864575953</v>
      </c>
      <c r="K161" s="9">
        <v>1</v>
      </c>
      <c r="L161" s="44">
        <v>134438.95000000016</v>
      </c>
      <c r="M161" s="198">
        <v>352</v>
      </c>
      <c r="N161" s="17"/>
      <c r="O161" s="9">
        <f t="shared" si="5"/>
        <v>102830699.32084249</v>
      </c>
    </row>
    <row r="162" spans="1:15" ht="12.75">
      <c r="A162" s="2">
        <v>39904</v>
      </c>
      <c r="B162" s="44">
        <v>92234006.96864112</v>
      </c>
      <c r="C162" s="17"/>
      <c r="D162" s="17">
        <f>'Load Transfers 2015 COS'!C49</f>
        <v>-61304</v>
      </c>
      <c r="E162" s="26">
        <f t="shared" si="4"/>
        <v>92172702.96864112</v>
      </c>
      <c r="F162" s="196">
        <v>315.4</v>
      </c>
      <c r="G162" s="196">
        <v>0</v>
      </c>
      <c r="H162" s="34">
        <v>137.6918394380341</v>
      </c>
      <c r="I162" s="9">
        <v>30</v>
      </c>
      <c r="J162" s="17">
        <f>'CDM Activity'!C102</f>
        <v>874301.7128550019</v>
      </c>
      <c r="K162" s="9">
        <v>1</v>
      </c>
      <c r="L162" s="44">
        <v>134483.80000000016</v>
      </c>
      <c r="M162" s="198">
        <v>320</v>
      </c>
      <c r="N162" s="17"/>
      <c r="O162" s="9">
        <f t="shared" si="5"/>
        <v>95155861.16633576</v>
      </c>
    </row>
    <row r="163" spans="1:15" ht="12.75">
      <c r="A163" s="2">
        <v>39934</v>
      </c>
      <c r="B163" s="44">
        <v>90740353.02676417</v>
      </c>
      <c r="C163" s="17"/>
      <c r="D163" s="17">
        <f>'Load Transfers 2015 COS'!C50</f>
        <v>-61304</v>
      </c>
      <c r="E163" s="26">
        <f t="shared" si="4"/>
        <v>90679049.02676417</v>
      </c>
      <c r="F163" s="196">
        <v>185.9</v>
      </c>
      <c r="G163" s="196">
        <v>0</v>
      </c>
      <c r="H163" s="34">
        <v>137.32070240450838</v>
      </c>
      <c r="I163" s="9">
        <v>31</v>
      </c>
      <c r="J163" s="17">
        <f>'CDM Activity'!C103</f>
        <v>899633.5392524085</v>
      </c>
      <c r="K163" s="9">
        <v>1</v>
      </c>
      <c r="L163" s="44">
        <v>134528.65000000017</v>
      </c>
      <c r="M163" s="198">
        <v>320</v>
      </c>
      <c r="N163" s="17"/>
      <c r="O163" s="9">
        <f t="shared" si="5"/>
        <v>94438859.93865699</v>
      </c>
    </row>
    <row r="164" spans="1:15" ht="12.75">
      <c r="A164" s="2">
        <v>39965</v>
      </c>
      <c r="B164" s="44">
        <v>97871861.2398055</v>
      </c>
      <c r="C164" s="17"/>
      <c r="D164" s="17">
        <f>'Load Transfers 2015 COS'!C51</f>
        <v>-61304</v>
      </c>
      <c r="E164" s="26">
        <f t="shared" si="4"/>
        <v>97810557.2398055</v>
      </c>
      <c r="F164" s="196">
        <v>66.8</v>
      </c>
      <c r="G164" s="196">
        <v>33</v>
      </c>
      <c r="H164" s="34">
        <v>136.94956537098267</v>
      </c>
      <c r="I164" s="9">
        <v>30</v>
      </c>
      <c r="J164" s="17">
        <f>'CDM Activity'!C104</f>
        <v>924965.3656498152</v>
      </c>
      <c r="K164" s="9">
        <v>0</v>
      </c>
      <c r="L164" s="44">
        <v>134573.50000000017</v>
      </c>
      <c r="M164" s="198">
        <v>352</v>
      </c>
      <c r="N164" s="17"/>
      <c r="O164" s="9">
        <f t="shared" si="5"/>
        <v>100214665.07988475</v>
      </c>
    </row>
    <row r="165" spans="1:15" ht="12.75">
      <c r="A165" s="2">
        <v>39995</v>
      </c>
      <c r="B165" s="44">
        <v>106379009.8403339</v>
      </c>
      <c r="C165" s="17"/>
      <c r="D165" s="17">
        <f>'Load Transfers 2015 COS'!C52</f>
        <v>-61304</v>
      </c>
      <c r="E165" s="26">
        <f t="shared" si="4"/>
        <v>106317705.8403339</v>
      </c>
      <c r="F165" s="196">
        <v>0.6</v>
      </c>
      <c r="G165" s="196">
        <v>56.8</v>
      </c>
      <c r="H165" s="34">
        <v>136.57842833745696</v>
      </c>
      <c r="I165" s="9">
        <v>31</v>
      </c>
      <c r="J165" s="17">
        <f>'CDM Activity'!C105</f>
        <v>950297.1920472218</v>
      </c>
      <c r="K165" s="9">
        <v>0</v>
      </c>
      <c r="L165" s="44">
        <v>134618.35000000018</v>
      </c>
      <c r="M165" s="198">
        <v>352</v>
      </c>
      <c r="N165" s="17"/>
      <c r="O165" s="9">
        <f t="shared" si="5"/>
        <v>105905042.96929216</v>
      </c>
    </row>
    <row r="166" spans="1:15" ht="12.75">
      <c r="A166" s="2">
        <v>40026</v>
      </c>
      <c r="B166" s="44">
        <v>118375479.57269213</v>
      </c>
      <c r="C166" s="17"/>
      <c r="D166" s="17">
        <f>'Load Transfers 2015 COS'!C53</f>
        <v>-61304</v>
      </c>
      <c r="E166" s="26">
        <f t="shared" si="4"/>
        <v>118314175.57269213</v>
      </c>
      <c r="F166" s="196">
        <v>3.9</v>
      </c>
      <c r="G166" s="196">
        <v>118.8</v>
      </c>
      <c r="H166" s="34">
        <v>136.20729130393124</v>
      </c>
      <c r="I166" s="9">
        <v>31</v>
      </c>
      <c r="J166" s="17">
        <f>'CDM Activity'!C106</f>
        <v>975629.0184446285</v>
      </c>
      <c r="K166" s="9">
        <v>0</v>
      </c>
      <c r="L166" s="44">
        <v>134663.2000000002</v>
      </c>
      <c r="M166" s="198">
        <v>320</v>
      </c>
      <c r="N166" s="17"/>
      <c r="O166" s="9">
        <f t="shared" si="5"/>
        <v>118400635.72920346</v>
      </c>
    </row>
    <row r="167" spans="1:15" ht="12.75">
      <c r="A167" s="2">
        <v>40057</v>
      </c>
      <c r="B167" s="44">
        <v>96821587.4717617</v>
      </c>
      <c r="C167" s="17"/>
      <c r="D167" s="17">
        <f>'Load Transfers 2015 COS'!C54</f>
        <v>-61304</v>
      </c>
      <c r="E167" s="26">
        <f t="shared" si="4"/>
        <v>96760283.4717617</v>
      </c>
      <c r="F167" s="196">
        <v>32.4</v>
      </c>
      <c r="G167" s="196">
        <v>30.7</v>
      </c>
      <c r="H167" s="34">
        <v>135.83615427040553</v>
      </c>
      <c r="I167" s="9">
        <v>30</v>
      </c>
      <c r="J167" s="17">
        <f>'CDM Activity'!C107</f>
        <v>1000960.8448420351</v>
      </c>
      <c r="K167" s="9">
        <v>1</v>
      </c>
      <c r="L167" s="44">
        <v>134708.0500000002</v>
      </c>
      <c r="M167" s="198">
        <v>336</v>
      </c>
      <c r="N167" s="17"/>
      <c r="O167" s="9">
        <f t="shared" si="5"/>
        <v>93327097.25279525</v>
      </c>
    </row>
    <row r="168" spans="1:15" ht="12.75">
      <c r="A168" s="2">
        <v>40087</v>
      </c>
      <c r="B168" s="44">
        <v>93959689.09139642</v>
      </c>
      <c r="C168" s="17"/>
      <c r="D168" s="17">
        <f>'Load Transfers 2015 COS'!C55</f>
        <v>-61304</v>
      </c>
      <c r="E168" s="26">
        <f t="shared" si="4"/>
        <v>93898385.09139642</v>
      </c>
      <c r="F168" s="196">
        <v>241.2</v>
      </c>
      <c r="G168" s="196">
        <v>0</v>
      </c>
      <c r="H168" s="34">
        <v>135.46501723687982</v>
      </c>
      <c r="I168" s="9">
        <v>31</v>
      </c>
      <c r="J168" s="17">
        <f>'CDM Activity'!C108</f>
        <v>1026292.6712394417</v>
      </c>
      <c r="K168" s="9">
        <v>1</v>
      </c>
      <c r="L168" s="44">
        <v>134752.9000000002</v>
      </c>
      <c r="M168" s="198">
        <v>336</v>
      </c>
      <c r="N168" s="17"/>
      <c r="O168" s="9">
        <f t="shared" si="5"/>
        <v>94656494.62038231</v>
      </c>
    </row>
    <row r="169" spans="1:15" ht="12.75">
      <c r="A169" s="2">
        <v>40118</v>
      </c>
      <c r="B169" s="44">
        <v>93794432.7449554</v>
      </c>
      <c r="C169" s="17"/>
      <c r="D169" s="17">
        <f>'Load Transfers 2015 COS'!C56</f>
        <v>-61304</v>
      </c>
      <c r="E169" s="26">
        <f t="shared" si="4"/>
        <v>93733128.7449554</v>
      </c>
      <c r="F169" s="196">
        <v>320.8</v>
      </c>
      <c r="G169" s="196">
        <v>0</v>
      </c>
      <c r="H169" s="34">
        <v>135.0938802033541</v>
      </c>
      <c r="I169" s="9">
        <v>30</v>
      </c>
      <c r="J169" s="17">
        <f>'CDM Activity'!C109</f>
        <v>1051624.4976368484</v>
      </c>
      <c r="K169" s="9">
        <v>1</v>
      </c>
      <c r="L169" s="44">
        <v>134797.7500000002</v>
      </c>
      <c r="M169" s="198">
        <v>320</v>
      </c>
      <c r="N169" s="17"/>
      <c r="O169" s="9">
        <f t="shared" si="5"/>
        <v>93692190.25064775</v>
      </c>
    </row>
    <row r="170" spans="1:15" ht="12.75">
      <c r="A170" s="2">
        <v>40148</v>
      </c>
      <c r="B170" s="44">
        <v>109990511.9270973</v>
      </c>
      <c r="C170" s="17"/>
      <c r="D170" s="17">
        <f>'Load Transfers 2015 COS'!C57</f>
        <v>-61304</v>
      </c>
      <c r="E170" s="26">
        <f t="shared" si="4"/>
        <v>109929207.9270973</v>
      </c>
      <c r="F170" s="196">
        <v>570.89</v>
      </c>
      <c r="G170" s="196">
        <v>0</v>
      </c>
      <c r="H170" s="34">
        <v>134.72274316982856</v>
      </c>
      <c r="I170" s="9">
        <v>31</v>
      </c>
      <c r="J170" s="17">
        <f>'CDM Activity'!C110</f>
        <v>1076956.324034255</v>
      </c>
      <c r="K170" s="9">
        <v>0</v>
      </c>
      <c r="L170" s="44">
        <v>134842.6000000002</v>
      </c>
      <c r="M170" s="198">
        <v>352</v>
      </c>
      <c r="N170" s="17"/>
      <c r="O170" s="9">
        <f t="shared" si="5"/>
        <v>107185346.46429144</v>
      </c>
    </row>
    <row r="171" spans="1:36" s="32" customFormat="1" ht="12.75">
      <c r="A171" s="31">
        <v>40179</v>
      </c>
      <c r="B171" s="44">
        <v>112413952.59792474</v>
      </c>
      <c r="C171" s="17">
        <v>411293</v>
      </c>
      <c r="D171" s="17">
        <f>'Load Transfers 2015 COS'!C58</f>
        <v>-96502.18</v>
      </c>
      <c r="E171" s="26">
        <f t="shared" si="4"/>
        <v>112728743.41792473</v>
      </c>
      <c r="F171" s="196">
        <v>653.3</v>
      </c>
      <c r="G171" s="196">
        <v>0</v>
      </c>
      <c r="H171" s="34">
        <v>135.08200381828144</v>
      </c>
      <c r="I171" s="17">
        <v>31</v>
      </c>
      <c r="J171" s="17">
        <f>'CDM Activity'!C111</f>
        <v>1086477.3367878648</v>
      </c>
      <c r="K171" s="17">
        <v>0</v>
      </c>
      <c r="L171" s="44">
        <v>134887.45000000022</v>
      </c>
      <c r="M171" s="198">
        <v>320</v>
      </c>
      <c r="N171" s="17"/>
      <c r="O171" s="9">
        <f t="shared" si="5"/>
        <v>109371256.17179047</v>
      </c>
      <c r="P171" s="22"/>
      <c r="Q171" s="22"/>
      <c r="AB171" s="26"/>
      <c r="AC171" s="26"/>
      <c r="AD171" s="26"/>
      <c r="AE171" s="26"/>
      <c r="AF171" s="26"/>
      <c r="AG171" s="26"/>
      <c r="AH171" s="26"/>
      <c r="AI171" s="26"/>
      <c r="AJ171" s="26"/>
    </row>
    <row r="172" spans="1:36" s="32" customFormat="1" ht="12.75">
      <c r="A172" s="31">
        <v>40210</v>
      </c>
      <c r="B172" s="44">
        <v>98822728.49102119</v>
      </c>
      <c r="C172" s="17">
        <v>532219</v>
      </c>
      <c r="D172" s="17">
        <f>'Load Transfers 2015 COS'!C59</f>
        <v>-96502.18</v>
      </c>
      <c r="E172" s="26">
        <f t="shared" si="4"/>
        <v>99258445.31102118</v>
      </c>
      <c r="F172" s="196">
        <v>551.1</v>
      </c>
      <c r="G172" s="196">
        <v>0</v>
      </c>
      <c r="H172" s="34">
        <v>135.4412644667343</v>
      </c>
      <c r="I172" s="17">
        <v>28</v>
      </c>
      <c r="J172" s="17">
        <f>'CDM Activity'!C112</f>
        <v>1095998.3495414746</v>
      </c>
      <c r="K172" s="17">
        <v>0</v>
      </c>
      <c r="L172" s="44">
        <v>134932.30000000022</v>
      </c>
      <c r="M172" s="198">
        <v>304</v>
      </c>
      <c r="N172" s="17"/>
      <c r="O172" s="9">
        <f t="shared" si="5"/>
        <v>98952070.79445106</v>
      </c>
      <c r="P172" s="22"/>
      <c r="Q172" s="22"/>
      <c r="AB172" s="26"/>
      <c r="AC172" s="26"/>
      <c r="AD172" s="26"/>
      <c r="AE172" s="26"/>
      <c r="AF172" s="26"/>
      <c r="AG172" s="26"/>
      <c r="AH172" s="26"/>
      <c r="AI172" s="26"/>
      <c r="AJ172" s="26"/>
    </row>
    <row r="173" spans="1:36" s="32" customFormat="1" ht="12.75">
      <c r="A173" s="31">
        <v>40238</v>
      </c>
      <c r="B173" s="44">
        <v>99590879.5037715</v>
      </c>
      <c r="C173" s="17">
        <v>545833</v>
      </c>
      <c r="D173" s="17">
        <f>'Load Transfers 2015 COS'!C60</f>
        <v>-96502.18</v>
      </c>
      <c r="E173" s="26">
        <f t="shared" si="4"/>
        <v>100040210.32377149</v>
      </c>
      <c r="F173" s="196">
        <v>434.7</v>
      </c>
      <c r="G173" s="196">
        <v>0</v>
      </c>
      <c r="H173" s="34">
        <v>135.80052511518718</v>
      </c>
      <c r="I173" s="17">
        <v>31</v>
      </c>
      <c r="J173" s="17">
        <f>'CDM Activity'!C113</f>
        <v>1105519.3622950844</v>
      </c>
      <c r="K173" s="17">
        <v>1</v>
      </c>
      <c r="L173" s="44">
        <v>134977.15000000023</v>
      </c>
      <c r="M173" s="198">
        <v>368</v>
      </c>
      <c r="N173" s="17"/>
      <c r="O173" s="9">
        <f t="shared" si="5"/>
        <v>99438877.36831395</v>
      </c>
      <c r="P173" s="22"/>
      <c r="Q173" s="22"/>
      <c r="AB173" s="26"/>
      <c r="AC173" s="26"/>
      <c r="AD173" s="26"/>
      <c r="AE173" s="26"/>
      <c r="AF173" s="26"/>
      <c r="AG173" s="26"/>
      <c r="AH173" s="26"/>
      <c r="AI173" s="26"/>
      <c r="AJ173" s="26"/>
    </row>
    <row r="174" spans="1:36" s="32" customFormat="1" ht="12.75">
      <c r="A174" s="31">
        <v>40269</v>
      </c>
      <c r="B174" s="44">
        <v>88866064.2493395</v>
      </c>
      <c r="C174" s="17">
        <v>587674</v>
      </c>
      <c r="D174" s="17">
        <f>'Load Transfers 2015 COS'!C61</f>
        <v>-96502.18</v>
      </c>
      <c r="E174" s="26">
        <f t="shared" si="4"/>
        <v>89357236.0693395</v>
      </c>
      <c r="F174" s="196">
        <v>253.2</v>
      </c>
      <c r="G174" s="196">
        <v>0</v>
      </c>
      <c r="H174" s="34">
        <v>136.15978576364006</v>
      </c>
      <c r="I174" s="17">
        <v>30</v>
      </c>
      <c r="J174" s="17">
        <f>'CDM Activity'!C114</f>
        <v>1115040.3750486942</v>
      </c>
      <c r="K174" s="17">
        <v>1</v>
      </c>
      <c r="L174" s="44">
        <v>135022.00000000023</v>
      </c>
      <c r="M174" s="198">
        <v>320</v>
      </c>
      <c r="N174" s="17"/>
      <c r="O174" s="9">
        <f t="shared" si="5"/>
        <v>92454068.99056208</v>
      </c>
      <c r="P174" s="22"/>
      <c r="Q174" s="22"/>
      <c r="AB174" s="26"/>
      <c r="AC174" s="26"/>
      <c r="AD174" s="26"/>
      <c r="AE174" s="26"/>
      <c r="AF174" s="26"/>
      <c r="AG174" s="26"/>
      <c r="AH174" s="26"/>
      <c r="AI174" s="26"/>
      <c r="AJ174" s="26"/>
    </row>
    <row r="175" spans="1:36" s="32" customFormat="1" ht="12.75">
      <c r="A175" s="31">
        <v>40299</v>
      </c>
      <c r="B175" s="44">
        <v>97708833.3269518</v>
      </c>
      <c r="C175" s="17">
        <v>438525</v>
      </c>
      <c r="D175" s="17">
        <f>'Load Transfers 2015 COS'!C62</f>
        <v>-96502.18</v>
      </c>
      <c r="E175" s="26">
        <f t="shared" si="4"/>
        <v>98050856.1469518</v>
      </c>
      <c r="F175" s="196">
        <v>129.4</v>
      </c>
      <c r="G175" s="196">
        <v>22.4</v>
      </c>
      <c r="H175" s="34">
        <v>136.51904641209293</v>
      </c>
      <c r="I175" s="17">
        <v>31</v>
      </c>
      <c r="J175" s="17">
        <f>'CDM Activity'!C115</f>
        <v>1124561.387802304</v>
      </c>
      <c r="K175" s="17">
        <v>1</v>
      </c>
      <c r="L175" s="44">
        <v>135066.85000000024</v>
      </c>
      <c r="M175" s="198">
        <v>320</v>
      </c>
      <c r="N175" s="17"/>
      <c r="O175" s="9">
        <f t="shared" si="5"/>
        <v>96835148.33552285</v>
      </c>
      <c r="P175" s="22"/>
      <c r="Q175" s="22"/>
      <c r="AB175" s="26"/>
      <c r="AC175" s="26"/>
      <c r="AD175" s="26"/>
      <c r="AE175" s="26"/>
      <c r="AF175" s="26"/>
      <c r="AG175" s="26"/>
      <c r="AH175" s="26"/>
      <c r="AI175" s="26"/>
      <c r="AJ175" s="26"/>
    </row>
    <row r="176" spans="1:36" s="32" customFormat="1" ht="12.75">
      <c r="A176" s="31">
        <v>40330</v>
      </c>
      <c r="B176" s="44">
        <v>106489650.41926716</v>
      </c>
      <c r="C176" s="17">
        <v>575982</v>
      </c>
      <c r="D176" s="17">
        <f>'Load Transfers 2015 COS'!C63</f>
        <v>-96502.18</v>
      </c>
      <c r="E176" s="26">
        <f t="shared" si="4"/>
        <v>106969130.23926716</v>
      </c>
      <c r="F176" s="196">
        <v>15</v>
      </c>
      <c r="G176" s="196">
        <v>60.6</v>
      </c>
      <c r="H176" s="34">
        <v>136.8783070605458</v>
      </c>
      <c r="I176" s="17">
        <v>30</v>
      </c>
      <c r="J176" s="17">
        <f>'CDM Activity'!C116</f>
        <v>1134082.4005559138</v>
      </c>
      <c r="K176" s="17">
        <v>0</v>
      </c>
      <c r="L176" s="44">
        <v>135111.70000000024</v>
      </c>
      <c r="M176" s="198">
        <v>352</v>
      </c>
      <c r="N176" s="17"/>
      <c r="O176" s="9">
        <f t="shared" si="5"/>
        <v>104177177.623109</v>
      </c>
      <c r="P176" s="22"/>
      <c r="Q176" s="22"/>
      <c r="AB176" s="26"/>
      <c r="AC176" s="26"/>
      <c r="AD176" s="26"/>
      <c r="AE176" s="26"/>
      <c r="AF176" s="26"/>
      <c r="AG176" s="26"/>
      <c r="AH176" s="26"/>
      <c r="AI176" s="26"/>
      <c r="AJ176" s="26"/>
    </row>
    <row r="177" spans="1:36" s="32" customFormat="1" ht="12.75">
      <c r="A177" s="31">
        <v>40360</v>
      </c>
      <c r="B177" s="44">
        <v>129819711.29915383</v>
      </c>
      <c r="C177" s="17">
        <v>468792</v>
      </c>
      <c r="D177" s="17">
        <f>'Load Transfers 2015 COS'!C64</f>
        <v>-96502.18</v>
      </c>
      <c r="E177" s="26">
        <f t="shared" si="4"/>
        <v>130192001.11915383</v>
      </c>
      <c r="F177" s="196">
        <v>1.9</v>
      </c>
      <c r="G177" s="196">
        <v>174.6</v>
      </c>
      <c r="H177" s="34">
        <v>137.23756770899868</v>
      </c>
      <c r="I177" s="17">
        <v>31</v>
      </c>
      <c r="J177" s="17">
        <f>'CDM Activity'!C117</f>
        <v>1143603.4133095236</v>
      </c>
      <c r="K177" s="17">
        <v>0</v>
      </c>
      <c r="L177" s="44">
        <v>135156.55000000025</v>
      </c>
      <c r="M177" s="198">
        <v>336</v>
      </c>
      <c r="N177" s="17"/>
      <c r="O177" s="9">
        <f t="shared" si="5"/>
        <v>129954780.62556235</v>
      </c>
      <c r="P177" s="22"/>
      <c r="Q177" s="22"/>
      <c r="AB177" s="26"/>
      <c r="AC177" s="26"/>
      <c r="AD177" s="26"/>
      <c r="AE177" s="26"/>
      <c r="AF177" s="26"/>
      <c r="AG177" s="26"/>
      <c r="AH177" s="26"/>
      <c r="AI177" s="26"/>
      <c r="AJ177" s="26"/>
    </row>
    <row r="178" spans="1:36" s="32" customFormat="1" ht="12.75">
      <c r="A178" s="31">
        <v>40391</v>
      </c>
      <c r="B178" s="44">
        <v>125064295.28659494</v>
      </c>
      <c r="C178" s="17">
        <v>467603</v>
      </c>
      <c r="D178" s="17">
        <f>'Load Transfers 2015 COS'!C65</f>
        <v>-96502.18</v>
      </c>
      <c r="E178" s="26">
        <f t="shared" si="4"/>
        <v>125435396.10659494</v>
      </c>
      <c r="F178" s="196">
        <v>1.4</v>
      </c>
      <c r="G178" s="196">
        <v>145.7</v>
      </c>
      <c r="H178" s="34">
        <v>137.59682835745156</v>
      </c>
      <c r="I178" s="17">
        <v>31</v>
      </c>
      <c r="J178" s="17">
        <f>'CDM Activity'!C118</f>
        <v>1153124.4260631334</v>
      </c>
      <c r="K178" s="17">
        <v>0</v>
      </c>
      <c r="L178" s="44">
        <v>135201.40000000026</v>
      </c>
      <c r="M178" s="198">
        <v>336</v>
      </c>
      <c r="N178" s="17"/>
      <c r="O178" s="9">
        <f t="shared" si="5"/>
        <v>124211856.5827511</v>
      </c>
      <c r="P178" s="22"/>
      <c r="Q178" s="22"/>
      <c r="AB178" s="26"/>
      <c r="AC178" s="26"/>
      <c r="AD178" s="26"/>
      <c r="AE178" s="26"/>
      <c r="AF178" s="26"/>
      <c r="AG178" s="26"/>
      <c r="AH178" s="26"/>
      <c r="AI178" s="26"/>
      <c r="AJ178" s="26"/>
    </row>
    <row r="179" spans="1:36" s="32" customFormat="1" ht="12.75">
      <c r="A179" s="31">
        <v>40422</v>
      </c>
      <c r="B179" s="44">
        <v>98983964.46758817</v>
      </c>
      <c r="C179" s="17">
        <v>627245</v>
      </c>
      <c r="D179" s="17">
        <f>'Load Transfers 2015 COS'!C66</f>
        <v>-96502.18</v>
      </c>
      <c r="E179" s="26">
        <f t="shared" si="4"/>
        <v>99514707.28758816</v>
      </c>
      <c r="F179" s="196">
        <v>54.4</v>
      </c>
      <c r="G179" s="196">
        <v>40.2</v>
      </c>
      <c r="H179" s="34">
        <v>137.95608900590443</v>
      </c>
      <c r="I179" s="17">
        <v>30</v>
      </c>
      <c r="J179" s="17">
        <f>'CDM Activity'!C119</f>
        <v>1162645.4388167432</v>
      </c>
      <c r="K179" s="17">
        <v>1</v>
      </c>
      <c r="L179" s="44">
        <v>135246.25000000026</v>
      </c>
      <c r="M179" s="198">
        <v>336</v>
      </c>
      <c r="N179" s="17"/>
      <c r="O179" s="9">
        <f t="shared" si="5"/>
        <v>96582273.44592066</v>
      </c>
      <c r="P179" s="22"/>
      <c r="Q179" s="22"/>
      <c r="AB179" s="26"/>
      <c r="AC179" s="26"/>
      <c r="AD179" s="26"/>
      <c r="AE179" s="26"/>
      <c r="AF179" s="26"/>
      <c r="AG179" s="26"/>
      <c r="AH179" s="26"/>
      <c r="AI179" s="26"/>
      <c r="AJ179" s="26"/>
    </row>
    <row r="180" spans="1:36" s="32" customFormat="1" ht="12.75">
      <c r="A180" s="31">
        <v>40452</v>
      </c>
      <c r="B180" s="44">
        <v>93865160.62334879</v>
      </c>
      <c r="C180" s="17">
        <v>384107</v>
      </c>
      <c r="D180" s="17">
        <f>'Load Transfers 2015 COS'!C67</f>
        <v>-96502.18</v>
      </c>
      <c r="E180" s="26">
        <f t="shared" si="4"/>
        <v>94152765.44334878</v>
      </c>
      <c r="F180" s="196">
        <v>218.2</v>
      </c>
      <c r="G180" s="196">
        <v>0.5</v>
      </c>
      <c r="H180" s="34">
        <v>138.3153496543573</v>
      </c>
      <c r="I180" s="17">
        <v>31</v>
      </c>
      <c r="J180" s="17">
        <f>'CDM Activity'!C120</f>
        <v>1172166.451570353</v>
      </c>
      <c r="K180" s="17">
        <v>1</v>
      </c>
      <c r="L180" s="44">
        <v>135291.10000000027</v>
      </c>
      <c r="M180" s="198">
        <v>320</v>
      </c>
      <c r="N180" s="17"/>
      <c r="O180" s="9">
        <f t="shared" si="5"/>
        <v>95362010.83659059</v>
      </c>
      <c r="P180" s="22"/>
      <c r="Q180" s="22"/>
      <c r="AB180" s="26"/>
      <c r="AC180" s="26"/>
      <c r="AD180" s="26"/>
      <c r="AE180" s="26"/>
      <c r="AF180" s="26"/>
      <c r="AG180" s="26"/>
      <c r="AH180" s="26"/>
      <c r="AI180" s="26"/>
      <c r="AJ180" s="26"/>
    </row>
    <row r="181" spans="1:36" s="32" customFormat="1" ht="12.75">
      <c r="A181" s="31">
        <v>40483</v>
      </c>
      <c r="B181" s="44">
        <v>96656392.38809972</v>
      </c>
      <c r="C181" s="17">
        <v>560522</v>
      </c>
      <c r="D181" s="17">
        <f>'Load Transfers 2015 COS'!C68</f>
        <v>-96502.18</v>
      </c>
      <c r="E181" s="26">
        <f t="shared" si="4"/>
        <v>97120412.20809971</v>
      </c>
      <c r="F181" s="196">
        <v>346.59999999999997</v>
      </c>
      <c r="G181" s="196">
        <v>0</v>
      </c>
      <c r="H181" s="34">
        <v>138.67461030281018</v>
      </c>
      <c r="I181" s="17">
        <v>30</v>
      </c>
      <c r="J181" s="17">
        <f>'CDM Activity'!C121</f>
        <v>1181687.4643239628</v>
      </c>
      <c r="K181" s="17">
        <v>1</v>
      </c>
      <c r="L181" s="44">
        <v>135335.95000000027</v>
      </c>
      <c r="M181" s="198">
        <v>336</v>
      </c>
      <c r="N181" s="17"/>
      <c r="O181" s="9">
        <f t="shared" si="5"/>
        <v>95884446.20421955</v>
      </c>
      <c r="P181" s="22"/>
      <c r="Q181" s="22"/>
      <c r="AB181" s="26"/>
      <c r="AC181" s="26"/>
      <c r="AD181" s="26"/>
      <c r="AE181" s="26"/>
      <c r="AF181" s="26"/>
      <c r="AG181" s="26"/>
      <c r="AH181" s="26"/>
      <c r="AI181" s="26"/>
      <c r="AJ181" s="26"/>
    </row>
    <row r="182" spans="1:36" s="32" customFormat="1" ht="12.75">
      <c r="A182" s="31">
        <v>40513</v>
      </c>
      <c r="B182" s="44">
        <v>111304958.45617798</v>
      </c>
      <c r="C182" s="17">
        <v>686277</v>
      </c>
      <c r="D182" s="17">
        <f>'Load Transfers 2015 COS'!C69</f>
        <v>-96502.18</v>
      </c>
      <c r="E182" s="26">
        <f t="shared" si="4"/>
        <v>111894733.27617797</v>
      </c>
      <c r="F182" s="196">
        <v>600.5</v>
      </c>
      <c r="G182" s="196">
        <v>0</v>
      </c>
      <c r="H182" s="34">
        <v>139.03387095126308</v>
      </c>
      <c r="I182" s="17">
        <v>31</v>
      </c>
      <c r="J182" s="17">
        <f>'CDM Activity'!C122</f>
        <v>1191208.4770775726</v>
      </c>
      <c r="K182" s="17">
        <v>0</v>
      </c>
      <c r="L182" s="44">
        <v>135380.80000000028</v>
      </c>
      <c r="M182" s="198">
        <v>368</v>
      </c>
      <c r="N182" s="17"/>
      <c r="O182" s="9">
        <f t="shared" si="5"/>
        <v>109861626.41908112</v>
      </c>
      <c r="P182" s="22"/>
      <c r="Q182" s="22"/>
      <c r="AB182" s="26"/>
      <c r="AC182" s="26"/>
      <c r="AD182" s="26"/>
      <c r="AE182" s="26"/>
      <c r="AF182" s="26"/>
      <c r="AG182" s="26"/>
      <c r="AH182" s="26"/>
      <c r="AI182" s="26"/>
      <c r="AJ182" s="26"/>
    </row>
    <row r="183" spans="1:15" ht="12.75">
      <c r="A183" s="2">
        <v>40544</v>
      </c>
      <c r="B183" s="44">
        <v>113431519.69981238</v>
      </c>
      <c r="C183" s="17">
        <v>490789</v>
      </c>
      <c r="D183" s="17">
        <f>'Load Transfers 2015 COS'!C70</f>
        <v>-92423.55083333334</v>
      </c>
      <c r="E183" s="26">
        <f t="shared" si="4"/>
        <v>113829885.14897905</v>
      </c>
      <c r="F183" s="196">
        <v>678</v>
      </c>
      <c r="G183" s="196">
        <v>0</v>
      </c>
      <c r="H183" s="34">
        <v>139.24242175768998</v>
      </c>
      <c r="I183" s="9">
        <v>31</v>
      </c>
      <c r="J183" s="17">
        <f>'CDM Activity'!C123</f>
        <v>1227360.742522026</v>
      </c>
      <c r="K183" s="9">
        <v>0</v>
      </c>
      <c r="L183" s="44">
        <v>135425.65000000029</v>
      </c>
      <c r="M183" s="198">
        <v>320</v>
      </c>
      <c r="N183" s="17"/>
      <c r="O183" s="9">
        <f t="shared" si="5"/>
        <v>111749632.5958758</v>
      </c>
    </row>
    <row r="184" spans="1:15" ht="12.75">
      <c r="A184" s="2">
        <v>40575</v>
      </c>
      <c r="B184" s="44">
        <v>101615468.85170579</v>
      </c>
      <c r="C184" s="17">
        <v>597207</v>
      </c>
      <c r="D184" s="17">
        <f>'Load Transfers 2015 COS'!C71</f>
        <v>-92423.55083333334</v>
      </c>
      <c r="E184" s="26">
        <f t="shared" si="4"/>
        <v>102120252.30087246</v>
      </c>
      <c r="F184" s="196">
        <v>578.5</v>
      </c>
      <c r="G184" s="196">
        <v>0</v>
      </c>
      <c r="H184" s="34">
        <v>139.45097256411688</v>
      </c>
      <c r="I184" s="9">
        <v>28</v>
      </c>
      <c r="J184" s="17">
        <f>'CDM Activity'!C124</f>
        <v>1263513.0079664793</v>
      </c>
      <c r="K184" s="9">
        <v>0</v>
      </c>
      <c r="L184" s="44">
        <v>135470.5000000003</v>
      </c>
      <c r="M184" s="198">
        <v>304</v>
      </c>
      <c r="N184" s="17"/>
      <c r="O184" s="9">
        <f t="shared" si="5"/>
        <v>101219397.55575052</v>
      </c>
    </row>
    <row r="185" spans="1:15" ht="12.75">
      <c r="A185" s="2">
        <v>40603</v>
      </c>
      <c r="B185" s="44">
        <v>105339679.13619483</v>
      </c>
      <c r="C185" s="17">
        <v>1602527</v>
      </c>
      <c r="D185" s="17">
        <f>'Load Transfers 2015 COS'!C72</f>
        <v>-92423.55083333334</v>
      </c>
      <c r="E185" s="26">
        <f t="shared" si="4"/>
        <v>106849782.5853615</v>
      </c>
      <c r="F185" s="196">
        <v>527</v>
      </c>
      <c r="G185" s="196">
        <v>0</v>
      </c>
      <c r="H185" s="34">
        <v>139.65952337054378</v>
      </c>
      <c r="I185" s="9">
        <v>31</v>
      </c>
      <c r="J185" s="17">
        <f>'CDM Activity'!C125</f>
        <v>1299665.2734109326</v>
      </c>
      <c r="K185" s="9">
        <v>1</v>
      </c>
      <c r="L185" s="44">
        <v>135515.3500000003</v>
      </c>
      <c r="M185" s="198">
        <v>368</v>
      </c>
      <c r="N185" s="17"/>
      <c r="O185" s="9">
        <f t="shared" si="5"/>
        <v>103122396.33076033</v>
      </c>
    </row>
    <row r="186" spans="1:15" ht="12.75">
      <c r="A186" s="2">
        <v>40634</v>
      </c>
      <c r="B186" s="44">
        <v>93360768.84787688</v>
      </c>
      <c r="C186" s="17">
        <v>818684</v>
      </c>
      <c r="D186" s="17">
        <f>'Load Transfers 2015 COS'!C73</f>
        <v>-92423.55083333334</v>
      </c>
      <c r="E186" s="26">
        <f t="shared" si="4"/>
        <v>94087029.29704355</v>
      </c>
      <c r="F186" s="196">
        <v>342.6</v>
      </c>
      <c r="G186" s="196">
        <v>0</v>
      </c>
      <c r="H186" s="34">
        <v>139.86807417697068</v>
      </c>
      <c r="I186" s="9">
        <v>30</v>
      </c>
      <c r="J186" s="17">
        <f>'CDM Activity'!C126</f>
        <v>1335817.538855386</v>
      </c>
      <c r="K186" s="9">
        <v>1</v>
      </c>
      <c r="L186" s="44">
        <v>135560.2000000003</v>
      </c>
      <c r="M186" s="198">
        <v>320</v>
      </c>
      <c r="N186" s="17"/>
      <c r="O186" s="9">
        <f t="shared" si="5"/>
        <v>95889037.41501318</v>
      </c>
    </row>
    <row r="187" spans="1:15" ht="12.75">
      <c r="A187" s="2">
        <v>40664</v>
      </c>
      <c r="B187" s="44">
        <v>94535390.74166252</v>
      </c>
      <c r="C187" s="17">
        <v>868682</v>
      </c>
      <c r="D187" s="17">
        <f>'Load Transfers 2015 COS'!C74</f>
        <v>-92423.55083333334</v>
      </c>
      <c r="E187" s="26">
        <f t="shared" si="4"/>
        <v>95311649.19082919</v>
      </c>
      <c r="F187" s="196">
        <v>187.1</v>
      </c>
      <c r="G187" s="196">
        <v>4.1</v>
      </c>
      <c r="H187" s="34">
        <v>140.07662498339758</v>
      </c>
      <c r="I187" s="9">
        <v>31</v>
      </c>
      <c r="J187" s="17">
        <f>'CDM Activity'!C127</f>
        <v>1371969.8042998393</v>
      </c>
      <c r="K187" s="9">
        <v>1</v>
      </c>
      <c r="L187" s="44">
        <v>135605.0500000003</v>
      </c>
      <c r="M187" s="198">
        <v>320</v>
      </c>
      <c r="N187" s="17"/>
      <c r="O187" s="9">
        <f t="shared" si="5"/>
        <v>95582811.92284368</v>
      </c>
    </row>
    <row r="188" spans="1:15" ht="12.75">
      <c r="A188" s="2">
        <v>40695</v>
      </c>
      <c r="B188" s="44">
        <v>103622682.5439369</v>
      </c>
      <c r="C188" s="17">
        <v>951129</v>
      </c>
      <c r="D188" s="17">
        <f>'Load Transfers 2015 COS'!C75</f>
        <v>-92423.55083333334</v>
      </c>
      <c r="E188" s="26">
        <f t="shared" si="4"/>
        <v>104481387.99310356</v>
      </c>
      <c r="F188" s="196">
        <v>21.9</v>
      </c>
      <c r="G188" s="196">
        <v>41.8</v>
      </c>
      <c r="H188" s="34">
        <v>140.28517578982448</v>
      </c>
      <c r="I188" s="9">
        <v>30</v>
      </c>
      <c r="J188" s="17">
        <f>'CDM Activity'!C128</f>
        <v>1408122.0697442926</v>
      </c>
      <c r="K188" s="9">
        <v>0</v>
      </c>
      <c r="L188" s="44">
        <v>135649.9000000003</v>
      </c>
      <c r="M188" s="198">
        <v>352</v>
      </c>
      <c r="N188" s="17"/>
      <c r="O188" s="9">
        <f t="shared" si="5"/>
        <v>101398210.64104456</v>
      </c>
    </row>
    <row r="189" spans="1:15" ht="12.75">
      <c r="A189" s="2">
        <v>40725</v>
      </c>
      <c r="B189" s="44">
        <v>131926637.82210821</v>
      </c>
      <c r="C189" s="17">
        <v>481410</v>
      </c>
      <c r="D189" s="17">
        <f>'Load Transfers 2015 COS'!C76</f>
        <v>-92423.55083333334</v>
      </c>
      <c r="E189" s="26">
        <f t="shared" si="4"/>
        <v>132315624.27127488</v>
      </c>
      <c r="F189" s="196">
        <v>0</v>
      </c>
      <c r="G189" s="196">
        <v>196.9</v>
      </c>
      <c r="H189" s="34">
        <v>140.49372659625138</v>
      </c>
      <c r="I189" s="9">
        <v>31</v>
      </c>
      <c r="J189" s="17">
        <f>'CDM Activity'!C129</f>
        <v>1444274.335188746</v>
      </c>
      <c r="K189" s="9">
        <v>0</v>
      </c>
      <c r="L189" s="44">
        <v>135694.75000000032</v>
      </c>
      <c r="M189" s="198">
        <v>336</v>
      </c>
      <c r="N189" s="17"/>
      <c r="O189" s="9">
        <f t="shared" si="5"/>
        <v>135163218.25796863</v>
      </c>
    </row>
    <row r="190" spans="1:15" ht="12.75">
      <c r="A190" s="2">
        <v>40756</v>
      </c>
      <c r="B190" s="44">
        <v>120223938.43090709</v>
      </c>
      <c r="C190" s="17">
        <v>847595</v>
      </c>
      <c r="D190" s="17">
        <f>'Load Transfers 2015 COS'!C77</f>
        <v>-92423.55083333334</v>
      </c>
      <c r="E190" s="26">
        <f t="shared" si="4"/>
        <v>120979109.88007376</v>
      </c>
      <c r="F190" s="196">
        <v>0</v>
      </c>
      <c r="G190" s="196">
        <v>146.3</v>
      </c>
      <c r="H190" s="34">
        <v>140.70227740267828</v>
      </c>
      <c r="I190" s="9">
        <v>31</v>
      </c>
      <c r="J190" s="17">
        <f>'CDM Activity'!C130</f>
        <v>1480426.6006331993</v>
      </c>
      <c r="K190" s="9">
        <v>0</v>
      </c>
      <c r="L190" s="44">
        <v>135739.60000000033</v>
      </c>
      <c r="M190" s="198">
        <v>336</v>
      </c>
      <c r="N190" s="17"/>
      <c r="O190" s="9">
        <f t="shared" si="5"/>
        <v>124830315.38867168</v>
      </c>
    </row>
    <row r="191" spans="1:15" ht="12.75">
      <c r="A191" s="2">
        <v>40787</v>
      </c>
      <c r="B191" s="44">
        <v>100218738.75253668</v>
      </c>
      <c r="C191" s="17">
        <v>1330377</v>
      </c>
      <c r="D191" s="17">
        <f>'Load Transfers 2015 COS'!C78</f>
        <v>-92423.55083333334</v>
      </c>
      <c r="E191" s="26">
        <f t="shared" si="4"/>
        <v>101456692.20170335</v>
      </c>
      <c r="F191" s="196">
        <v>26.9</v>
      </c>
      <c r="G191" s="196">
        <v>39.9</v>
      </c>
      <c r="H191" s="34">
        <v>140.91082820910518</v>
      </c>
      <c r="I191" s="9">
        <v>30</v>
      </c>
      <c r="J191" s="17">
        <f>'CDM Activity'!C131</f>
        <v>1516578.8660776527</v>
      </c>
      <c r="K191" s="9">
        <v>1</v>
      </c>
      <c r="L191" s="44">
        <v>135784.45000000033</v>
      </c>
      <c r="M191" s="198">
        <v>336</v>
      </c>
      <c r="N191" s="17"/>
      <c r="O191" s="9">
        <f t="shared" si="5"/>
        <v>96199013.5780038</v>
      </c>
    </row>
    <row r="192" spans="1:15" ht="12.75">
      <c r="A192" s="2">
        <v>40817</v>
      </c>
      <c r="B192" s="44">
        <v>94403706.3981315</v>
      </c>
      <c r="C192" s="17">
        <v>890902</v>
      </c>
      <c r="D192" s="17">
        <f>'Load Transfers 2015 COS'!C79</f>
        <v>-92423.55083333334</v>
      </c>
      <c r="E192" s="26">
        <f t="shared" si="4"/>
        <v>95202184.84729818</v>
      </c>
      <c r="F192" s="196">
        <v>184.9</v>
      </c>
      <c r="G192" s="196">
        <v>4.2</v>
      </c>
      <c r="H192" s="34">
        <v>141.11937901553208</v>
      </c>
      <c r="I192" s="9">
        <v>31</v>
      </c>
      <c r="J192" s="17">
        <f>'CDM Activity'!C132</f>
        <v>1552731.131522106</v>
      </c>
      <c r="K192" s="9">
        <v>1</v>
      </c>
      <c r="L192" s="44">
        <v>135829.30000000034</v>
      </c>
      <c r="M192" s="198">
        <v>320</v>
      </c>
      <c r="N192" s="17"/>
      <c r="O192" s="9">
        <f t="shared" si="5"/>
        <v>95474646.4106662</v>
      </c>
    </row>
    <row r="193" spans="1:15" ht="12.75">
      <c r="A193" s="2">
        <v>40848</v>
      </c>
      <c r="B193" s="44">
        <v>93722004.82444386</v>
      </c>
      <c r="C193" s="17">
        <v>809920</v>
      </c>
      <c r="D193" s="17">
        <f>'Load Transfers 2015 COS'!C80</f>
        <v>-92423.55083333334</v>
      </c>
      <c r="E193" s="26">
        <f t="shared" si="4"/>
        <v>94439501.27361053</v>
      </c>
      <c r="F193" s="196">
        <v>284.9</v>
      </c>
      <c r="G193" s="196">
        <v>0</v>
      </c>
      <c r="H193" s="34">
        <v>141.32792982195897</v>
      </c>
      <c r="I193" s="9">
        <v>30</v>
      </c>
      <c r="J193" s="17">
        <f>'CDM Activity'!C133</f>
        <v>1588883.3969665593</v>
      </c>
      <c r="K193" s="9">
        <v>1</v>
      </c>
      <c r="L193" s="44">
        <v>135874.15000000034</v>
      </c>
      <c r="M193" s="198">
        <v>336</v>
      </c>
      <c r="N193" s="17"/>
      <c r="O193" s="9">
        <f t="shared" si="5"/>
        <v>94367933.27745616</v>
      </c>
    </row>
    <row r="194" spans="1:15" ht="12.75">
      <c r="A194" s="2">
        <v>40878</v>
      </c>
      <c r="B194" s="44">
        <v>104372806.98395683</v>
      </c>
      <c r="C194" s="17">
        <v>958180</v>
      </c>
      <c r="D194" s="17">
        <f>'Load Transfers 2015 COS'!C81</f>
        <v>-92423.55083333334</v>
      </c>
      <c r="E194" s="26">
        <f t="shared" si="4"/>
        <v>105238563.4331235</v>
      </c>
      <c r="F194" s="196">
        <v>463.7</v>
      </c>
      <c r="G194" s="196">
        <v>0</v>
      </c>
      <c r="H194" s="34">
        <v>141.53648062838582</v>
      </c>
      <c r="I194" s="9">
        <v>31</v>
      </c>
      <c r="J194" s="17">
        <f>'CDM Activity'!C134</f>
        <v>1625035.6624110127</v>
      </c>
      <c r="K194" s="9">
        <v>0</v>
      </c>
      <c r="L194" s="44">
        <v>135919</v>
      </c>
      <c r="M194" s="198">
        <v>368</v>
      </c>
      <c r="N194" s="17"/>
      <c r="O194" s="9">
        <f t="shared" si="5"/>
        <v>106323783.81322974</v>
      </c>
    </row>
    <row r="195" spans="1:15" ht="12.75">
      <c r="A195" s="2">
        <v>40909</v>
      </c>
      <c r="B195" s="44">
        <v>108352391.16284414</v>
      </c>
      <c r="C195" s="17">
        <v>950033</v>
      </c>
      <c r="D195" s="17">
        <f>'Load Transfers 2015 COS'!C82</f>
        <v>-78845.69333333331</v>
      </c>
      <c r="E195" s="26">
        <f aca="true" t="shared" si="6" ref="E195:E242">B195+D195+C195</f>
        <v>109223578.46951081</v>
      </c>
      <c r="F195" s="196">
        <v>554.4</v>
      </c>
      <c r="G195" s="196">
        <v>0</v>
      </c>
      <c r="H195" s="34">
        <v>141.72519593589033</v>
      </c>
      <c r="I195" s="9">
        <v>31</v>
      </c>
      <c r="J195" s="17">
        <f>'CDM Activity'!C135</f>
        <v>1683207.3157123702</v>
      </c>
      <c r="K195" s="9">
        <v>0</v>
      </c>
      <c r="L195" s="44">
        <v>136044.81666666668</v>
      </c>
      <c r="M195" s="198">
        <v>336</v>
      </c>
      <c r="N195" s="17"/>
      <c r="O195" s="9">
        <f t="shared" si="5"/>
        <v>108511723.03126246</v>
      </c>
    </row>
    <row r="196" spans="1:15" ht="12.75">
      <c r="A196" s="2">
        <v>40940</v>
      </c>
      <c r="B196" s="44">
        <v>98705241.796531</v>
      </c>
      <c r="C196" s="17">
        <v>947209</v>
      </c>
      <c r="D196" s="17">
        <f>'Load Transfers 2015 COS'!C83</f>
        <v>-78845.69333333331</v>
      </c>
      <c r="E196" s="26">
        <f t="shared" si="6"/>
        <v>99573605.10319768</v>
      </c>
      <c r="F196" s="196">
        <v>482.4</v>
      </c>
      <c r="G196" s="196">
        <v>0</v>
      </c>
      <c r="H196" s="34">
        <v>141.91391124339484</v>
      </c>
      <c r="I196" s="9">
        <v>29</v>
      </c>
      <c r="J196" s="17">
        <f>'CDM Activity'!C136</f>
        <v>1741378.9690137277</v>
      </c>
      <c r="K196" s="9">
        <v>0</v>
      </c>
      <c r="L196" s="44">
        <v>136170.63333333336</v>
      </c>
      <c r="M196" s="198">
        <v>320</v>
      </c>
      <c r="N196" s="17"/>
      <c r="O196" s="9">
        <f aca="true" t="shared" si="7" ref="O196:O242">$S$18+F196*$S$19+G196*$S$20+H196*$S$21+I196*$S$22+J196*$S$23+K196*$S$24+L196*$S$25</f>
        <v>101323283.14244506</v>
      </c>
    </row>
    <row r="197" spans="1:15" ht="12.75">
      <c r="A197" s="2">
        <v>40969</v>
      </c>
      <c r="B197" s="44">
        <v>96296940.68997206</v>
      </c>
      <c r="C197" s="17">
        <v>722234</v>
      </c>
      <c r="D197" s="17">
        <f>'Load Transfers 2015 COS'!C84</f>
        <v>-78845.69333333331</v>
      </c>
      <c r="E197" s="26">
        <f t="shared" si="6"/>
        <v>96940328.99663873</v>
      </c>
      <c r="F197" s="196">
        <v>366.7</v>
      </c>
      <c r="G197" s="196">
        <v>0</v>
      </c>
      <c r="H197" s="34">
        <v>142.10262655089934</v>
      </c>
      <c r="I197" s="9">
        <v>31</v>
      </c>
      <c r="J197" s="17">
        <f>'CDM Activity'!C137</f>
        <v>1799550.6223150853</v>
      </c>
      <c r="K197" s="9">
        <v>1</v>
      </c>
      <c r="L197" s="44">
        <v>136296.45000000004</v>
      </c>
      <c r="M197" s="198">
        <v>352</v>
      </c>
      <c r="N197" s="17"/>
      <c r="O197" s="9">
        <f t="shared" si="7"/>
        <v>98935012.6297459</v>
      </c>
    </row>
    <row r="198" spans="1:15" ht="12.75">
      <c r="A198" s="2">
        <v>41000</v>
      </c>
      <c r="B198" s="44">
        <v>89872581.07745914</v>
      </c>
      <c r="C198" s="17">
        <v>601702</v>
      </c>
      <c r="D198" s="17">
        <f>'Load Transfers 2015 COS'!C85</f>
        <v>-78845.69333333331</v>
      </c>
      <c r="E198" s="26">
        <f t="shared" si="6"/>
        <v>90395437.38412581</v>
      </c>
      <c r="F198" s="196">
        <v>296.3</v>
      </c>
      <c r="G198" s="196">
        <v>0</v>
      </c>
      <c r="H198" s="34">
        <v>142.29134185840385</v>
      </c>
      <c r="I198" s="9">
        <v>30</v>
      </c>
      <c r="J198" s="17">
        <f>'CDM Activity'!C138</f>
        <v>1857722.2756164428</v>
      </c>
      <c r="K198" s="9">
        <v>1</v>
      </c>
      <c r="L198" s="44">
        <v>136422.26666666672</v>
      </c>
      <c r="M198" s="198">
        <v>320</v>
      </c>
      <c r="N198" s="17"/>
      <c r="O198" s="9">
        <f t="shared" si="7"/>
        <v>94476602.50900568</v>
      </c>
    </row>
    <row r="199" spans="1:15" ht="12.75">
      <c r="A199" s="2">
        <v>41030</v>
      </c>
      <c r="B199" s="44">
        <v>98707869.13434996</v>
      </c>
      <c r="C199" s="17">
        <v>1571841</v>
      </c>
      <c r="D199" s="17">
        <f>'Load Transfers 2015 COS'!C86</f>
        <v>-78845.69333333331</v>
      </c>
      <c r="E199" s="26">
        <f t="shared" si="6"/>
        <v>100200864.44101663</v>
      </c>
      <c r="F199" s="196">
        <v>99.5</v>
      </c>
      <c r="G199" s="196">
        <v>22.4</v>
      </c>
      <c r="H199" s="34">
        <v>142.48005716590836</v>
      </c>
      <c r="I199" s="9">
        <v>31</v>
      </c>
      <c r="J199" s="17">
        <f>'CDM Activity'!C139</f>
        <v>1915893.9289178003</v>
      </c>
      <c r="K199" s="9">
        <v>1</v>
      </c>
      <c r="L199" s="44">
        <v>136548.0833333334</v>
      </c>
      <c r="M199" s="198">
        <v>352</v>
      </c>
      <c r="N199" s="17"/>
      <c r="O199" s="9">
        <f t="shared" si="7"/>
        <v>96863738.83846967</v>
      </c>
    </row>
    <row r="200" spans="1:15" ht="12.75">
      <c r="A200" s="2">
        <v>41061</v>
      </c>
      <c r="B200" s="44">
        <v>109390922.666184</v>
      </c>
      <c r="C200" s="17">
        <v>1115019</v>
      </c>
      <c r="D200" s="17">
        <f>'Load Transfers 2015 COS'!C87</f>
        <v>-78845.69333333331</v>
      </c>
      <c r="E200" s="26">
        <f t="shared" si="6"/>
        <v>110427095.97285067</v>
      </c>
      <c r="F200" s="196">
        <v>18.9</v>
      </c>
      <c r="G200" s="196">
        <v>105.6</v>
      </c>
      <c r="H200" s="34">
        <v>142.66877247341287</v>
      </c>
      <c r="I200" s="9">
        <v>30</v>
      </c>
      <c r="J200" s="17">
        <f>'CDM Activity'!C140</f>
        <v>1974065.5822191578</v>
      </c>
      <c r="K200" s="9">
        <v>0</v>
      </c>
      <c r="L200" s="44">
        <v>136673.90000000008</v>
      </c>
      <c r="M200" s="198">
        <v>336</v>
      </c>
      <c r="N200" s="17"/>
      <c r="O200" s="9">
        <f t="shared" si="7"/>
        <v>114010245.87221877</v>
      </c>
    </row>
    <row r="201" spans="1:15" ht="12.75">
      <c r="A201" s="2">
        <v>41091</v>
      </c>
      <c r="B201" s="44">
        <v>133058608.98683196</v>
      </c>
      <c r="C201" s="17">
        <v>1039699</v>
      </c>
      <c r="D201" s="17">
        <f>'Load Transfers 2015 COS'!C88</f>
        <v>-78845.69333333331</v>
      </c>
      <c r="E201" s="26">
        <f t="shared" si="6"/>
        <v>134019462.29349864</v>
      </c>
      <c r="F201" s="196">
        <v>0</v>
      </c>
      <c r="G201" s="196">
        <v>203.5</v>
      </c>
      <c r="H201" s="34">
        <v>142.85748778091738</v>
      </c>
      <c r="I201" s="9">
        <v>31</v>
      </c>
      <c r="J201" s="17">
        <f>'CDM Activity'!C141</f>
        <v>2032237.2355205154</v>
      </c>
      <c r="K201" s="9">
        <v>0</v>
      </c>
      <c r="L201" s="44">
        <v>136799.71666666676</v>
      </c>
      <c r="M201" s="198">
        <v>336</v>
      </c>
      <c r="N201" s="17"/>
      <c r="O201" s="9">
        <f t="shared" si="7"/>
        <v>136160917.90547282</v>
      </c>
    </row>
    <row r="202" spans="1:15" ht="12.75">
      <c r="A202" s="2">
        <v>41122</v>
      </c>
      <c r="B202" s="44">
        <v>121123046.29168741</v>
      </c>
      <c r="C202" s="17">
        <v>1093336</v>
      </c>
      <c r="D202" s="17">
        <f>'Load Transfers 2015 COS'!C89</f>
        <v>-78845.69333333331</v>
      </c>
      <c r="E202" s="26">
        <f t="shared" si="6"/>
        <v>122137536.59835409</v>
      </c>
      <c r="F202" s="196">
        <v>0</v>
      </c>
      <c r="G202" s="196">
        <v>148.7</v>
      </c>
      <c r="H202" s="34">
        <v>143.0462030884219</v>
      </c>
      <c r="I202" s="9">
        <v>31</v>
      </c>
      <c r="J202" s="17">
        <f>'CDM Activity'!C142</f>
        <v>2090408.8888218729</v>
      </c>
      <c r="K202" s="9">
        <v>0</v>
      </c>
      <c r="L202" s="44">
        <v>136925.53333333344</v>
      </c>
      <c r="M202" s="198">
        <v>352</v>
      </c>
      <c r="N202" s="17"/>
      <c r="O202" s="9">
        <f t="shared" si="7"/>
        <v>124947404.49168098</v>
      </c>
    </row>
    <row r="203" spans="1:15" ht="12.75">
      <c r="A203" s="2">
        <v>41153</v>
      </c>
      <c r="B203" s="44">
        <v>99680085.07172269</v>
      </c>
      <c r="C203" s="17">
        <v>646474</v>
      </c>
      <c r="D203" s="17">
        <f>'Load Transfers 2015 COS'!C90</f>
        <v>-78845.69333333331</v>
      </c>
      <c r="E203" s="26">
        <f t="shared" si="6"/>
        <v>100247713.37838936</v>
      </c>
      <c r="F203" s="196">
        <v>37.9</v>
      </c>
      <c r="G203" s="196">
        <v>50.3</v>
      </c>
      <c r="H203" s="34">
        <v>143.2349183959264</v>
      </c>
      <c r="I203" s="9">
        <v>30</v>
      </c>
      <c r="J203" s="17">
        <f>'CDM Activity'!C143</f>
        <v>2148580.54212323</v>
      </c>
      <c r="K203" s="9">
        <v>1</v>
      </c>
      <c r="L203" s="44">
        <v>137051.35000000012</v>
      </c>
      <c r="M203" s="198">
        <v>304</v>
      </c>
      <c r="N203" s="17"/>
      <c r="O203" s="9">
        <f t="shared" si="7"/>
        <v>98193321.10200404</v>
      </c>
    </row>
    <row r="204" spans="1:15" ht="12.75">
      <c r="A204" s="2">
        <v>41183</v>
      </c>
      <c r="B204" s="44">
        <v>94333164.39657903</v>
      </c>
      <c r="C204" s="17">
        <v>944121</v>
      </c>
      <c r="D204" s="17">
        <f>'Load Transfers 2015 COS'!C91</f>
        <v>-78845.69333333331</v>
      </c>
      <c r="E204" s="26">
        <f t="shared" si="6"/>
        <v>95198439.7032457</v>
      </c>
      <c r="F204" s="196">
        <v>191.9</v>
      </c>
      <c r="G204" s="196">
        <v>2.6</v>
      </c>
      <c r="H204" s="34">
        <v>143.4236337034309</v>
      </c>
      <c r="I204" s="9">
        <v>31</v>
      </c>
      <c r="J204" s="17">
        <f>'CDM Activity'!C144</f>
        <v>2206752.1954245875</v>
      </c>
      <c r="K204" s="9">
        <v>1</v>
      </c>
      <c r="L204" s="44">
        <v>137177.1666666668</v>
      </c>
      <c r="M204" s="198">
        <v>352</v>
      </c>
      <c r="N204" s="17"/>
      <c r="O204" s="9">
        <f t="shared" si="7"/>
        <v>94899607.48809794</v>
      </c>
    </row>
    <row r="205" spans="1:15" ht="12.75">
      <c r="A205" s="2">
        <v>41214</v>
      </c>
      <c r="B205" s="44">
        <v>96179066.92610525</v>
      </c>
      <c r="C205" s="17">
        <v>931868</v>
      </c>
      <c r="D205" s="17">
        <f>'Load Transfers 2015 COS'!C92</f>
        <v>-78845.69333333331</v>
      </c>
      <c r="E205" s="26">
        <f t="shared" si="6"/>
        <v>97032089.23277192</v>
      </c>
      <c r="F205" s="196">
        <v>381.9</v>
      </c>
      <c r="G205" s="196">
        <v>0</v>
      </c>
      <c r="H205" s="34">
        <v>143.61234901093542</v>
      </c>
      <c r="I205" s="9">
        <v>30</v>
      </c>
      <c r="J205" s="17">
        <f>'CDM Activity'!C145</f>
        <v>2264923.8487259448</v>
      </c>
      <c r="K205" s="9">
        <v>1</v>
      </c>
      <c r="L205" s="44">
        <v>137302.98333333348</v>
      </c>
      <c r="M205" s="198">
        <v>352</v>
      </c>
      <c r="N205" s="17"/>
      <c r="O205" s="9">
        <f t="shared" si="7"/>
        <v>96304814.40085734</v>
      </c>
    </row>
    <row r="206" spans="1:15" ht="12.75">
      <c r="A206" s="2">
        <v>41244</v>
      </c>
      <c r="B206" s="44">
        <v>104482420.01900539</v>
      </c>
      <c r="C206" s="17">
        <v>989725</v>
      </c>
      <c r="D206" s="17">
        <f>'Load Transfers 2015 COS'!C93</f>
        <v>-78845.69333333331</v>
      </c>
      <c r="E206" s="26">
        <f t="shared" si="6"/>
        <v>105393299.32567206</v>
      </c>
      <c r="F206" s="196">
        <v>463.2</v>
      </c>
      <c r="G206" s="196">
        <v>0</v>
      </c>
      <c r="H206" s="34">
        <v>143.80106431843998</v>
      </c>
      <c r="I206" s="9">
        <v>31</v>
      </c>
      <c r="J206" s="17">
        <f>'CDM Activity'!C146</f>
        <v>2323095.502027302</v>
      </c>
      <c r="K206" s="9">
        <v>0</v>
      </c>
      <c r="L206" s="44">
        <v>137428.80000000016</v>
      </c>
      <c r="M206" s="198">
        <v>304</v>
      </c>
      <c r="N206" s="17"/>
      <c r="O206" s="9">
        <f t="shared" si="7"/>
        <v>105842500.31971246</v>
      </c>
    </row>
    <row r="207" spans="1:15" ht="12.75">
      <c r="A207" s="2">
        <v>41275</v>
      </c>
      <c r="B207" s="44">
        <v>109467098.05873571</v>
      </c>
      <c r="C207" s="17">
        <v>930414</v>
      </c>
      <c r="D207" s="17">
        <f>'Load Transfers'!C64</f>
        <v>-71393.35733266668</v>
      </c>
      <c r="E207" s="26">
        <f t="shared" si="6"/>
        <v>110326118.70140305</v>
      </c>
      <c r="F207" s="196">
        <v>556.4</v>
      </c>
      <c r="G207" s="196">
        <v>0</v>
      </c>
      <c r="H207" s="34">
        <v>143.95684880478495</v>
      </c>
      <c r="I207" s="9">
        <v>31</v>
      </c>
      <c r="J207" s="17">
        <f>'CDM Activity'!C147</f>
        <v>2349707.0251349364</v>
      </c>
      <c r="K207" s="9">
        <v>0</v>
      </c>
      <c r="L207" s="44">
        <v>137554.61666666684</v>
      </c>
      <c r="M207" s="198">
        <v>352</v>
      </c>
      <c r="N207" s="17"/>
      <c r="O207" s="9">
        <f t="shared" si="7"/>
        <v>108207866.85906246</v>
      </c>
    </row>
    <row r="208" spans="1:15" ht="12.75">
      <c r="A208" s="2">
        <v>41306</v>
      </c>
      <c r="B208" s="44">
        <v>98965961.50655386</v>
      </c>
      <c r="C208" s="17">
        <v>906712</v>
      </c>
      <c r="D208" s="17">
        <f>'Load Transfers'!C65</f>
        <v>-71393.35733266668</v>
      </c>
      <c r="E208" s="26">
        <f t="shared" si="6"/>
        <v>99801280.1492212</v>
      </c>
      <c r="F208" s="196">
        <v>565.9</v>
      </c>
      <c r="G208" s="196">
        <v>0</v>
      </c>
      <c r="H208" s="34">
        <v>144.11263329112992</v>
      </c>
      <c r="I208" s="9">
        <v>28</v>
      </c>
      <c r="J208" s="17">
        <f>'CDM Activity'!C148</f>
        <v>2376318.548242571</v>
      </c>
      <c r="K208" s="9">
        <v>0</v>
      </c>
      <c r="L208" s="44">
        <v>137680.43333333352</v>
      </c>
      <c r="M208" s="198">
        <v>304</v>
      </c>
      <c r="N208" s="17"/>
      <c r="O208" s="9">
        <f t="shared" si="7"/>
        <v>100445854.97739165</v>
      </c>
    </row>
    <row r="209" spans="1:15" ht="12.75">
      <c r="A209" s="2">
        <v>41334</v>
      </c>
      <c r="B209" s="44">
        <v>102422656.37962504</v>
      </c>
      <c r="C209" s="17">
        <v>894061</v>
      </c>
      <c r="D209" s="17">
        <f>'Load Transfers'!C66</f>
        <v>-71393.35733266668</v>
      </c>
      <c r="E209" s="26">
        <f t="shared" si="6"/>
        <v>103245324.02229238</v>
      </c>
      <c r="F209" s="196">
        <v>508.7</v>
      </c>
      <c r="G209" s="196">
        <v>0</v>
      </c>
      <c r="H209" s="34">
        <v>144.2684177774749</v>
      </c>
      <c r="I209" s="9">
        <v>31</v>
      </c>
      <c r="J209" s="17">
        <f>'CDM Activity'!C149</f>
        <v>2402930.071350205</v>
      </c>
      <c r="K209" s="9">
        <v>1</v>
      </c>
      <c r="L209" s="44">
        <v>137806.2500000002</v>
      </c>
      <c r="M209" s="198">
        <v>320</v>
      </c>
      <c r="N209" s="17"/>
      <c r="O209" s="9">
        <f t="shared" si="7"/>
        <v>102300764.34183522</v>
      </c>
    </row>
    <row r="210" spans="1:15" ht="12.75">
      <c r="A210" s="2">
        <v>41365</v>
      </c>
      <c r="B210" s="44">
        <v>92083366.51733865</v>
      </c>
      <c r="C210" s="17">
        <v>1022778</v>
      </c>
      <c r="D210" s="17">
        <f>'Load Transfers'!C67</f>
        <v>-71393.35733266668</v>
      </c>
      <c r="E210" s="26">
        <f t="shared" si="6"/>
        <v>93034751.16000599</v>
      </c>
      <c r="F210" s="196">
        <v>341.3</v>
      </c>
      <c r="G210" s="196">
        <v>0</v>
      </c>
      <c r="H210" s="34">
        <v>144.42420226381986</v>
      </c>
      <c r="I210" s="9">
        <v>30</v>
      </c>
      <c r="J210" s="17">
        <f>'CDM Activity'!C150</f>
        <v>2429541.5944578396</v>
      </c>
      <c r="K210" s="9">
        <v>1</v>
      </c>
      <c r="L210" s="44">
        <v>137932.06666666688</v>
      </c>
      <c r="M210" s="198">
        <v>336</v>
      </c>
      <c r="N210" s="17"/>
      <c r="O210" s="9">
        <f t="shared" si="7"/>
        <v>95576685.63467416</v>
      </c>
    </row>
    <row r="211" spans="1:15" ht="12.75">
      <c r="A211" s="2">
        <v>41395</v>
      </c>
      <c r="B211" s="44">
        <v>95266525.63464412</v>
      </c>
      <c r="C211" s="17">
        <v>1234580</v>
      </c>
      <c r="D211" s="17">
        <f>'Load Transfers'!C68</f>
        <v>-71393.35733266668</v>
      </c>
      <c r="E211" s="26">
        <f t="shared" si="6"/>
        <v>96429712.27731146</v>
      </c>
      <c r="F211" s="196">
        <v>153.89999999999998</v>
      </c>
      <c r="G211" s="196">
        <v>14.3</v>
      </c>
      <c r="H211" s="34">
        <v>144.57998675016484</v>
      </c>
      <c r="I211" s="9">
        <v>31</v>
      </c>
      <c r="J211" s="17">
        <f>'CDM Activity'!C151</f>
        <v>2456153.117565474</v>
      </c>
      <c r="K211" s="9">
        <v>1</v>
      </c>
      <c r="L211" s="44">
        <v>138057.88333333356</v>
      </c>
      <c r="M211" s="198">
        <v>352</v>
      </c>
      <c r="N211" s="17"/>
      <c r="O211" s="9">
        <f t="shared" si="7"/>
        <v>96658975.13120845</v>
      </c>
    </row>
    <row r="212" spans="1:15" ht="12.75">
      <c r="A212" s="2">
        <v>41426</v>
      </c>
      <c r="B212" s="44">
        <v>101746391.23942262</v>
      </c>
      <c r="C212" s="17">
        <v>1118148</v>
      </c>
      <c r="D212" s="17">
        <f>'Load Transfers'!C69</f>
        <v>-71393.35733266668</v>
      </c>
      <c r="E212" s="26">
        <f t="shared" si="6"/>
        <v>102793145.88208996</v>
      </c>
      <c r="F212" s="196">
        <v>44.3</v>
      </c>
      <c r="G212" s="196">
        <v>47.5</v>
      </c>
      <c r="H212" s="34">
        <v>144.7357712365098</v>
      </c>
      <c r="I212" s="9">
        <v>30</v>
      </c>
      <c r="J212" s="17">
        <f>'CDM Activity'!C152</f>
        <v>2482764.6406731084</v>
      </c>
      <c r="K212" s="9">
        <v>0</v>
      </c>
      <c r="L212" s="44">
        <v>138183.70000000024</v>
      </c>
      <c r="M212" s="198">
        <v>320</v>
      </c>
      <c r="N212" s="17"/>
      <c r="O212" s="9">
        <f t="shared" si="7"/>
        <v>103013819.68367198</v>
      </c>
    </row>
    <row r="213" spans="1:15" ht="12.75">
      <c r="A213" s="2">
        <v>41456</v>
      </c>
      <c r="B213" s="44">
        <v>123815621.37049945</v>
      </c>
      <c r="C213" s="17">
        <v>1104432</v>
      </c>
      <c r="D213" s="17">
        <f>'Load Transfers'!C70</f>
        <v>-71393.35733266668</v>
      </c>
      <c r="E213" s="26">
        <f t="shared" si="6"/>
        <v>124848660.01316679</v>
      </c>
      <c r="F213" s="196">
        <v>2.3</v>
      </c>
      <c r="G213" s="196">
        <v>139.4</v>
      </c>
      <c r="H213" s="34">
        <v>144.89155572285478</v>
      </c>
      <c r="I213" s="9">
        <v>31</v>
      </c>
      <c r="J213" s="17">
        <f>'CDM Activity'!C153</f>
        <v>2509376.163780743</v>
      </c>
      <c r="K213" s="9">
        <v>0</v>
      </c>
      <c r="L213" s="44">
        <v>138309.51666666692</v>
      </c>
      <c r="M213" s="198">
        <v>352</v>
      </c>
      <c r="N213" s="17"/>
      <c r="O213" s="9">
        <f t="shared" si="7"/>
        <v>123489865.92316869</v>
      </c>
    </row>
    <row r="214" spans="1:15" ht="12.75">
      <c r="A214" s="2">
        <v>41487</v>
      </c>
      <c r="B214" s="44">
        <v>114328198.1085117</v>
      </c>
      <c r="C214" s="17">
        <v>1270351</v>
      </c>
      <c r="D214" s="17">
        <f>'Load Transfers'!C71</f>
        <v>-71393.35733266668</v>
      </c>
      <c r="E214" s="26">
        <f t="shared" si="6"/>
        <v>115527155.75117904</v>
      </c>
      <c r="F214" s="196">
        <v>0</v>
      </c>
      <c r="G214" s="196">
        <v>106.4</v>
      </c>
      <c r="H214" s="34">
        <v>145.04734020919975</v>
      </c>
      <c r="I214" s="9">
        <v>31</v>
      </c>
      <c r="J214" s="17">
        <f>'CDM Activity'!C154</f>
        <v>2535987.686888377</v>
      </c>
      <c r="K214" s="9">
        <v>0</v>
      </c>
      <c r="L214" s="44">
        <v>138435.3333333336</v>
      </c>
      <c r="M214" s="198">
        <v>336</v>
      </c>
      <c r="N214" s="17"/>
      <c r="O214" s="9">
        <f t="shared" si="7"/>
        <v>116781224.19514138</v>
      </c>
    </row>
    <row r="215" spans="1:15" ht="12.75">
      <c r="A215" s="2">
        <v>41518</v>
      </c>
      <c r="B215" s="44">
        <v>96921113.32337815</v>
      </c>
      <c r="C215" s="17">
        <v>1399910</v>
      </c>
      <c r="D215" s="17">
        <f>'Load Transfers'!C72</f>
        <v>-71393.35733266668</v>
      </c>
      <c r="E215" s="26">
        <f t="shared" si="6"/>
        <v>98249629.96604548</v>
      </c>
      <c r="F215" s="196">
        <v>51.599999999999994</v>
      </c>
      <c r="G215" s="196">
        <v>34.4</v>
      </c>
      <c r="H215" s="34">
        <v>145.20312469554472</v>
      </c>
      <c r="I215" s="9">
        <v>30</v>
      </c>
      <c r="J215" s="17">
        <f>'CDM Activity'!C155</f>
        <v>2562599.2099960116</v>
      </c>
      <c r="K215" s="9">
        <v>1</v>
      </c>
      <c r="L215" s="44">
        <v>138561.15000000029</v>
      </c>
      <c r="M215" s="198">
        <v>320</v>
      </c>
      <c r="N215" s="17"/>
      <c r="O215" s="9">
        <f t="shared" si="7"/>
        <v>95862871.69360289</v>
      </c>
    </row>
    <row r="216" spans="1:15" ht="12.75">
      <c r="A216" s="2">
        <v>41548</v>
      </c>
      <c r="B216" s="44">
        <v>94790915.87854657</v>
      </c>
      <c r="C216" s="17">
        <v>1226455</v>
      </c>
      <c r="D216" s="17">
        <f>'Load Transfers'!C73</f>
        <v>-71393.35733266668</v>
      </c>
      <c r="E216" s="26">
        <f t="shared" si="6"/>
        <v>95945977.5212139</v>
      </c>
      <c r="F216" s="196">
        <v>161.4</v>
      </c>
      <c r="G216" s="196">
        <v>4.8</v>
      </c>
      <c r="H216" s="34">
        <v>145.3589091818897</v>
      </c>
      <c r="I216" s="9">
        <v>31</v>
      </c>
      <c r="J216" s="17">
        <f>'CDM Activity'!C156</f>
        <v>2589210.733103646</v>
      </c>
      <c r="K216" s="9">
        <v>1</v>
      </c>
      <c r="L216" s="44">
        <v>138686.96666666697</v>
      </c>
      <c r="M216" s="198">
        <v>352</v>
      </c>
      <c r="N216" s="17"/>
      <c r="O216" s="9">
        <f t="shared" si="7"/>
        <v>95290750.66807583</v>
      </c>
    </row>
    <row r="217" spans="1:15" ht="12.75">
      <c r="A217" s="2">
        <v>41579</v>
      </c>
      <c r="B217" s="44">
        <v>98272590.01161441</v>
      </c>
      <c r="C217" s="17">
        <v>1105762</v>
      </c>
      <c r="D217" s="17">
        <f>'Load Transfers'!C74</f>
        <v>-71393.35733266668</v>
      </c>
      <c r="E217" s="26">
        <f t="shared" si="6"/>
        <v>99306958.65428175</v>
      </c>
      <c r="F217" s="196">
        <v>412.90000000000003</v>
      </c>
      <c r="G217" s="196">
        <v>0</v>
      </c>
      <c r="H217" s="34">
        <v>145.51469366823466</v>
      </c>
      <c r="I217" s="9">
        <v>30</v>
      </c>
      <c r="J217" s="17">
        <f>'CDM Activity'!C157</f>
        <v>2615822.2562112804</v>
      </c>
      <c r="K217" s="9">
        <v>1</v>
      </c>
      <c r="L217" s="44">
        <v>138812.78333333365</v>
      </c>
      <c r="M217" s="198">
        <v>336</v>
      </c>
      <c r="N217" s="17"/>
      <c r="O217" s="9">
        <f t="shared" si="7"/>
        <v>97873446.352694</v>
      </c>
    </row>
    <row r="218" spans="1:15" ht="12.75">
      <c r="A218" s="2">
        <v>41609</v>
      </c>
      <c r="B218" s="44">
        <v>109815032.3544052</v>
      </c>
      <c r="C218" s="17">
        <v>855971</v>
      </c>
      <c r="D218" s="17">
        <f>'Load Transfers'!C75</f>
        <v>-71393.35733266668</v>
      </c>
      <c r="E218" s="26">
        <f t="shared" si="6"/>
        <v>110599609.99707253</v>
      </c>
      <c r="F218" s="196">
        <v>601.4</v>
      </c>
      <c r="G218" s="196">
        <v>0</v>
      </c>
      <c r="H218" s="34">
        <v>145.67047815457968</v>
      </c>
      <c r="I218" s="9">
        <v>31</v>
      </c>
      <c r="J218" s="17">
        <f>'CDM Activity'!C158</f>
        <v>2642433.7793189147</v>
      </c>
      <c r="K218" s="9">
        <v>0</v>
      </c>
      <c r="L218" s="44">
        <v>138938.60000000033</v>
      </c>
      <c r="M218" s="198">
        <v>320</v>
      </c>
      <c r="N218" s="17"/>
      <c r="O218" s="9">
        <f t="shared" si="7"/>
        <v>110159334.88472754</v>
      </c>
    </row>
    <row r="219" spans="1:15" ht="12.75">
      <c r="A219" s="2">
        <v>41640</v>
      </c>
      <c r="B219" s="44">
        <v>117246822.63149163</v>
      </c>
      <c r="C219" s="17">
        <v>771851</v>
      </c>
      <c r="D219" s="17">
        <f>'Load Transfers'!C76</f>
        <v>-70928.94483266666</v>
      </c>
      <c r="E219" s="26">
        <f t="shared" si="6"/>
        <v>117947744.68665896</v>
      </c>
      <c r="F219" s="197">
        <v>727.8</v>
      </c>
      <c r="G219" s="197">
        <v>0</v>
      </c>
      <c r="H219" s="34">
        <v>145.9982367304275</v>
      </c>
      <c r="I219" s="9">
        <v>31</v>
      </c>
      <c r="J219" s="17">
        <f>'CDM Activity'!C159</f>
        <v>2694394.1260486627</v>
      </c>
      <c r="K219" s="9">
        <v>0</v>
      </c>
      <c r="L219" s="44">
        <v>139064.416666667</v>
      </c>
      <c r="M219" s="198">
        <v>352</v>
      </c>
      <c r="N219" s="17"/>
      <c r="O219" s="9">
        <f t="shared" si="7"/>
        <v>113311433.20407566</v>
      </c>
    </row>
    <row r="220" spans="1:15" ht="12.75">
      <c r="A220" s="2">
        <v>41671</v>
      </c>
      <c r="B220" s="44">
        <v>101962543.55400698</v>
      </c>
      <c r="C220" s="17">
        <v>811223</v>
      </c>
      <c r="D220" s="17">
        <f>'Load Transfers'!C77</f>
        <v>-70928.94483266666</v>
      </c>
      <c r="E220" s="26">
        <f t="shared" si="6"/>
        <v>102702837.60917431</v>
      </c>
      <c r="F220" s="197">
        <v>648.1</v>
      </c>
      <c r="G220" s="197">
        <v>0</v>
      </c>
      <c r="H220" s="34">
        <v>146.3259953062753</v>
      </c>
      <c r="I220" s="9">
        <v>28</v>
      </c>
      <c r="J220" s="17">
        <f>'CDM Activity'!C160</f>
        <v>2746354.4727784107</v>
      </c>
      <c r="K220" s="9">
        <v>0</v>
      </c>
      <c r="L220" s="44">
        <v>139190.2333333337</v>
      </c>
      <c r="M220" s="198">
        <v>304</v>
      </c>
      <c r="N220" s="17"/>
      <c r="O220" s="9">
        <f t="shared" si="7"/>
        <v>103330776.82996942</v>
      </c>
    </row>
    <row r="221" spans="1:15" ht="12.75">
      <c r="A221" s="2">
        <v>41699</v>
      </c>
      <c r="B221" s="44">
        <v>106897419.94358721</v>
      </c>
      <c r="C221" s="17">
        <v>920445</v>
      </c>
      <c r="D221" s="17">
        <f>'Load Transfers'!C78</f>
        <v>-70928.94483266666</v>
      </c>
      <c r="E221" s="26">
        <f t="shared" si="6"/>
        <v>107746935.99875455</v>
      </c>
      <c r="F221" s="197">
        <v>636.2</v>
      </c>
      <c r="G221" s="197">
        <v>0</v>
      </c>
      <c r="H221" s="34">
        <v>146.6537538821231</v>
      </c>
      <c r="I221" s="9">
        <v>31</v>
      </c>
      <c r="J221" s="17">
        <f>'CDM Activity'!C161</f>
        <v>2798314.8195081586</v>
      </c>
      <c r="K221" s="9">
        <v>1</v>
      </c>
      <c r="L221" s="44">
        <v>139316.05000000037</v>
      </c>
      <c r="M221" s="198">
        <v>336</v>
      </c>
      <c r="N221" s="17"/>
      <c r="O221" s="9">
        <f t="shared" si="7"/>
        <v>106269518.07977426</v>
      </c>
    </row>
    <row r="222" spans="1:15" ht="12.75">
      <c r="A222" s="2">
        <v>41730</v>
      </c>
      <c r="B222" s="44">
        <v>88321884.85150158</v>
      </c>
      <c r="C222" s="17">
        <v>1137316</v>
      </c>
      <c r="D222" s="17">
        <f>'Load Transfers'!C79</f>
        <v>-70928.94483266666</v>
      </c>
      <c r="E222" s="26">
        <f t="shared" si="6"/>
        <v>89388271.90666892</v>
      </c>
      <c r="F222" s="197">
        <v>356.6</v>
      </c>
      <c r="G222" s="197">
        <v>0</v>
      </c>
      <c r="H222" s="34">
        <v>146.98151245797092</v>
      </c>
      <c r="I222" s="9">
        <v>30</v>
      </c>
      <c r="J222" s="17">
        <f>'CDM Activity'!C162</f>
        <v>2850275.1662379066</v>
      </c>
      <c r="K222" s="9">
        <v>1</v>
      </c>
      <c r="L222" s="44">
        <v>139441.86666666705</v>
      </c>
      <c r="M222" s="198">
        <v>336</v>
      </c>
      <c r="N222" s="17"/>
      <c r="O222" s="9">
        <f t="shared" si="7"/>
        <v>96762059.14271063</v>
      </c>
    </row>
    <row r="223" spans="1:15" ht="12.75">
      <c r="A223" s="2">
        <v>41760</v>
      </c>
      <c r="B223" s="44">
        <v>91424650.61071335</v>
      </c>
      <c r="C223" s="17">
        <v>1279581</v>
      </c>
      <c r="D223" s="17">
        <f>'Load Transfers'!C80</f>
        <v>-70928.94483266666</v>
      </c>
      <c r="E223" s="26">
        <f t="shared" si="6"/>
        <v>92633302.66588068</v>
      </c>
      <c r="F223" s="197">
        <v>174.70000000000002</v>
      </c>
      <c r="G223" s="197">
        <v>3</v>
      </c>
      <c r="H223" s="34">
        <v>147.30927103381873</v>
      </c>
      <c r="I223" s="9">
        <v>31</v>
      </c>
      <c r="J223" s="17">
        <f>'CDM Activity'!C163</f>
        <v>2902235.5129676545</v>
      </c>
      <c r="K223" s="9">
        <v>1</v>
      </c>
      <c r="L223" s="44">
        <v>139567.68333333373</v>
      </c>
      <c r="M223" s="198">
        <v>336</v>
      </c>
      <c r="N223" s="17"/>
      <c r="O223" s="9">
        <f t="shared" si="7"/>
        <v>95646725.85373259</v>
      </c>
    </row>
    <row r="224" spans="1:15" ht="12.75">
      <c r="A224" s="2">
        <v>41791</v>
      </c>
      <c r="B224" s="44">
        <v>104058299.1920971</v>
      </c>
      <c r="C224" s="17">
        <v>1413020</v>
      </c>
      <c r="D224" s="17">
        <f>'Load Transfers'!C81</f>
        <v>-70928.94483266666</v>
      </c>
      <c r="E224" s="26">
        <f t="shared" si="6"/>
        <v>105400390.24726443</v>
      </c>
      <c r="F224" s="197">
        <v>27</v>
      </c>
      <c r="G224" s="197">
        <v>39.1</v>
      </c>
      <c r="H224" s="34">
        <v>147.63702960966654</v>
      </c>
      <c r="I224" s="9">
        <v>30</v>
      </c>
      <c r="J224" s="17">
        <f>'CDM Activity'!C164</f>
        <v>2954195.8596974025</v>
      </c>
      <c r="K224" s="9">
        <v>0</v>
      </c>
      <c r="L224" s="44">
        <v>139693.5000000004</v>
      </c>
      <c r="M224" s="198">
        <v>336</v>
      </c>
      <c r="N224" s="17"/>
      <c r="O224" s="9">
        <f t="shared" si="7"/>
        <v>101628968.94806015</v>
      </c>
    </row>
    <row r="225" spans="1:15" ht="12.75">
      <c r="A225" s="2">
        <v>41821</v>
      </c>
      <c r="B225" s="44">
        <v>109587464.10384044</v>
      </c>
      <c r="C225" s="17">
        <v>1300570</v>
      </c>
      <c r="D225" s="17">
        <f>'Load Transfers'!C82</f>
        <v>-70928.94483266666</v>
      </c>
      <c r="E225" s="26">
        <f t="shared" si="6"/>
        <v>110817105.15900777</v>
      </c>
      <c r="F225" s="197">
        <v>0.6</v>
      </c>
      <c r="G225" s="197">
        <v>77.9</v>
      </c>
      <c r="H225" s="34">
        <v>147.96478818551435</v>
      </c>
      <c r="I225" s="9">
        <v>31</v>
      </c>
      <c r="J225" s="17">
        <f>'CDM Activity'!C165</f>
        <v>3006156.2064271504</v>
      </c>
      <c r="K225" s="9">
        <v>0</v>
      </c>
      <c r="L225" s="44">
        <v>139819.3166666671</v>
      </c>
      <c r="M225" s="198">
        <v>352</v>
      </c>
      <c r="N225" s="17"/>
      <c r="O225" s="9">
        <f t="shared" si="7"/>
        <v>111631823.84267196</v>
      </c>
    </row>
    <row r="226" spans="1:15" ht="12.75">
      <c r="A226" s="2">
        <v>41852</v>
      </c>
      <c r="B226" s="44">
        <v>110696978.97920896</v>
      </c>
      <c r="C226" s="17">
        <v>1099164</v>
      </c>
      <c r="D226" s="17">
        <f>'Load Transfers'!C83</f>
        <v>-70928.94483266666</v>
      </c>
      <c r="E226" s="26">
        <f t="shared" si="6"/>
        <v>111725214.0343763</v>
      </c>
      <c r="F226" s="197">
        <v>0.9</v>
      </c>
      <c r="G226" s="197">
        <v>86.2</v>
      </c>
      <c r="H226" s="34">
        <v>148.29254676136216</v>
      </c>
      <c r="I226" s="9">
        <v>31</v>
      </c>
      <c r="J226" s="17">
        <f>'CDM Activity'!C166</f>
        <v>3058116.5531568984</v>
      </c>
      <c r="K226" s="9">
        <v>0</v>
      </c>
      <c r="L226" s="44">
        <v>139945.13333333377</v>
      </c>
      <c r="M226" s="198">
        <v>320</v>
      </c>
      <c r="N226" s="17"/>
      <c r="O226" s="9">
        <f t="shared" si="7"/>
        <v>113380174.56204274</v>
      </c>
    </row>
    <row r="227" spans="1:15" ht="12.75">
      <c r="A227" s="2">
        <v>41883</v>
      </c>
      <c r="B227" s="44">
        <v>97721499.40651684</v>
      </c>
      <c r="C227" s="17">
        <v>4944362</v>
      </c>
      <c r="D227" s="17">
        <f>'Load Transfers'!C84</f>
        <v>-70928.94483266666</v>
      </c>
      <c r="E227" s="26">
        <f t="shared" si="6"/>
        <v>102594932.46168417</v>
      </c>
      <c r="F227" s="197">
        <v>42.7</v>
      </c>
      <c r="G227" s="197">
        <v>42.3</v>
      </c>
      <c r="H227" s="34">
        <v>148.62030533720997</v>
      </c>
      <c r="I227" s="9">
        <v>30</v>
      </c>
      <c r="J227" s="17">
        <f>'CDM Activity'!C167</f>
        <v>3110076.8998866463</v>
      </c>
      <c r="K227" s="9">
        <v>1</v>
      </c>
      <c r="L227" s="44">
        <v>140070.95000000045</v>
      </c>
      <c r="M227" s="198">
        <v>336</v>
      </c>
      <c r="N227" s="17"/>
      <c r="O227" s="9">
        <f t="shared" si="7"/>
        <v>97922697.37602322</v>
      </c>
    </row>
    <row r="228" spans="1:15" ht="12.75">
      <c r="A228" s="2">
        <v>41913</v>
      </c>
      <c r="B228" s="44">
        <v>89032201.24822913</v>
      </c>
      <c r="C228" s="17">
        <v>2860295</v>
      </c>
      <c r="D228" s="17">
        <f>'Load Transfers'!C85</f>
        <v>-70928.94483266666</v>
      </c>
      <c r="E228" s="26">
        <f t="shared" si="6"/>
        <v>91821567.30339646</v>
      </c>
      <c r="F228" s="197">
        <v>173.7</v>
      </c>
      <c r="G228" s="197">
        <v>5.7</v>
      </c>
      <c r="H228" s="34">
        <v>148.94806391305778</v>
      </c>
      <c r="I228" s="9">
        <v>31</v>
      </c>
      <c r="J228" s="17">
        <f>'CDM Activity'!C168</f>
        <v>3162037.2466163943</v>
      </c>
      <c r="K228" s="9">
        <v>1</v>
      </c>
      <c r="L228" s="44">
        <v>140196.76666666713</v>
      </c>
      <c r="M228" s="198">
        <v>352</v>
      </c>
      <c r="N228" s="17"/>
      <c r="O228" s="9">
        <f t="shared" si="7"/>
        <v>96415272.76476574</v>
      </c>
    </row>
    <row r="229" spans="1:15" ht="12.75">
      <c r="A229" s="2">
        <v>41944</v>
      </c>
      <c r="B229" s="44">
        <v>93451537.31286135</v>
      </c>
      <c r="C229" s="17">
        <v>3682070</v>
      </c>
      <c r="D229" s="17">
        <f>'Load Transfers'!C86</f>
        <v>-70928.94483266666</v>
      </c>
      <c r="E229" s="26">
        <f t="shared" si="6"/>
        <v>97062678.36802869</v>
      </c>
      <c r="F229" s="197">
        <v>416</v>
      </c>
      <c r="G229" s="197">
        <v>0</v>
      </c>
      <c r="H229" s="34">
        <v>149.2758224889056</v>
      </c>
      <c r="I229" s="9">
        <v>30</v>
      </c>
      <c r="J229" s="17">
        <f>'CDM Activity'!C169</f>
        <v>3213997.593346142</v>
      </c>
      <c r="K229" s="9">
        <v>1</v>
      </c>
      <c r="L229" s="44">
        <v>140322.5833333338</v>
      </c>
      <c r="M229" s="198">
        <v>320</v>
      </c>
      <c r="N229" s="17"/>
      <c r="O229" s="9">
        <f t="shared" si="7"/>
        <v>98560100.52139346</v>
      </c>
    </row>
    <row r="230" spans="1:15" ht="12.75">
      <c r="A230" s="2">
        <v>41974</v>
      </c>
      <c r="B230" s="44">
        <v>102089918.44392541</v>
      </c>
      <c r="C230" s="17">
        <v>4494121</v>
      </c>
      <c r="D230" s="17">
        <f>'Load Transfers'!C87</f>
        <v>-70928.94483266666</v>
      </c>
      <c r="E230" s="26">
        <f t="shared" si="6"/>
        <v>106513110.49909274</v>
      </c>
      <c r="F230" s="197">
        <v>509.75</v>
      </c>
      <c r="G230" s="197">
        <v>0</v>
      </c>
      <c r="H230" s="34">
        <v>149.6035810647533</v>
      </c>
      <c r="I230" s="9">
        <v>31</v>
      </c>
      <c r="J230" s="17">
        <f>'CDM Activity'!C170</f>
        <v>3265957.94007589</v>
      </c>
      <c r="K230" s="9">
        <v>0</v>
      </c>
      <c r="L230" s="44">
        <v>140448.4000000005</v>
      </c>
      <c r="M230" s="198">
        <v>336</v>
      </c>
      <c r="N230" s="17"/>
      <c r="O230" s="9">
        <f t="shared" si="7"/>
        <v>108491071.37216786</v>
      </c>
    </row>
    <row r="231" spans="1:15" ht="12.75">
      <c r="A231" s="2">
        <v>42005</v>
      </c>
      <c r="B231" s="44">
        <v>109554910.59463185</v>
      </c>
      <c r="C231" s="17">
        <v>3562298</v>
      </c>
      <c r="D231" s="17">
        <f>'Load Transfers'!C88</f>
        <v>185647.08691666668</v>
      </c>
      <c r="E231" s="26">
        <f t="shared" si="6"/>
        <v>113302855.68154852</v>
      </c>
      <c r="F231" s="196">
        <v>696.25</v>
      </c>
      <c r="G231" s="196">
        <v>0</v>
      </c>
      <c r="H231" s="34">
        <v>149.91525519197154</v>
      </c>
      <c r="I231" s="9">
        <v>31</v>
      </c>
      <c r="J231" s="17">
        <f>'CDM Activity'!C171</f>
        <v>3346851.132853615</v>
      </c>
      <c r="K231" s="9">
        <v>0</v>
      </c>
      <c r="L231" s="44">
        <v>140574.21666666717</v>
      </c>
      <c r="M231" s="198">
        <v>336</v>
      </c>
      <c r="N231" s="17"/>
      <c r="O231" s="9">
        <f t="shared" si="7"/>
        <v>112991875.84592134</v>
      </c>
    </row>
    <row r="232" spans="1:15" ht="12.75">
      <c r="A232" s="2">
        <v>42036</v>
      </c>
      <c r="B232" s="44">
        <v>102670597.69498795</v>
      </c>
      <c r="C232" s="17">
        <v>4596564</v>
      </c>
      <c r="D232" s="17">
        <f>'Load Transfers'!C89</f>
        <v>185647.08691666668</v>
      </c>
      <c r="E232" s="26">
        <f t="shared" si="6"/>
        <v>107452808.78190462</v>
      </c>
      <c r="F232" s="196">
        <v>776.4</v>
      </c>
      <c r="G232" s="196">
        <v>0</v>
      </c>
      <c r="H232" s="34">
        <v>150.22692931918976</v>
      </c>
      <c r="I232" s="9">
        <v>28</v>
      </c>
      <c r="J232" s="17">
        <f>'CDM Activity'!C172</f>
        <v>3427744.32563134</v>
      </c>
      <c r="K232" s="9">
        <v>0</v>
      </c>
      <c r="L232" s="44">
        <v>140700.03333333385</v>
      </c>
      <c r="M232" s="198">
        <v>304</v>
      </c>
      <c r="N232" s="17"/>
      <c r="O232" s="9">
        <f t="shared" si="7"/>
        <v>106809159.96588753</v>
      </c>
    </row>
    <row r="233" spans="1:15" ht="12.75">
      <c r="A233" s="2">
        <v>42064</v>
      </c>
      <c r="B233" s="44">
        <v>101056828.88540033</v>
      </c>
      <c r="C233" s="17">
        <v>3778683</v>
      </c>
      <c r="D233" s="17">
        <f>'Load Transfers'!C90</f>
        <v>185647.08691666668</v>
      </c>
      <c r="E233" s="26">
        <f t="shared" si="6"/>
        <v>105021158.972317</v>
      </c>
      <c r="F233" s="196">
        <v>596.9</v>
      </c>
      <c r="G233" s="196">
        <v>0</v>
      </c>
      <c r="H233" s="34">
        <v>150.538603446408</v>
      </c>
      <c r="I233" s="9">
        <v>31</v>
      </c>
      <c r="J233" s="17">
        <f>'CDM Activity'!C173</f>
        <v>3508637.518409065</v>
      </c>
      <c r="K233" s="9">
        <v>1</v>
      </c>
      <c r="L233" s="44">
        <v>140825.85000000053</v>
      </c>
      <c r="M233" s="198">
        <v>352</v>
      </c>
      <c r="N233" s="17"/>
      <c r="O233" s="9">
        <f t="shared" si="7"/>
        <v>105505723.56917338</v>
      </c>
    </row>
    <row r="234" spans="1:15" ht="12.75">
      <c r="A234" s="2">
        <v>42095</v>
      </c>
      <c r="B234" s="44">
        <v>86994585.90190299</v>
      </c>
      <c r="C234" s="17">
        <v>4365903</v>
      </c>
      <c r="D234" s="17">
        <f>'Load Transfers'!C91</f>
        <v>185647.08691666668</v>
      </c>
      <c r="E234" s="26">
        <f t="shared" si="6"/>
        <v>91546135.98881966</v>
      </c>
      <c r="F234" s="196">
        <v>325.9</v>
      </c>
      <c r="G234" s="196">
        <v>0.041666666666666664</v>
      </c>
      <c r="H234" s="34">
        <v>150.85027757362622</v>
      </c>
      <c r="I234" s="9">
        <v>30</v>
      </c>
      <c r="J234" s="17">
        <f>'CDM Activity'!C174</f>
        <v>3589530.71118679</v>
      </c>
      <c r="K234" s="9">
        <v>1</v>
      </c>
      <c r="L234" s="44">
        <v>140951.6666666672</v>
      </c>
      <c r="M234" s="198">
        <v>336</v>
      </c>
      <c r="N234" s="17"/>
      <c r="O234" s="9">
        <f t="shared" si="7"/>
        <v>96090950.18195939</v>
      </c>
    </row>
    <row r="235" spans="1:15" ht="12.75">
      <c r="A235" s="2">
        <v>42125</v>
      </c>
      <c r="B235" s="44">
        <v>92753225.86820845</v>
      </c>
      <c r="C235" s="17">
        <v>4241451</v>
      </c>
      <c r="D235" s="17">
        <f>'Load Transfers'!C92</f>
        <v>185647.08691666668</v>
      </c>
      <c r="E235" s="26">
        <f t="shared" si="6"/>
        <v>97180323.95512512</v>
      </c>
      <c r="F235" s="196">
        <v>131.8</v>
      </c>
      <c r="G235" s="196">
        <v>9.75</v>
      </c>
      <c r="H235" s="34">
        <v>151.16195170084444</v>
      </c>
      <c r="I235" s="9">
        <v>31</v>
      </c>
      <c r="J235" s="17">
        <f>'CDM Activity'!C175</f>
        <v>3670423.903964515</v>
      </c>
      <c r="K235" s="9">
        <v>1</v>
      </c>
      <c r="L235" s="44">
        <v>141077.4833333339</v>
      </c>
      <c r="M235" s="198">
        <v>320</v>
      </c>
      <c r="N235" s="17"/>
      <c r="O235" s="9">
        <f t="shared" si="7"/>
        <v>95917004.55694571</v>
      </c>
    </row>
    <row r="236" spans="1:15" ht="12.75">
      <c r="A236" s="2">
        <v>42156</v>
      </c>
      <c r="B236" s="44">
        <v>96406876.74694644</v>
      </c>
      <c r="C236" s="17">
        <v>4178699</v>
      </c>
      <c r="D236" s="17">
        <f>'Load Transfers'!C93</f>
        <v>185647.08691666668</v>
      </c>
      <c r="E236" s="26">
        <f t="shared" si="6"/>
        <v>100771222.83386311</v>
      </c>
      <c r="F236" s="196">
        <v>61.2</v>
      </c>
      <c r="G236" s="196">
        <v>19.5</v>
      </c>
      <c r="H236" s="34">
        <v>151.47362582806267</v>
      </c>
      <c r="I236" s="9">
        <v>30</v>
      </c>
      <c r="J236" s="17">
        <f>'CDM Activity'!C176</f>
        <v>3751317.09674224</v>
      </c>
      <c r="K236" s="9">
        <v>0</v>
      </c>
      <c r="L236" s="44">
        <v>141203.30000000057</v>
      </c>
      <c r="M236" s="198">
        <v>352</v>
      </c>
      <c r="N236" s="17"/>
      <c r="O236" s="9">
        <f t="shared" si="7"/>
        <v>98292261.00782704</v>
      </c>
    </row>
    <row r="237" spans="1:15" ht="12.75">
      <c r="A237" s="2">
        <v>42186</v>
      </c>
      <c r="B237" s="44">
        <v>116368725.35130376</v>
      </c>
      <c r="C237" s="17">
        <v>3237902</v>
      </c>
      <c r="D237" s="17">
        <f>'Load Transfers'!C94</f>
        <v>185647.08691666668</v>
      </c>
      <c r="E237" s="26">
        <f t="shared" si="6"/>
        <v>119792274.43822043</v>
      </c>
      <c r="F237" s="196">
        <v>2.6</v>
      </c>
      <c r="G237" s="196">
        <v>121.2</v>
      </c>
      <c r="H237" s="34">
        <v>151.7852999552809</v>
      </c>
      <c r="I237" s="9">
        <v>31</v>
      </c>
      <c r="J237" s="17">
        <f>'CDM Activity'!C177</f>
        <v>3832210.2895199647</v>
      </c>
      <c r="K237" s="9">
        <v>0</v>
      </c>
      <c r="L237" s="44">
        <v>141329.11666666725</v>
      </c>
      <c r="M237" s="198">
        <v>352</v>
      </c>
      <c r="N237" s="17"/>
      <c r="O237" s="9">
        <f t="shared" si="7"/>
        <v>120203637.39213495</v>
      </c>
    </row>
    <row r="238" spans="1:15" ht="12.75">
      <c r="A238" s="2">
        <v>42217</v>
      </c>
      <c r="B238" s="44">
        <v>110801669.41072863</v>
      </c>
      <c r="C238" s="17">
        <v>4126483</v>
      </c>
      <c r="D238" s="17">
        <f>'Load Transfers'!C95</f>
        <v>185647.08691666668</v>
      </c>
      <c r="E238" s="26">
        <f t="shared" si="6"/>
        <v>115113799.4976453</v>
      </c>
      <c r="F238" s="196">
        <v>2.2</v>
      </c>
      <c r="G238" s="196">
        <v>104.3</v>
      </c>
      <c r="H238" s="34">
        <v>152.09697408249912</v>
      </c>
      <c r="I238" s="9">
        <v>31</v>
      </c>
      <c r="J238" s="17">
        <f>'CDM Activity'!C178</f>
        <v>3913103.4822976897</v>
      </c>
      <c r="K238" s="9">
        <v>0</v>
      </c>
      <c r="L238" s="44">
        <v>141454.93333333393</v>
      </c>
      <c r="M238" s="198">
        <v>320</v>
      </c>
      <c r="N238" s="17"/>
      <c r="O238" s="9">
        <f t="shared" si="7"/>
        <v>116669221.34148741</v>
      </c>
    </row>
    <row r="239" spans="1:15" ht="12.75">
      <c r="A239" s="2">
        <v>42248</v>
      </c>
      <c r="B239" s="44">
        <v>106266883.63900907</v>
      </c>
      <c r="C239" s="17">
        <v>3155002</v>
      </c>
      <c r="D239" s="17">
        <f>'Load Transfers'!C96</f>
        <v>185647.08691666668</v>
      </c>
      <c r="E239" s="26">
        <f t="shared" si="6"/>
        <v>109607532.72592574</v>
      </c>
      <c r="F239" s="196">
        <v>17.1</v>
      </c>
      <c r="G239" s="196">
        <v>84</v>
      </c>
      <c r="H239" s="34">
        <v>152.40864820971734</v>
      </c>
      <c r="I239" s="9">
        <v>30</v>
      </c>
      <c r="J239" s="17">
        <f>'CDM Activity'!C179</f>
        <v>3993996.6750754146</v>
      </c>
      <c r="K239" s="9">
        <v>1</v>
      </c>
      <c r="L239" s="44">
        <v>141580.7500000006</v>
      </c>
      <c r="M239" s="198">
        <v>336</v>
      </c>
      <c r="N239" s="17"/>
      <c r="O239" s="9">
        <f t="shared" si="7"/>
        <v>105236621.56173226</v>
      </c>
    </row>
    <row r="240" spans="1:15" ht="12.75">
      <c r="A240" s="2">
        <v>42278</v>
      </c>
      <c r="B240" s="44">
        <v>87953241.18390322</v>
      </c>
      <c r="C240" s="17">
        <v>3403211</v>
      </c>
      <c r="D240" s="17">
        <f>'Load Transfers'!C97</f>
        <v>185647.08691666668</v>
      </c>
      <c r="E240" s="26">
        <f t="shared" si="6"/>
        <v>91542099.27081989</v>
      </c>
      <c r="F240" s="196">
        <v>186.05</v>
      </c>
      <c r="G240" s="196">
        <v>1.8</v>
      </c>
      <c r="H240" s="34">
        <v>152.72032233693557</v>
      </c>
      <c r="I240" s="9">
        <v>31</v>
      </c>
      <c r="J240" s="17">
        <f>'CDM Activity'!C180</f>
        <v>4074889.8678531395</v>
      </c>
      <c r="K240" s="9">
        <v>1</v>
      </c>
      <c r="L240" s="44">
        <v>141706.5666666673</v>
      </c>
      <c r="M240" s="198">
        <v>336</v>
      </c>
      <c r="N240" s="17"/>
      <c r="O240" s="9">
        <f t="shared" si="7"/>
        <v>95235607.62582192</v>
      </c>
    </row>
    <row r="241" spans="1:15" ht="12.75">
      <c r="A241" s="2">
        <v>42309</v>
      </c>
      <c r="B241" s="44">
        <v>88072404.94696942</v>
      </c>
      <c r="C241" s="17">
        <v>4616734</v>
      </c>
      <c r="D241" s="17">
        <f>'Load Transfers'!C98</f>
        <v>185647.08691666668</v>
      </c>
      <c r="E241" s="26">
        <f t="shared" si="6"/>
        <v>92874786.03388609</v>
      </c>
      <c r="F241" s="196">
        <v>284.45</v>
      </c>
      <c r="G241" s="196">
        <v>0</v>
      </c>
      <c r="H241" s="34">
        <v>153.0319964641538</v>
      </c>
      <c r="I241" s="9">
        <v>30</v>
      </c>
      <c r="J241" s="17">
        <f>'CDM Activity'!C181</f>
        <v>4155783.0606308645</v>
      </c>
      <c r="K241" s="9">
        <v>1</v>
      </c>
      <c r="L241" s="44">
        <v>141832.38333333397</v>
      </c>
      <c r="M241" s="198">
        <v>336</v>
      </c>
      <c r="N241" s="17"/>
      <c r="O241" s="9">
        <f t="shared" si="7"/>
        <v>94515441.57840382</v>
      </c>
    </row>
    <row r="242" spans="1:15" ht="12.75">
      <c r="A242" s="2">
        <v>42339</v>
      </c>
      <c r="B242" s="44">
        <v>94789799.74729103</v>
      </c>
      <c r="C242" s="17">
        <v>4318885</v>
      </c>
      <c r="D242" s="17">
        <f>'Load Transfers'!C99</f>
        <v>185647.08691666668</v>
      </c>
      <c r="E242" s="26">
        <f t="shared" si="6"/>
        <v>99294331.8342077</v>
      </c>
      <c r="F242" s="196">
        <v>372.95</v>
      </c>
      <c r="G242" s="196">
        <v>0</v>
      </c>
      <c r="H242" s="34">
        <v>153.34367059137213</v>
      </c>
      <c r="I242" s="9">
        <v>31</v>
      </c>
      <c r="J242" s="17">
        <f>'CDM Activity'!C182</f>
        <v>4236676.253408589</v>
      </c>
      <c r="K242" s="9">
        <v>0</v>
      </c>
      <c r="L242" s="44">
        <v>141958.20000000065</v>
      </c>
      <c r="M242" s="198">
        <v>336</v>
      </c>
      <c r="N242" s="17"/>
      <c r="O242" s="9">
        <f t="shared" si="7"/>
        <v>104190532.47734559</v>
      </c>
    </row>
    <row r="243" spans="1:15" ht="12.75">
      <c r="A243" s="2">
        <v>42370</v>
      </c>
      <c r="B243" s="44">
        <v>103534586.66768773</v>
      </c>
      <c r="C243" s="17">
        <v>4210616</v>
      </c>
      <c r="D243" s="17">
        <f>'Load Transfers'!C100</f>
        <v>168585.93775</v>
      </c>
      <c r="E243" s="26">
        <f aca="true" t="shared" si="8" ref="E243:E254">B243+D243+C243</f>
        <v>107913788.60543773</v>
      </c>
      <c r="F243" s="196">
        <v>597.29</v>
      </c>
      <c r="G243" s="196">
        <v>0</v>
      </c>
      <c r="H243" s="34">
        <v>153.63757929333892</v>
      </c>
      <c r="I243" s="9">
        <v>31</v>
      </c>
      <c r="J243" s="17">
        <f>'CDM Activity'!C183</f>
        <v>4318903.045188646</v>
      </c>
      <c r="K243" s="9">
        <v>0</v>
      </c>
      <c r="L243" s="44">
        <v>142084.01666666733</v>
      </c>
      <c r="M243" s="198">
        <v>320</v>
      </c>
      <c r="N243" s="17"/>
      <c r="O243" s="9">
        <f aca="true" t="shared" si="9" ref="O243:O254">$S$18+F243*$S$19+G243*$S$20+H243*$S$21+I243*$S$22+J243*$S$23+K243*$S$24+L243*$S$25</f>
        <v>109607022.41021383</v>
      </c>
    </row>
    <row r="244" spans="1:15" ht="12.75">
      <c r="A244" s="2">
        <v>42401</v>
      </c>
      <c r="B244" s="44">
        <v>94512225.75334074</v>
      </c>
      <c r="C244" s="17">
        <v>4903383</v>
      </c>
      <c r="D244" s="17">
        <f>'Load Transfers'!C101</f>
        <v>168585.93775</v>
      </c>
      <c r="E244" s="26">
        <f t="shared" si="8"/>
        <v>99584194.69109073</v>
      </c>
      <c r="F244" s="196">
        <v>537.4</v>
      </c>
      <c r="G244" s="196">
        <v>0</v>
      </c>
      <c r="H244" s="34">
        <v>153.9314879953057</v>
      </c>
      <c r="I244" s="9">
        <v>29</v>
      </c>
      <c r="J244" s="17">
        <f>'CDM Activity'!C184</f>
        <v>4401129.836968702</v>
      </c>
      <c r="K244" s="9">
        <v>0</v>
      </c>
      <c r="L244" s="44">
        <v>142209.833333334</v>
      </c>
      <c r="M244" s="198">
        <v>320</v>
      </c>
      <c r="N244" s="17"/>
      <c r="O244" s="9">
        <f t="shared" si="9"/>
        <v>102663118.7069112</v>
      </c>
    </row>
    <row r="245" spans="1:15" ht="12.75">
      <c r="A245" s="2">
        <v>42430</v>
      </c>
      <c r="B245" s="44">
        <v>94155530.88026956</v>
      </c>
      <c r="C245" s="17">
        <v>4513978</v>
      </c>
      <c r="D245" s="17">
        <f>'Load Transfers'!C102</f>
        <v>168585.93775</v>
      </c>
      <c r="E245" s="26">
        <f t="shared" si="8"/>
        <v>98838094.81801955</v>
      </c>
      <c r="F245" s="196">
        <v>444.6</v>
      </c>
      <c r="G245" s="196">
        <v>0</v>
      </c>
      <c r="H245" s="34">
        <v>154.2253966972725</v>
      </c>
      <c r="I245" s="9">
        <v>31</v>
      </c>
      <c r="J245" s="17">
        <f>'CDM Activity'!C185</f>
        <v>4483356.628748759</v>
      </c>
      <c r="K245" s="9">
        <v>1</v>
      </c>
      <c r="L245" s="44">
        <v>142335.6500000007</v>
      </c>
      <c r="M245" s="198">
        <v>352</v>
      </c>
      <c r="N245" s="17"/>
      <c r="O245" s="9">
        <f t="shared" si="9"/>
        <v>100784319.10178204</v>
      </c>
    </row>
    <row r="246" spans="1:15" ht="12.75">
      <c r="A246" s="2">
        <v>42461</v>
      </c>
      <c r="B246" s="44">
        <v>87634927.4418961</v>
      </c>
      <c r="C246" s="17">
        <v>4267618</v>
      </c>
      <c r="D246" s="17">
        <f>'Load Transfers'!C103</f>
        <v>168585.93775</v>
      </c>
      <c r="E246" s="26">
        <f t="shared" si="8"/>
        <v>92071131.3796461</v>
      </c>
      <c r="F246" s="196">
        <v>344.40000000000003</v>
      </c>
      <c r="G246" s="196">
        <v>0</v>
      </c>
      <c r="H246" s="34">
        <v>154.51930539923927</v>
      </c>
      <c r="I246" s="9">
        <v>30</v>
      </c>
      <c r="J246" s="17">
        <f>'CDM Activity'!C186</f>
        <v>4565583.420528815</v>
      </c>
      <c r="K246" s="9">
        <v>1</v>
      </c>
      <c r="L246" s="44">
        <v>142461.46666666737</v>
      </c>
      <c r="M246" s="198">
        <v>336</v>
      </c>
      <c r="N246" s="17"/>
      <c r="O246" s="9">
        <f t="shared" si="9"/>
        <v>95541398.43798067</v>
      </c>
    </row>
    <row r="247" spans="1:15" ht="12.75">
      <c r="A247" s="2">
        <v>42491</v>
      </c>
      <c r="B247" s="44">
        <v>91346494.62036224</v>
      </c>
      <c r="C247" s="17">
        <v>4015774</v>
      </c>
      <c r="D247" s="17">
        <f>'Load Transfers'!C104</f>
        <v>168585.93775</v>
      </c>
      <c r="E247" s="26">
        <f t="shared" si="8"/>
        <v>95530854.55811223</v>
      </c>
      <c r="F247" s="196">
        <v>157.95</v>
      </c>
      <c r="G247" s="196">
        <v>31</v>
      </c>
      <c r="H247" s="34">
        <v>154.81321410120606</v>
      </c>
      <c r="I247" s="9">
        <v>31</v>
      </c>
      <c r="J247" s="17">
        <f>'CDM Activity'!C187</f>
        <v>4647810.212308872</v>
      </c>
      <c r="K247" s="9">
        <v>1</v>
      </c>
      <c r="L247" s="44">
        <v>142587.28333333405</v>
      </c>
      <c r="M247" s="198">
        <v>336</v>
      </c>
      <c r="N247" s="17"/>
      <c r="O247" s="9">
        <f t="shared" si="9"/>
        <v>99883507.74146193</v>
      </c>
    </row>
    <row r="248" spans="1:15" ht="12.75">
      <c r="A248" s="2">
        <v>42522</v>
      </c>
      <c r="B248" s="44">
        <v>102451751.73258798</v>
      </c>
      <c r="C248" s="17">
        <v>3915256</v>
      </c>
      <c r="D248" s="17">
        <f>'Load Transfers'!C105</f>
        <v>168585.93775</v>
      </c>
      <c r="E248" s="26">
        <f t="shared" si="8"/>
        <v>106535593.67033798</v>
      </c>
      <c r="F248" s="196">
        <v>19.1</v>
      </c>
      <c r="G248" s="196">
        <v>66.3</v>
      </c>
      <c r="H248" s="34">
        <v>155.10712280317284</v>
      </c>
      <c r="I248" s="9">
        <v>30</v>
      </c>
      <c r="J248" s="17">
        <f>'CDM Activity'!C188</f>
        <v>4730037.004088928</v>
      </c>
      <c r="K248" s="9">
        <v>0</v>
      </c>
      <c r="L248" s="44">
        <v>142713.10000000073</v>
      </c>
      <c r="M248" s="198">
        <v>352</v>
      </c>
      <c r="N248" s="17"/>
      <c r="O248" s="9">
        <f t="shared" si="9"/>
        <v>105779520.48902178</v>
      </c>
    </row>
    <row r="249" spans="1:15" ht="12.75">
      <c r="A249" s="2">
        <v>42552</v>
      </c>
      <c r="B249" s="44">
        <v>123874074.35769807</v>
      </c>
      <c r="C249" s="17">
        <v>4029521</v>
      </c>
      <c r="D249" s="17">
        <f>'Load Transfers'!C106</f>
        <v>168585.93775</v>
      </c>
      <c r="E249" s="26">
        <f t="shared" si="8"/>
        <v>128072181.29544806</v>
      </c>
      <c r="F249" s="196">
        <v>0</v>
      </c>
      <c r="G249" s="196">
        <v>166.6</v>
      </c>
      <c r="H249" s="34">
        <v>155.40103150513963</v>
      </c>
      <c r="I249" s="9">
        <v>31</v>
      </c>
      <c r="J249" s="17">
        <f>'CDM Activity'!C189</f>
        <v>4812263.795868984</v>
      </c>
      <c r="K249" s="9">
        <v>0</v>
      </c>
      <c r="L249" s="44">
        <v>142838.9166666674</v>
      </c>
      <c r="M249" s="198">
        <v>320</v>
      </c>
      <c r="N249" s="17"/>
      <c r="O249" s="9">
        <f t="shared" si="9"/>
        <v>128361863.39382553</v>
      </c>
    </row>
    <row r="250" spans="1:15" ht="12.75">
      <c r="A250" s="2">
        <v>42583</v>
      </c>
      <c r="B250" s="44">
        <v>131634039.13160013</v>
      </c>
      <c r="C250" s="17">
        <v>3905772</v>
      </c>
      <c r="D250" s="17">
        <f>'Load Transfers'!C107</f>
        <v>168585.93775</v>
      </c>
      <c r="E250" s="26">
        <f t="shared" si="8"/>
        <v>135708397.06935012</v>
      </c>
      <c r="F250" s="196">
        <v>0</v>
      </c>
      <c r="G250" s="196">
        <v>198.85</v>
      </c>
      <c r="H250" s="34">
        <v>155.6949402071064</v>
      </c>
      <c r="I250" s="9">
        <v>31</v>
      </c>
      <c r="J250" s="17">
        <f>'CDM Activity'!C190</f>
        <v>4894490.587649041</v>
      </c>
      <c r="K250" s="9">
        <v>0</v>
      </c>
      <c r="L250" s="44">
        <v>142964.7333333341</v>
      </c>
      <c r="M250" s="198">
        <v>352</v>
      </c>
      <c r="N250" s="17"/>
      <c r="O250" s="9">
        <f t="shared" si="9"/>
        <v>134846162.61070484</v>
      </c>
    </row>
    <row r="251" spans="1:15" ht="12.75">
      <c r="A251" s="2">
        <v>42614</v>
      </c>
      <c r="B251" s="44">
        <v>102319071.86889765</v>
      </c>
      <c r="C251" s="17">
        <v>3194537</v>
      </c>
      <c r="D251" s="17">
        <f>'Load Transfers'!C108</f>
        <v>168585.93775</v>
      </c>
      <c r="E251" s="26">
        <f t="shared" si="8"/>
        <v>105682194.80664764</v>
      </c>
      <c r="F251" s="196">
        <v>14.4</v>
      </c>
      <c r="G251" s="196">
        <v>88.8</v>
      </c>
      <c r="H251" s="34">
        <v>155.9888489090732</v>
      </c>
      <c r="I251" s="9">
        <v>30</v>
      </c>
      <c r="J251" s="17">
        <f>'CDM Activity'!C191</f>
        <v>4976717.379429097</v>
      </c>
      <c r="K251" s="9">
        <v>1</v>
      </c>
      <c r="L251" s="44">
        <v>143090.55000000077</v>
      </c>
      <c r="M251" s="198">
        <v>336</v>
      </c>
      <c r="N251" s="17"/>
      <c r="O251" s="9">
        <f t="shared" si="9"/>
        <v>105086671.3231421</v>
      </c>
    </row>
    <row r="252" spans="1:15" ht="12.75">
      <c r="A252" s="2">
        <v>42644</v>
      </c>
      <c r="B252" s="44">
        <v>88216655.81804955</v>
      </c>
      <c r="C252" s="17">
        <v>3433529</v>
      </c>
      <c r="D252" s="17">
        <f>'Load Transfers'!C109</f>
        <v>168585.93775</v>
      </c>
      <c r="E252" s="26">
        <f t="shared" si="8"/>
        <v>91818770.75579955</v>
      </c>
      <c r="F252" s="196">
        <v>141</v>
      </c>
      <c r="G252" s="196">
        <v>11.8</v>
      </c>
      <c r="H252" s="34">
        <v>156.28275761103998</v>
      </c>
      <c r="I252" s="9">
        <v>31</v>
      </c>
      <c r="J252" s="17">
        <f>'CDM Activity'!C192</f>
        <v>5058944.171209154</v>
      </c>
      <c r="K252" s="9">
        <v>1</v>
      </c>
      <c r="L252" s="44">
        <v>143216.36666666745</v>
      </c>
      <c r="M252" s="198">
        <v>320</v>
      </c>
      <c r="N252" s="17"/>
      <c r="O252" s="9">
        <f t="shared" si="9"/>
        <v>95092726.74827681</v>
      </c>
    </row>
    <row r="253" spans="1:15" ht="12.75">
      <c r="A253" s="2">
        <v>42675</v>
      </c>
      <c r="B253" s="44">
        <v>87354879.96324234</v>
      </c>
      <c r="C253" s="17">
        <v>4171603</v>
      </c>
      <c r="D253" s="17">
        <f>'Load Transfers'!C110</f>
        <v>168585.93775</v>
      </c>
      <c r="E253" s="26">
        <f t="shared" si="8"/>
        <v>91695068.90099233</v>
      </c>
      <c r="F253" s="196">
        <v>270.5</v>
      </c>
      <c r="G253" s="196">
        <v>0</v>
      </c>
      <c r="H253" s="34">
        <v>156.57666631300677</v>
      </c>
      <c r="I253" s="9">
        <v>30</v>
      </c>
      <c r="J253" s="17">
        <f>'CDM Activity'!C193</f>
        <v>5141170.96298921</v>
      </c>
      <c r="K253" s="9">
        <v>1</v>
      </c>
      <c r="L253" s="44">
        <v>143342.18333333413</v>
      </c>
      <c r="M253" s="198">
        <v>352</v>
      </c>
      <c r="N253" s="17"/>
      <c r="O253" s="9">
        <f t="shared" si="9"/>
        <v>93083624.55925786</v>
      </c>
    </row>
    <row r="254" spans="1:15" ht="12.75">
      <c r="A254" s="2">
        <v>42705</v>
      </c>
      <c r="B254" s="44">
        <v>99813967.9136195</v>
      </c>
      <c r="C254" s="17">
        <v>4398490</v>
      </c>
      <c r="D254" s="17">
        <f>'Load Transfers'!C111</f>
        <v>168585.93775</v>
      </c>
      <c r="E254" s="26">
        <f t="shared" si="8"/>
        <v>104381043.8513695</v>
      </c>
      <c r="F254" s="196">
        <v>540.9</v>
      </c>
      <c r="G254" s="196">
        <v>0</v>
      </c>
      <c r="H254" s="34">
        <v>156.87057501497367</v>
      </c>
      <c r="I254" s="9">
        <v>31</v>
      </c>
      <c r="J254" s="17">
        <f>'CDM Activity'!C194</f>
        <v>5223397.754769267</v>
      </c>
      <c r="K254" s="9">
        <v>0</v>
      </c>
      <c r="L254" s="44">
        <v>143468</v>
      </c>
      <c r="M254" s="198">
        <v>320</v>
      </c>
      <c r="N254" s="17"/>
      <c r="O254" s="9">
        <f t="shared" si="9"/>
        <v>107211610.9320749</v>
      </c>
    </row>
    <row r="255" spans="1:15" ht="12.75">
      <c r="A255" s="2">
        <v>42736</v>
      </c>
      <c r="B255" s="44">
        <v>101034776.8375643</v>
      </c>
      <c r="C255" s="17">
        <v>5226762</v>
      </c>
      <c r="D255" s="17">
        <f>'Load Transfers'!C112</f>
        <v>147068.83816666665</v>
      </c>
      <c r="E255" s="26">
        <f aca="true" t="shared" si="10" ref="E255:E266">B255+D255+C255</f>
        <v>106408607.67573097</v>
      </c>
      <c r="F255" s="196">
        <v>550.05</v>
      </c>
      <c r="G255" s="196">
        <v>0</v>
      </c>
      <c r="H255" s="34">
        <v>157.23660635667528</v>
      </c>
      <c r="I255" s="9">
        <v>31</v>
      </c>
      <c r="J255" s="17">
        <f>'CDM Activity'!C195</f>
        <v>5326007.3704719385</v>
      </c>
      <c r="K255" s="9">
        <v>0</v>
      </c>
      <c r="L255" s="44">
        <v>143601.03189275932</v>
      </c>
      <c r="M255" s="198">
        <v>336</v>
      </c>
      <c r="N255" s="17"/>
      <c r="O255" s="9">
        <f aca="true" t="shared" si="11" ref="O255:O266">$S$18+F255*$S$19+G255*$S$20+H255*$S$21+I255*$S$22+J255*$S$23+K255*$S$24+L255*$S$25</f>
        <v>107298825.2223656</v>
      </c>
    </row>
    <row r="256" spans="1:15" ht="12.75">
      <c r="A256" s="2">
        <v>42767</v>
      </c>
      <c r="B256" s="44">
        <v>87554917.15850104</v>
      </c>
      <c r="C256" s="17">
        <v>4231054</v>
      </c>
      <c r="D256" s="17">
        <f>'Load Transfers'!C113</f>
        <v>147068.83816666665</v>
      </c>
      <c r="E256" s="26">
        <f t="shared" si="10"/>
        <v>91933039.99666771</v>
      </c>
      <c r="F256" s="196">
        <v>448.8</v>
      </c>
      <c r="G256" s="196">
        <v>0</v>
      </c>
      <c r="H256" s="34">
        <v>157.6026376983769</v>
      </c>
      <c r="I256" s="9">
        <v>28</v>
      </c>
      <c r="J256" s="17">
        <f>'CDM Activity'!C196</f>
        <v>5428616.98617461</v>
      </c>
      <c r="K256" s="9">
        <v>0</v>
      </c>
      <c r="L256" s="44">
        <v>143734.06378551864</v>
      </c>
      <c r="M256" s="198">
        <v>304</v>
      </c>
      <c r="N256" s="17"/>
      <c r="O256" s="9">
        <f t="shared" si="11"/>
        <v>96603076.5616193</v>
      </c>
    </row>
    <row r="257" spans="1:15" ht="12.75">
      <c r="A257" s="2">
        <v>42795</v>
      </c>
      <c r="B257" s="44">
        <v>95725074.24822214</v>
      </c>
      <c r="C257" s="17">
        <v>4288707</v>
      </c>
      <c r="D257" s="17">
        <f>'Load Transfers'!C114</f>
        <v>147068.83816666665</v>
      </c>
      <c r="E257" s="26">
        <f t="shared" si="10"/>
        <v>100160850.08638881</v>
      </c>
      <c r="F257" s="196">
        <v>528.4</v>
      </c>
      <c r="G257" s="196">
        <v>0</v>
      </c>
      <c r="H257" s="34">
        <v>157.9686690400785</v>
      </c>
      <c r="I257" s="9">
        <v>31</v>
      </c>
      <c r="J257" s="17">
        <f>'CDM Activity'!C197</f>
        <v>5531226.601877282</v>
      </c>
      <c r="K257" s="9">
        <v>1</v>
      </c>
      <c r="L257" s="44">
        <v>143867.09567827795</v>
      </c>
      <c r="M257" s="198">
        <v>368</v>
      </c>
      <c r="N257" s="17"/>
      <c r="O257" s="9">
        <f t="shared" si="11"/>
        <v>101602524.44307351</v>
      </c>
    </row>
    <row r="258" spans="1:15" ht="12.75">
      <c r="A258" s="2">
        <v>42826</v>
      </c>
      <c r="B258" s="44">
        <v>84183717.03408982</v>
      </c>
      <c r="C258" s="17">
        <v>4830410</v>
      </c>
      <c r="D258" s="17">
        <f>'Load Transfers'!C115</f>
        <v>147068.83816666665</v>
      </c>
      <c r="E258" s="26">
        <f t="shared" si="10"/>
        <v>89161195.87225649</v>
      </c>
      <c r="F258" s="196">
        <v>273.05</v>
      </c>
      <c r="G258" s="196">
        <v>0</v>
      </c>
      <c r="H258" s="34">
        <v>158.33470038178012</v>
      </c>
      <c r="I258" s="9">
        <v>30</v>
      </c>
      <c r="J258" s="17">
        <f>'CDM Activity'!C198</f>
        <v>5633836.217579954</v>
      </c>
      <c r="K258" s="9">
        <v>1</v>
      </c>
      <c r="L258" s="44">
        <v>144000.12757103727</v>
      </c>
      <c r="M258" s="198">
        <v>304</v>
      </c>
      <c r="N258" s="17"/>
      <c r="O258" s="9">
        <f t="shared" si="11"/>
        <v>92504533.94876088</v>
      </c>
    </row>
    <row r="259" spans="1:15" ht="12.75">
      <c r="A259" s="2">
        <v>42856</v>
      </c>
      <c r="B259" s="44">
        <v>87638822.38838194</v>
      </c>
      <c r="C259" s="17">
        <v>3963517</v>
      </c>
      <c r="D259" s="17">
        <f>'Load Transfers'!C116</f>
        <v>147068.83816666665</v>
      </c>
      <c r="E259" s="26">
        <f t="shared" si="10"/>
        <v>91749408.22654861</v>
      </c>
      <c r="F259" s="196">
        <v>181.8</v>
      </c>
      <c r="G259" s="196">
        <v>2.8</v>
      </c>
      <c r="H259" s="34">
        <v>158.70073172348174</v>
      </c>
      <c r="I259" s="9">
        <v>31</v>
      </c>
      <c r="J259" s="17">
        <f>'CDM Activity'!C199</f>
        <v>5736445.833282626</v>
      </c>
      <c r="K259" s="9">
        <v>1</v>
      </c>
      <c r="L259" s="44">
        <v>144133.1594637966</v>
      </c>
      <c r="M259" s="198">
        <v>352</v>
      </c>
      <c r="N259" s="17"/>
      <c r="O259" s="9">
        <f t="shared" si="11"/>
        <v>93388254.03335549</v>
      </c>
    </row>
    <row r="260" spans="1:15" ht="12.75">
      <c r="A260" s="2">
        <v>42887</v>
      </c>
      <c r="B260" s="44">
        <v>97110012.74811386</v>
      </c>
      <c r="C260" s="17">
        <v>4016690</v>
      </c>
      <c r="D260" s="17">
        <f>'Load Transfers'!C117</f>
        <v>147068.83816666665</v>
      </c>
      <c r="E260" s="26">
        <f t="shared" si="10"/>
        <v>101273771.58628052</v>
      </c>
      <c r="F260" s="196">
        <v>27</v>
      </c>
      <c r="G260" s="196">
        <v>62.8</v>
      </c>
      <c r="H260" s="34">
        <v>159.06676306518335</v>
      </c>
      <c r="I260" s="9">
        <v>30</v>
      </c>
      <c r="J260" s="17">
        <f>'CDM Activity'!C200</f>
        <v>5839055.448985298</v>
      </c>
      <c r="K260" s="9">
        <v>0</v>
      </c>
      <c r="L260" s="44">
        <v>144266.1913565559</v>
      </c>
      <c r="M260" s="198">
        <v>352</v>
      </c>
      <c r="N260" s="17"/>
      <c r="O260" s="9">
        <f t="shared" si="11"/>
        <v>103883725.6539636</v>
      </c>
    </row>
    <row r="261" spans="1:15" ht="12.75">
      <c r="A261" s="2">
        <v>42917</v>
      </c>
      <c r="B261" s="44">
        <v>113372511.82654864</v>
      </c>
      <c r="C261" s="17">
        <v>4206468</v>
      </c>
      <c r="D261" s="17">
        <f>'Load Transfers'!C118</f>
        <v>147068.83816666665</v>
      </c>
      <c r="E261" s="26">
        <f t="shared" si="10"/>
        <v>117726048.6647153</v>
      </c>
      <c r="F261" s="196">
        <v>0</v>
      </c>
      <c r="G261" s="196">
        <v>111.6</v>
      </c>
      <c r="H261" s="34">
        <v>159.43279440688497</v>
      </c>
      <c r="I261" s="9">
        <v>31</v>
      </c>
      <c r="J261" s="17">
        <f>'CDM Activity'!C201</f>
        <v>5941665.06468797</v>
      </c>
      <c r="K261" s="9">
        <v>0</v>
      </c>
      <c r="L261" s="44">
        <v>144399.22324931523</v>
      </c>
      <c r="M261" s="198">
        <v>320</v>
      </c>
      <c r="N261" s="17"/>
      <c r="O261" s="9">
        <f t="shared" si="11"/>
        <v>115725018.33349475</v>
      </c>
    </row>
    <row r="262" spans="1:15" ht="12.75">
      <c r="A262" s="2">
        <v>42948</v>
      </c>
      <c r="B262" s="44">
        <v>109245844.29429337</v>
      </c>
      <c r="C262" s="17">
        <v>3234481</v>
      </c>
      <c r="D262" s="17">
        <f>'Load Transfers'!C119</f>
        <v>147068.83816666665</v>
      </c>
      <c r="E262" s="26">
        <f t="shared" si="10"/>
        <v>112627394.13246004</v>
      </c>
      <c r="F262" s="196">
        <v>0</v>
      </c>
      <c r="G262" s="196">
        <v>102</v>
      </c>
      <c r="H262" s="34">
        <v>159.79882574858658</v>
      </c>
      <c r="I262" s="9">
        <v>31</v>
      </c>
      <c r="J262" s="17">
        <f>'CDM Activity'!C202</f>
        <v>6044274.680390642</v>
      </c>
      <c r="K262" s="9">
        <v>0</v>
      </c>
      <c r="L262" s="44">
        <v>144532.25514207454</v>
      </c>
      <c r="M262" s="198">
        <v>352</v>
      </c>
      <c r="N262" s="17"/>
      <c r="O262" s="9">
        <f t="shared" si="11"/>
        <v>113630001.7183108</v>
      </c>
    </row>
    <row r="263" spans="1:15" ht="12.75">
      <c r="A263" s="2">
        <v>42979</v>
      </c>
      <c r="B263" s="44">
        <v>99155311.0451324</v>
      </c>
      <c r="C263" s="17">
        <v>3668563</v>
      </c>
      <c r="D263" s="17">
        <f>'Load Transfers'!C120</f>
        <v>147068.83816666665</v>
      </c>
      <c r="E263" s="26">
        <f t="shared" si="10"/>
        <v>102970942.88329907</v>
      </c>
      <c r="F263" s="196">
        <v>25.1</v>
      </c>
      <c r="G263" s="196">
        <v>59.5</v>
      </c>
      <c r="H263" s="34">
        <v>160.1648570902882</v>
      </c>
      <c r="I263" s="9">
        <v>30</v>
      </c>
      <c r="J263" s="17">
        <f>'CDM Activity'!C203</f>
        <v>6146884.296093314</v>
      </c>
      <c r="K263" s="9">
        <v>1</v>
      </c>
      <c r="L263" s="44">
        <v>144665.28703483386</v>
      </c>
      <c r="M263" s="198">
        <v>320</v>
      </c>
      <c r="N263" s="17"/>
      <c r="O263" s="9">
        <f t="shared" si="11"/>
        <v>97861995.95170107</v>
      </c>
    </row>
    <row r="264" spans="1:15" ht="12.75">
      <c r="A264" s="2">
        <v>43009</v>
      </c>
      <c r="B264" s="44">
        <v>87841861.82364462</v>
      </c>
      <c r="C264" s="17">
        <v>2902664</v>
      </c>
      <c r="D264" s="17">
        <f>'Load Transfers'!C121</f>
        <v>147068.83816666665</v>
      </c>
      <c r="E264" s="26">
        <f t="shared" si="10"/>
        <v>90891594.66181129</v>
      </c>
      <c r="F264" s="196">
        <v>93.8</v>
      </c>
      <c r="G264" s="196">
        <v>14.9</v>
      </c>
      <c r="H264" s="34">
        <v>160.5308884319898</v>
      </c>
      <c r="I264" s="9">
        <v>31</v>
      </c>
      <c r="J264" s="17">
        <f>'CDM Activity'!C204</f>
        <v>6249493.911795986</v>
      </c>
      <c r="K264" s="9">
        <v>1</v>
      </c>
      <c r="L264" s="44">
        <v>144798.31892759318</v>
      </c>
      <c r="M264" s="198">
        <v>336</v>
      </c>
      <c r="N264" s="17"/>
      <c r="O264" s="9">
        <f t="shared" si="11"/>
        <v>93007611.06865017</v>
      </c>
    </row>
    <row r="265" spans="1:15" ht="12.75">
      <c r="A265" s="2">
        <v>43040</v>
      </c>
      <c r="B265" s="44">
        <v>94733237.96802472</v>
      </c>
      <c r="C265" s="17">
        <v>4717832</v>
      </c>
      <c r="D265" s="17">
        <f>'Load Transfers'!C122</f>
        <v>147068.83816666665</v>
      </c>
      <c r="E265" s="26">
        <f t="shared" si="10"/>
        <v>99598138.80619138</v>
      </c>
      <c r="F265" s="196">
        <v>381.4</v>
      </c>
      <c r="G265" s="196">
        <v>0</v>
      </c>
      <c r="H265" s="34">
        <v>160.89691977369142</v>
      </c>
      <c r="I265" s="9">
        <v>30</v>
      </c>
      <c r="J265" s="17">
        <f>'CDM Activity'!C205</f>
        <v>6352103.527498658</v>
      </c>
      <c r="K265" s="9">
        <v>1</v>
      </c>
      <c r="L265" s="44">
        <v>144931.3508203525</v>
      </c>
      <c r="M265" s="198">
        <v>352</v>
      </c>
      <c r="N265" s="17"/>
      <c r="O265" s="9">
        <f t="shared" si="11"/>
        <v>94202764.11861263</v>
      </c>
    </row>
    <row r="266" spans="1:15" ht="12.75">
      <c r="A266" s="2">
        <v>43070</v>
      </c>
      <c r="B266" s="44">
        <v>103319503.45660618</v>
      </c>
      <c r="C266" s="17">
        <v>4233651</v>
      </c>
      <c r="D266" s="17">
        <f>'Load Transfers'!C123</f>
        <v>147068.83816666665</v>
      </c>
      <c r="E266" s="26">
        <f t="shared" si="10"/>
        <v>107700223.29477285</v>
      </c>
      <c r="F266" s="196">
        <v>617.2</v>
      </c>
      <c r="G266" s="196">
        <v>0</v>
      </c>
      <c r="H266" s="34">
        <v>161.26295111539292</v>
      </c>
      <c r="I266" s="9">
        <v>31</v>
      </c>
      <c r="J266" s="17">
        <f>'CDM Activity'!C206</f>
        <v>6454713.14320133</v>
      </c>
      <c r="K266" s="9">
        <v>0</v>
      </c>
      <c r="L266" s="44">
        <v>145064.38271311182</v>
      </c>
      <c r="M266" s="198">
        <v>304</v>
      </c>
      <c r="N266" s="17"/>
      <c r="O266" s="9">
        <f t="shared" si="11"/>
        <v>107435632.53707822</v>
      </c>
    </row>
    <row r="267" spans="1:15" ht="12.75">
      <c r="A267" s="2">
        <v>43101</v>
      </c>
      <c r="B267" s="44">
        <v>105861988.52194583</v>
      </c>
      <c r="C267" s="17">
        <v>5144977</v>
      </c>
      <c r="D267" s="17">
        <f>'Load Transfers'!C124</f>
        <v>127001.41500000002</v>
      </c>
      <c r="E267" s="26">
        <f aca="true" t="shared" si="12" ref="E267:E278">B267+D267+C267</f>
        <v>111133966.93694584</v>
      </c>
      <c r="F267" s="196">
        <v>647.4</v>
      </c>
      <c r="G267" s="196">
        <v>0</v>
      </c>
      <c r="H267" s="34">
        <v>161.55859985910448</v>
      </c>
      <c r="I267" s="9">
        <v>31</v>
      </c>
      <c r="J267" s="17">
        <f>'CDM Activity'!C207</f>
        <v>6495014.882030877</v>
      </c>
      <c r="K267" s="9">
        <v>0</v>
      </c>
      <c r="L267" s="44">
        <v>145197.41460587113</v>
      </c>
      <c r="M267" s="198">
        <v>352</v>
      </c>
      <c r="N267" s="17"/>
      <c r="O267" s="9">
        <f aca="true" t="shared" si="13" ref="O267:O278">$S$18+F267*$S$19+G267*$S$20+H267*$S$21+I267*$S$22+J267*$S$23+K267*$S$24+L267*$S$25</f>
        <v>108266412.9271847</v>
      </c>
    </row>
    <row r="268" spans="1:15" ht="12.75">
      <c r="A268" s="2">
        <v>43132</v>
      </c>
      <c r="B268" s="44">
        <v>90261757.0858013</v>
      </c>
      <c r="C268" s="17">
        <v>5663956.47</v>
      </c>
      <c r="D268" s="17">
        <f>'Load Transfers'!C125</f>
        <v>127001.41500000002</v>
      </c>
      <c r="E268" s="26">
        <f t="shared" si="12"/>
        <v>96052714.97080131</v>
      </c>
      <c r="F268" s="196">
        <v>498.7</v>
      </c>
      <c r="G268" s="196">
        <v>0</v>
      </c>
      <c r="H268" s="34">
        <v>161.85424860281603</v>
      </c>
      <c r="I268" s="9">
        <v>28</v>
      </c>
      <c r="J268" s="17">
        <f>'CDM Activity'!C208</f>
        <v>6535316.620860425</v>
      </c>
      <c r="K268" s="9">
        <v>0</v>
      </c>
      <c r="L268" s="44">
        <v>145330.44649863045</v>
      </c>
      <c r="M268" s="198">
        <v>304</v>
      </c>
      <c r="N268" s="17"/>
      <c r="O268" s="9">
        <f t="shared" si="13"/>
        <v>96632300.01771091</v>
      </c>
    </row>
    <row r="269" spans="1:15" ht="12.75">
      <c r="A269" s="2">
        <v>43160</v>
      </c>
      <c r="B269" s="44">
        <v>95800838.91469072</v>
      </c>
      <c r="C269" s="17">
        <v>4747154.51</v>
      </c>
      <c r="D269" s="17">
        <f>'Load Transfers'!C126</f>
        <v>127001.41500000002</v>
      </c>
      <c r="E269" s="26">
        <f t="shared" si="12"/>
        <v>100674994.83969073</v>
      </c>
      <c r="F269" s="196">
        <v>518.8</v>
      </c>
      <c r="G269" s="196">
        <v>0</v>
      </c>
      <c r="H269" s="34">
        <v>162.14989734652758</v>
      </c>
      <c r="I269" s="9">
        <v>31</v>
      </c>
      <c r="J269" s="17">
        <f>'CDM Activity'!C209</f>
        <v>6575618.359689972</v>
      </c>
      <c r="K269" s="9">
        <v>1</v>
      </c>
      <c r="L269" s="44">
        <v>145463.47839138977</v>
      </c>
      <c r="M269" s="198">
        <v>336</v>
      </c>
      <c r="N269" s="17"/>
      <c r="O269" s="9">
        <f t="shared" si="13"/>
        <v>100397511.23146032</v>
      </c>
    </row>
    <row r="270" spans="1:15" ht="12.75">
      <c r="A270" s="2">
        <v>43191</v>
      </c>
      <c r="B270" s="44">
        <v>89637358.73361571</v>
      </c>
      <c r="C270" s="17">
        <v>5107019</v>
      </c>
      <c r="D270" s="17">
        <f>'Load Transfers'!C127</f>
        <v>127001.41500000002</v>
      </c>
      <c r="E270" s="26">
        <f t="shared" si="12"/>
        <v>94871379.14861572</v>
      </c>
      <c r="F270" s="196">
        <v>434.2</v>
      </c>
      <c r="G270" s="196">
        <v>0</v>
      </c>
      <c r="H270" s="34">
        <v>162.44554609023913</v>
      </c>
      <c r="I270" s="9">
        <v>30</v>
      </c>
      <c r="J270" s="17">
        <f>'CDM Activity'!C210</f>
        <v>6615920.09851952</v>
      </c>
      <c r="K270" s="9">
        <v>1</v>
      </c>
      <c r="L270" s="44">
        <v>145596.5102841491</v>
      </c>
      <c r="M270" s="198">
        <v>336</v>
      </c>
      <c r="N270" s="17"/>
      <c r="O270" s="9">
        <f t="shared" si="13"/>
        <v>95718779.87604287</v>
      </c>
    </row>
    <row r="271" spans="1:15" ht="12.75">
      <c r="A271" s="2">
        <v>43221</v>
      </c>
      <c r="B271" s="44">
        <v>91603538.41426665</v>
      </c>
      <c r="C271" s="17">
        <v>4677507</v>
      </c>
      <c r="D271" s="17">
        <f>'Load Transfers'!C128</f>
        <v>127001.41500000002</v>
      </c>
      <c r="E271" s="26">
        <f t="shared" si="12"/>
        <v>96408046.82926665</v>
      </c>
      <c r="F271" s="196">
        <v>118.5</v>
      </c>
      <c r="G271" s="196">
        <v>15.35</v>
      </c>
      <c r="H271" s="34">
        <v>162.7411948339507</v>
      </c>
      <c r="I271" s="9">
        <v>31</v>
      </c>
      <c r="J271" s="17">
        <f>'CDM Activity'!C211</f>
        <v>6656221.837349067</v>
      </c>
      <c r="K271" s="9">
        <v>1</v>
      </c>
      <c r="L271" s="44">
        <v>145729.5421769084</v>
      </c>
      <c r="M271" s="198">
        <v>352</v>
      </c>
      <c r="N271" s="17"/>
      <c r="O271" s="9">
        <f t="shared" si="13"/>
        <v>93877233.39845194</v>
      </c>
    </row>
    <row r="272" spans="1:15" ht="12.75">
      <c r="A272" s="2">
        <v>43252</v>
      </c>
      <c r="B272" s="44">
        <v>100277595.17052133</v>
      </c>
      <c r="C272" s="17">
        <v>4696653</v>
      </c>
      <c r="D272" s="17">
        <f>'Load Transfers'!C129</f>
        <v>127001.41500000002</v>
      </c>
      <c r="E272" s="26">
        <f t="shared" si="12"/>
        <v>105101249.58552134</v>
      </c>
      <c r="F272" s="196">
        <v>31.9</v>
      </c>
      <c r="G272" s="196">
        <v>47.6</v>
      </c>
      <c r="H272" s="34">
        <v>163.03684357766224</v>
      </c>
      <c r="I272" s="9">
        <v>30</v>
      </c>
      <c r="J272" s="17">
        <f>'CDM Activity'!C212</f>
        <v>6696523.576178615</v>
      </c>
      <c r="K272" s="9">
        <v>0</v>
      </c>
      <c r="L272" s="44">
        <v>145862.57406966772</v>
      </c>
      <c r="M272" s="198">
        <v>336</v>
      </c>
      <c r="N272" s="17"/>
      <c r="O272" s="9">
        <f t="shared" si="13"/>
        <v>100615395.08503313</v>
      </c>
    </row>
    <row r="273" spans="1:15" ht="12.75">
      <c r="A273" s="2">
        <v>43282</v>
      </c>
      <c r="B273" s="44">
        <v>127416836.69952002</v>
      </c>
      <c r="C273" s="17">
        <v>3701265.84</v>
      </c>
      <c r="D273" s="17">
        <f>'Load Transfers'!C130</f>
        <v>127001.41500000002</v>
      </c>
      <c r="E273" s="26">
        <f t="shared" si="12"/>
        <v>131245103.95452003</v>
      </c>
      <c r="F273" s="196">
        <v>0</v>
      </c>
      <c r="G273" s="196">
        <v>184</v>
      </c>
      <c r="H273" s="34">
        <v>163.3324923213738</v>
      </c>
      <c r="I273" s="9">
        <v>31</v>
      </c>
      <c r="J273" s="17">
        <f>'CDM Activity'!C213</f>
        <v>6736825.3150081625</v>
      </c>
      <c r="K273" s="9">
        <v>0</v>
      </c>
      <c r="L273" s="44">
        <v>145995.60596242704</v>
      </c>
      <c r="M273" s="198">
        <v>336</v>
      </c>
      <c r="N273" s="9"/>
      <c r="O273" s="9">
        <f t="shared" si="13"/>
        <v>130425858.83912265</v>
      </c>
    </row>
    <row r="274" spans="1:15" ht="12.75">
      <c r="A274" s="2">
        <v>43313</v>
      </c>
      <c r="B274" s="44">
        <v>123940434.19113767</v>
      </c>
      <c r="C274" s="17">
        <v>4212974.78</v>
      </c>
      <c r="D274" s="17">
        <f>'Load Transfers'!C131</f>
        <v>127001.41500000002</v>
      </c>
      <c r="E274" s="26">
        <f t="shared" si="12"/>
        <v>128280410.38613768</v>
      </c>
      <c r="F274" s="196">
        <v>0</v>
      </c>
      <c r="G274" s="196">
        <v>183.7</v>
      </c>
      <c r="H274" s="34">
        <v>163.62814106508534</v>
      </c>
      <c r="I274" s="9">
        <v>31</v>
      </c>
      <c r="J274" s="17">
        <f>'CDM Activity'!C214</f>
        <v>6777127.05383771</v>
      </c>
      <c r="K274" s="9">
        <v>0</v>
      </c>
      <c r="L274" s="44">
        <v>146128.63785518636</v>
      </c>
      <c r="M274" s="198">
        <v>352</v>
      </c>
      <c r="N274" s="9"/>
      <c r="O274" s="9">
        <f t="shared" si="13"/>
        <v>130453942.76792982</v>
      </c>
    </row>
    <row r="275" spans="1:15" ht="12.75">
      <c r="A275" s="2">
        <v>43344</v>
      </c>
      <c r="B275" s="44">
        <v>103744387.20593412</v>
      </c>
      <c r="C275" s="17">
        <v>4881085.09</v>
      </c>
      <c r="D275" s="17">
        <f>'Load Transfers'!C132</f>
        <v>127001.41500000002</v>
      </c>
      <c r="E275" s="26">
        <f t="shared" si="12"/>
        <v>108752473.71093413</v>
      </c>
      <c r="F275" s="196">
        <v>23.9</v>
      </c>
      <c r="G275" s="196">
        <v>78.7</v>
      </c>
      <c r="H275" s="34">
        <v>163.9237898087969</v>
      </c>
      <c r="I275" s="9">
        <v>30</v>
      </c>
      <c r="J275" s="17">
        <f>'CDM Activity'!C215</f>
        <v>6817428.792667258</v>
      </c>
      <c r="K275" s="9">
        <v>1</v>
      </c>
      <c r="L275" s="44">
        <v>146261.66974794568</v>
      </c>
      <c r="M275" s="198">
        <v>304</v>
      </c>
      <c r="N275" s="9"/>
      <c r="O275" s="9">
        <f t="shared" si="13"/>
        <v>102138623.4350182</v>
      </c>
    </row>
    <row r="276" spans="1:15" ht="12.75">
      <c r="A276" s="2">
        <v>43374</v>
      </c>
      <c r="B276" s="44">
        <v>90882510.90175693</v>
      </c>
      <c r="C276" s="17">
        <v>2863107.32</v>
      </c>
      <c r="D276" s="17">
        <f>'Load Transfers'!C133</f>
        <v>127001.41500000002</v>
      </c>
      <c r="E276" s="26">
        <f t="shared" si="12"/>
        <v>93872619.63675693</v>
      </c>
      <c r="F276" s="196">
        <v>204.65</v>
      </c>
      <c r="G276" s="196">
        <v>9.8</v>
      </c>
      <c r="H276" s="34">
        <v>164.21943855250845</v>
      </c>
      <c r="I276" s="9">
        <v>31</v>
      </c>
      <c r="J276" s="17">
        <f>'CDM Activity'!C216</f>
        <v>6857730.531496805</v>
      </c>
      <c r="K276" s="9">
        <v>1</v>
      </c>
      <c r="L276" s="44">
        <v>146394.701640705</v>
      </c>
      <c r="M276" s="198">
        <v>352</v>
      </c>
      <c r="N276" s="9"/>
      <c r="O276" s="9">
        <f t="shared" si="13"/>
        <v>95307109.24747424</v>
      </c>
    </row>
    <row r="277" spans="1:15" ht="12.75">
      <c r="A277" s="2">
        <v>43405</v>
      </c>
      <c r="B277" s="44">
        <v>94485402.98376131</v>
      </c>
      <c r="C277" s="17">
        <v>4558013.47</v>
      </c>
      <c r="D277" s="17">
        <f>'Load Transfers'!C134</f>
        <v>127001.41500000002</v>
      </c>
      <c r="E277" s="26">
        <f t="shared" si="12"/>
        <v>99170417.86876132</v>
      </c>
      <c r="F277" s="196">
        <v>434.3</v>
      </c>
      <c r="G277" s="196">
        <v>0</v>
      </c>
      <c r="H277" s="34">
        <v>164.51508729622</v>
      </c>
      <c r="I277" s="9">
        <v>30</v>
      </c>
      <c r="J277" s="17">
        <f>'CDM Activity'!C217</f>
        <v>6898032.270326353</v>
      </c>
      <c r="K277" s="9">
        <v>1</v>
      </c>
      <c r="L277" s="44">
        <v>146527.7335334643</v>
      </c>
      <c r="M277" s="198">
        <v>352</v>
      </c>
      <c r="N277" s="9"/>
      <c r="O277" s="9">
        <f t="shared" si="13"/>
        <v>96346039.94040574</v>
      </c>
    </row>
    <row r="278" spans="1:15" ht="12.75">
      <c r="A278" s="2">
        <v>43435</v>
      </c>
      <c r="B278" s="44">
        <v>100847761.88645045</v>
      </c>
      <c r="C278" s="17">
        <v>4284365.37</v>
      </c>
      <c r="D278" s="17">
        <f>'Load Transfers'!C135</f>
        <v>127001.41500000002</v>
      </c>
      <c r="E278" s="26">
        <f t="shared" si="12"/>
        <v>105259128.67145047</v>
      </c>
      <c r="F278" s="196">
        <v>500.8</v>
      </c>
      <c r="G278" s="196">
        <v>0</v>
      </c>
      <c r="H278" s="34">
        <v>164.81073603993158</v>
      </c>
      <c r="I278" s="9">
        <v>31</v>
      </c>
      <c r="J278" s="17">
        <f>'CDM Activity'!C218</f>
        <v>6938334.0091559</v>
      </c>
      <c r="K278" s="9">
        <v>0</v>
      </c>
      <c r="L278" s="44">
        <v>146660.76542622363</v>
      </c>
      <c r="M278" s="198">
        <v>304</v>
      </c>
      <c r="N278" s="9"/>
      <c r="O278" s="9">
        <f t="shared" si="13"/>
        <v>105648672.38795403</v>
      </c>
    </row>
    <row r="279" spans="1:15" ht="12.75">
      <c r="A279" s="2">
        <v>43466</v>
      </c>
      <c r="B279" s="44">
        <v>107250431.60488881</v>
      </c>
      <c r="C279" s="17">
        <v>4077383.68</v>
      </c>
      <c r="D279" s="17">
        <f>'Load Transfers'!C136</f>
        <v>127001.41500000002</v>
      </c>
      <c r="E279" s="26">
        <f aca="true" t="shared" si="14" ref="E279:E290">B279+D279+C279</f>
        <v>111454816.69988883</v>
      </c>
      <c r="F279" s="196">
        <v>663.4</v>
      </c>
      <c r="G279" s="196">
        <v>0</v>
      </c>
      <c r="H279" s="34">
        <v>165.00301523197817</v>
      </c>
      <c r="I279" s="9">
        <v>31</v>
      </c>
      <c r="J279" s="17">
        <f>'CDM Activity'!C219</f>
        <v>6944995.997840201</v>
      </c>
      <c r="K279" s="9">
        <v>0</v>
      </c>
      <c r="L279" s="44">
        <v>146793.79731898295</v>
      </c>
      <c r="M279" s="198">
        <v>352</v>
      </c>
      <c r="N279" s="9"/>
      <c r="O279" s="9">
        <f aca="true" t="shared" si="15" ref="O279:O290">$S$18+F279*$S$19+G279*$S$20+H279*$S$21+I279*$S$22+J279*$S$23+K279*$S$24+L279*$S$25</f>
        <v>109823678.85901794</v>
      </c>
    </row>
    <row r="280" spans="1:15" ht="12.75">
      <c r="A280" s="2">
        <v>43497</v>
      </c>
      <c r="B280" s="44">
        <v>95290141.92883056</v>
      </c>
      <c r="C280" s="17">
        <v>5524653.15</v>
      </c>
      <c r="D280" s="17">
        <f>'Load Transfers'!C137</f>
        <v>127001.41500000002</v>
      </c>
      <c r="E280" s="26">
        <f t="shared" si="14"/>
        <v>100941796.49383058</v>
      </c>
      <c r="F280" s="196">
        <v>548.3</v>
      </c>
      <c r="G280" s="196">
        <v>0</v>
      </c>
      <c r="H280" s="34">
        <v>165.19529442402475</v>
      </c>
      <c r="I280" s="9">
        <v>28</v>
      </c>
      <c r="J280" s="17">
        <f>'CDM Activity'!C220</f>
        <v>6951657.986524501</v>
      </c>
      <c r="K280" s="9">
        <v>0</v>
      </c>
      <c r="L280" s="44">
        <v>146926.82921174227</v>
      </c>
      <c r="M280" s="198">
        <v>304</v>
      </c>
      <c r="N280" s="9"/>
      <c r="O280" s="9">
        <f t="shared" si="15"/>
        <v>99107883.73216462</v>
      </c>
    </row>
    <row r="281" spans="1:15" ht="12.75">
      <c r="A281" s="2">
        <v>43525</v>
      </c>
      <c r="B281" s="44">
        <v>99265114.15367134</v>
      </c>
      <c r="C281" s="17">
        <v>4694005.77</v>
      </c>
      <c r="D281" s="17">
        <f>'Load Transfers'!C138</f>
        <v>127001.41500000002</v>
      </c>
      <c r="E281" s="26">
        <f t="shared" si="14"/>
        <v>104086121.33867134</v>
      </c>
      <c r="F281" s="196">
        <v>536.4</v>
      </c>
      <c r="G281" s="196">
        <v>0</v>
      </c>
      <c r="H281" s="34">
        <v>165.38757361607134</v>
      </c>
      <c r="I281" s="9">
        <v>31</v>
      </c>
      <c r="J281" s="17">
        <f>'CDM Activity'!C221</f>
        <v>6958319.975208801</v>
      </c>
      <c r="K281" s="9">
        <v>1</v>
      </c>
      <c r="L281" s="44">
        <v>147059.8611045016</v>
      </c>
      <c r="M281" s="198">
        <v>336</v>
      </c>
      <c r="N281" s="9"/>
      <c r="O281" s="9">
        <f t="shared" si="15"/>
        <v>102180688.1903674</v>
      </c>
    </row>
    <row r="282" spans="1:15" ht="12.75">
      <c r="A282" s="2">
        <v>43556</v>
      </c>
      <c r="B282" s="44">
        <v>87651060.88838749</v>
      </c>
      <c r="C282" s="17">
        <v>5249455.16</v>
      </c>
      <c r="D282" s="17">
        <f>'Load Transfers'!C139</f>
        <v>127001.41500000002</v>
      </c>
      <c r="E282" s="26">
        <f t="shared" si="14"/>
        <v>93027517.46338749</v>
      </c>
      <c r="F282" s="196">
        <v>345.9</v>
      </c>
      <c r="G282" s="196">
        <v>0</v>
      </c>
      <c r="H282" s="34">
        <v>165.57985280811792</v>
      </c>
      <c r="I282" s="9">
        <v>30</v>
      </c>
      <c r="J282" s="17">
        <f>'CDM Activity'!C222</f>
        <v>6964981.963893102</v>
      </c>
      <c r="K282" s="9">
        <v>1</v>
      </c>
      <c r="L282" s="44">
        <v>147192.8929972609</v>
      </c>
      <c r="M282" s="198">
        <v>336</v>
      </c>
      <c r="N282" s="9"/>
      <c r="O282" s="9">
        <f t="shared" si="15"/>
        <v>94995029.60119386</v>
      </c>
    </row>
    <row r="283" spans="1:15" ht="12.75">
      <c r="A283" s="2">
        <v>43586</v>
      </c>
      <c r="B283" s="44">
        <v>88332579.01454002</v>
      </c>
      <c r="C283" s="17">
        <v>4884426.58</v>
      </c>
      <c r="D283" s="17">
        <f>'Load Transfers'!C140</f>
        <v>127001.41500000002</v>
      </c>
      <c r="E283" s="26">
        <f t="shared" si="14"/>
        <v>93344007.00954002</v>
      </c>
      <c r="F283" s="196">
        <v>226.5</v>
      </c>
      <c r="G283" s="196">
        <v>0</v>
      </c>
      <c r="H283" s="34">
        <v>165.7721320001645</v>
      </c>
      <c r="I283" s="9">
        <v>31</v>
      </c>
      <c r="J283" s="17">
        <f>'CDM Activity'!C223</f>
        <v>6971643.952577402</v>
      </c>
      <c r="K283" s="9">
        <v>1</v>
      </c>
      <c r="L283" s="44">
        <v>147325.92489002022</v>
      </c>
      <c r="M283" s="198">
        <v>352</v>
      </c>
      <c r="N283" s="9"/>
      <c r="O283" s="9">
        <f t="shared" si="15"/>
        <v>94936628.6600884</v>
      </c>
    </row>
    <row r="284" spans="1:15" ht="12.75">
      <c r="A284" s="2">
        <v>43617</v>
      </c>
      <c r="B284" s="44">
        <v>96231591.27341485</v>
      </c>
      <c r="C284" s="17">
        <v>3660121.9</v>
      </c>
      <c r="D284" s="17">
        <f>'Load Transfers'!C141</f>
        <v>127001.41500000002</v>
      </c>
      <c r="E284" s="26">
        <f t="shared" si="14"/>
        <v>100018714.58841486</v>
      </c>
      <c r="F284" s="196">
        <v>63.1</v>
      </c>
      <c r="G284" s="196">
        <v>30.3</v>
      </c>
      <c r="H284" s="34">
        <v>165.9644111922111</v>
      </c>
      <c r="I284" s="9">
        <v>30</v>
      </c>
      <c r="J284" s="17">
        <f>'CDM Activity'!C224</f>
        <v>6978305.941261702</v>
      </c>
      <c r="K284" s="9">
        <v>0</v>
      </c>
      <c r="L284" s="44">
        <v>147458.95678277954</v>
      </c>
      <c r="M284" s="198">
        <v>320</v>
      </c>
      <c r="N284" s="9"/>
      <c r="O284" s="9">
        <f t="shared" si="15"/>
        <v>99484746.34164551</v>
      </c>
    </row>
    <row r="285" spans="1:15" ht="12.75">
      <c r="A285" s="2">
        <v>43647</v>
      </c>
      <c r="B285" s="44">
        <v>127560089.88046058</v>
      </c>
      <c r="C285" s="17">
        <v>3532409.07</v>
      </c>
      <c r="D285" s="17">
        <f>'Load Transfers'!C142</f>
        <v>127001.41500000002</v>
      </c>
      <c r="E285" s="26">
        <f t="shared" si="14"/>
        <v>131219500.36546057</v>
      </c>
      <c r="F285" s="196">
        <v>0</v>
      </c>
      <c r="G285" s="196">
        <v>155.9</v>
      </c>
      <c r="H285" s="34">
        <v>166.15669038425767</v>
      </c>
      <c r="I285" s="9">
        <v>31</v>
      </c>
      <c r="J285" s="17">
        <f>'CDM Activity'!C225</f>
        <v>6984967.929946003</v>
      </c>
      <c r="K285" s="9">
        <v>0</v>
      </c>
      <c r="L285" s="44">
        <v>147591.98867553886</v>
      </c>
      <c r="M285" s="198">
        <v>352</v>
      </c>
      <c r="N285" s="9"/>
      <c r="O285" s="9">
        <f t="shared" si="15"/>
        <v>126420186.48837842</v>
      </c>
    </row>
    <row r="286" spans="1:15" ht="12.75">
      <c r="A286" s="2">
        <v>43678</v>
      </c>
      <c r="B286" s="44">
        <v>116518627.73091699</v>
      </c>
      <c r="C286" s="17">
        <v>3879981.33</v>
      </c>
      <c r="D286" s="17">
        <f>'Load Transfers'!C143</f>
        <v>127001.41500000002</v>
      </c>
      <c r="E286" s="26">
        <f t="shared" si="14"/>
        <v>120525610.475917</v>
      </c>
      <c r="F286" s="196">
        <v>0.9</v>
      </c>
      <c r="G286" s="196">
        <v>112.6</v>
      </c>
      <c r="H286" s="34">
        <v>166.34896957630426</v>
      </c>
      <c r="I286" s="9">
        <v>31</v>
      </c>
      <c r="J286" s="17">
        <f>'CDM Activity'!C226</f>
        <v>6991629.918630303</v>
      </c>
      <c r="K286" s="9">
        <v>0</v>
      </c>
      <c r="L286" s="44">
        <v>147725.02056829818</v>
      </c>
      <c r="M286" s="198">
        <v>336</v>
      </c>
      <c r="N286" s="9"/>
      <c r="O286" s="9">
        <f t="shared" si="15"/>
        <v>117795424.55708107</v>
      </c>
    </row>
    <row r="287" spans="1:15" ht="12.75">
      <c r="A287" s="2">
        <v>43709</v>
      </c>
      <c r="B287" s="44">
        <v>96264117.2688758</v>
      </c>
      <c r="C287" s="17">
        <v>3742111.27</v>
      </c>
      <c r="D287" s="17">
        <f>'Load Transfers'!C144</f>
        <v>127001.41500000002</v>
      </c>
      <c r="E287" s="26">
        <f t="shared" si="14"/>
        <v>100133229.9538758</v>
      </c>
      <c r="F287" s="196">
        <v>12.7</v>
      </c>
      <c r="G287" s="196">
        <v>47.6</v>
      </c>
      <c r="H287" s="34">
        <v>166.54124876835084</v>
      </c>
      <c r="I287" s="9">
        <v>30</v>
      </c>
      <c r="J287" s="17">
        <f>'CDM Activity'!C227</f>
        <v>6998291.907314603</v>
      </c>
      <c r="K287" s="9">
        <v>1</v>
      </c>
      <c r="L287" s="44">
        <v>147858.0524610575</v>
      </c>
      <c r="M287" s="198">
        <v>320</v>
      </c>
      <c r="N287" s="9"/>
      <c r="O287" s="9">
        <f t="shared" si="15"/>
        <v>97432835.55381058</v>
      </c>
    </row>
    <row r="288" spans="1:15" ht="12.75">
      <c r="A288" s="2">
        <v>43739</v>
      </c>
      <c r="B288" s="44">
        <v>88992298.81591934</v>
      </c>
      <c r="C288" s="17">
        <v>3664704.54</v>
      </c>
      <c r="D288" s="17">
        <f>'Load Transfers'!C145</f>
        <v>127001.41500000002</v>
      </c>
      <c r="E288" s="26">
        <f t="shared" si="14"/>
        <v>92784004.77091935</v>
      </c>
      <c r="F288" s="196">
        <v>163.1</v>
      </c>
      <c r="G288" s="196">
        <v>3.1</v>
      </c>
      <c r="H288" s="34">
        <v>166.73352796039742</v>
      </c>
      <c r="I288" s="9">
        <v>31</v>
      </c>
      <c r="J288" s="17">
        <f>'CDM Activity'!C228</f>
        <v>7004953.895998904</v>
      </c>
      <c r="K288" s="9">
        <v>1</v>
      </c>
      <c r="L288" s="44">
        <v>147991.0843538168</v>
      </c>
      <c r="M288" s="198">
        <v>352</v>
      </c>
      <c r="N288" s="9"/>
      <c r="O288" s="9">
        <f t="shared" si="15"/>
        <v>94924904.18267182</v>
      </c>
    </row>
    <row r="289" spans="1:15" ht="12.75">
      <c r="A289" s="2">
        <v>43770</v>
      </c>
      <c r="B289" s="44">
        <v>94564685.84294602</v>
      </c>
      <c r="C289" s="17">
        <v>4270274</v>
      </c>
      <c r="D289" s="17">
        <f>'Load Transfers'!C146</f>
        <v>127001.41500000002</v>
      </c>
      <c r="E289" s="26">
        <f t="shared" si="14"/>
        <v>98961961.25794603</v>
      </c>
      <c r="F289" s="196">
        <v>439.1</v>
      </c>
      <c r="G289" s="196">
        <v>0</v>
      </c>
      <c r="H289" s="34">
        <v>166.925807152444</v>
      </c>
      <c r="I289" s="9">
        <v>30</v>
      </c>
      <c r="J289" s="17">
        <f>'CDM Activity'!C229</f>
        <v>7011615.884683204</v>
      </c>
      <c r="K289" s="9">
        <v>1</v>
      </c>
      <c r="L289" s="44">
        <v>148124.11624657613</v>
      </c>
      <c r="M289" s="198">
        <v>336</v>
      </c>
      <c r="N289" s="9"/>
      <c r="O289" s="9">
        <f t="shared" si="15"/>
        <v>98561429.43546195</v>
      </c>
    </row>
    <row r="290" spans="1:15" ht="12.75">
      <c r="A290" s="2">
        <v>43800</v>
      </c>
      <c r="B290" s="44">
        <v>101790296.14690988</v>
      </c>
      <c r="C290" s="17">
        <v>3952159.69</v>
      </c>
      <c r="D290" s="17">
        <f>'Load Transfers'!C147</f>
        <v>127001.41500000002</v>
      </c>
      <c r="E290" s="26">
        <f t="shared" si="14"/>
        <v>105869457.25190988</v>
      </c>
      <c r="F290" s="196">
        <v>514.3</v>
      </c>
      <c r="G290" s="196">
        <v>0</v>
      </c>
      <c r="H290" s="34">
        <v>167.11808634449062</v>
      </c>
      <c r="I290" s="9">
        <v>31</v>
      </c>
      <c r="J290" s="17">
        <f>'CDM Activity'!C230</f>
        <v>7018277.873367504</v>
      </c>
      <c r="K290" s="9">
        <v>0</v>
      </c>
      <c r="L290" s="44">
        <v>148257.14813933545</v>
      </c>
      <c r="M290" s="198">
        <v>320</v>
      </c>
      <c r="N290" s="9"/>
      <c r="O290" s="9">
        <f t="shared" si="15"/>
        <v>108170991.8455033</v>
      </c>
    </row>
    <row r="291" spans="1:15" ht="12.75">
      <c r="A291" s="2">
        <v>43831</v>
      </c>
      <c r="B291" s="44">
        <v>0</v>
      </c>
      <c r="C291" s="17"/>
      <c r="D291" s="17"/>
      <c r="E291" s="26">
        <f aca="true" t="shared" si="16" ref="E291:E302">B291+D291+C291</f>
        <v>0</v>
      </c>
      <c r="F291" s="196">
        <v>632.4289999999999</v>
      </c>
      <c r="G291" s="196">
        <v>0</v>
      </c>
      <c r="H291" s="34">
        <v>167.34091045961662</v>
      </c>
      <c r="I291" s="9">
        <v>31</v>
      </c>
      <c r="J291" s="17">
        <f>'CDM Activity'!C231</f>
        <v>7005871.603174502</v>
      </c>
      <c r="K291" s="9">
        <v>0</v>
      </c>
      <c r="L291" s="44">
        <v>148390.18003209477</v>
      </c>
      <c r="M291" s="198">
        <v>352</v>
      </c>
      <c r="N291" s="9"/>
      <c r="O291" s="9">
        <f aca="true" t="shared" si="17" ref="O291:O302">$S$18+F291*$S$19+G291*$S$20+H291*$S$21+I291*$S$22+J291*$S$23+K291*$S$24+L291*$S$25</f>
        <v>111346625.76872057</v>
      </c>
    </row>
    <row r="292" spans="1:15" ht="12.75">
      <c r="A292" s="2">
        <v>43862</v>
      </c>
      <c r="B292" s="44">
        <v>0</v>
      </c>
      <c r="C292" s="17"/>
      <c r="D292" s="17"/>
      <c r="E292" s="26">
        <f t="shared" si="16"/>
        <v>0</v>
      </c>
      <c r="F292" s="196">
        <v>563.5600000000001</v>
      </c>
      <c r="G292" s="196">
        <v>0</v>
      </c>
      <c r="H292" s="34">
        <v>167.56373457474263</v>
      </c>
      <c r="I292" s="9">
        <v>29</v>
      </c>
      <c r="J292" s="17">
        <f>'CDM Activity'!C232</f>
        <v>6993465.3329815</v>
      </c>
      <c r="K292" s="9">
        <v>0</v>
      </c>
      <c r="L292" s="44">
        <v>148523.21192485408</v>
      </c>
      <c r="M292" s="198">
        <v>304</v>
      </c>
      <c r="N292" s="9"/>
      <c r="O292" s="9">
        <f t="shared" si="17"/>
        <v>104549274.10904533</v>
      </c>
    </row>
    <row r="293" spans="1:15" ht="12.75">
      <c r="A293" s="2">
        <v>43891</v>
      </c>
      <c r="B293" s="44">
        <v>0</v>
      </c>
      <c r="C293" s="17"/>
      <c r="D293" s="17"/>
      <c r="E293" s="26">
        <f t="shared" si="16"/>
        <v>0</v>
      </c>
      <c r="F293" s="196">
        <v>509.84</v>
      </c>
      <c r="G293" s="196">
        <v>0</v>
      </c>
      <c r="H293" s="34">
        <v>167.78655868986863</v>
      </c>
      <c r="I293" s="9">
        <v>31</v>
      </c>
      <c r="J293" s="17">
        <f>'CDM Activity'!C233</f>
        <v>6981059.062788498</v>
      </c>
      <c r="K293" s="9">
        <v>1</v>
      </c>
      <c r="L293" s="44">
        <v>148656.2438176134</v>
      </c>
      <c r="M293" s="198">
        <v>352</v>
      </c>
      <c r="N293" s="9"/>
      <c r="O293" s="9">
        <f t="shared" si="17"/>
        <v>103997054.14784488</v>
      </c>
    </row>
    <row r="294" spans="1:15" ht="12.75">
      <c r="A294" s="2">
        <v>43922</v>
      </c>
      <c r="B294" s="44">
        <v>0</v>
      </c>
      <c r="C294" s="17"/>
      <c r="D294" s="17"/>
      <c r="E294" s="26">
        <f t="shared" si="16"/>
        <v>0</v>
      </c>
      <c r="F294" s="196">
        <v>331.34499999999997</v>
      </c>
      <c r="G294" s="196">
        <v>0.004166666666666667</v>
      </c>
      <c r="H294" s="34">
        <v>168.00938280499463</v>
      </c>
      <c r="I294" s="9">
        <v>30</v>
      </c>
      <c r="J294" s="17">
        <f>'CDM Activity'!C234</f>
        <v>6968652.7925954955</v>
      </c>
      <c r="K294" s="9">
        <v>1</v>
      </c>
      <c r="L294" s="44">
        <v>148789.27571037272</v>
      </c>
      <c r="M294" s="198">
        <v>336</v>
      </c>
      <c r="N294" s="9"/>
      <c r="O294" s="9">
        <f t="shared" si="17"/>
        <v>97199568.97459292</v>
      </c>
    </row>
    <row r="295" spans="1:15" ht="12.75">
      <c r="A295" s="2">
        <v>43952</v>
      </c>
      <c r="B295" s="44">
        <v>0</v>
      </c>
      <c r="C295" s="17"/>
      <c r="D295" s="17"/>
      <c r="E295" s="26">
        <f t="shared" si="16"/>
        <v>0</v>
      </c>
      <c r="F295" s="196">
        <v>156.115</v>
      </c>
      <c r="G295" s="196">
        <v>12.51</v>
      </c>
      <c r="H295" s="34">
        <v>168.23220692012063</v>
      </c>
      <c r="I295" s="9">
        <v>31</v>
      </c>
      <c r="J295" s="17">
        <f>'CDM Activity'!C235</f>
        <v>6956246.522402493</v>
      </c>
      <c r="K295" s="9">
        <v>1</v>
      </c>
      <c r="L295" s="44">
        <v>148922.30760313204</v>
      </c>
      <c r="M295" s="198">
        <v>320</v>
      </c>
      <c r="N295" s="9"/>
      <c r="O295" s="9">
        <f t="shared" si="17"/>
        <v>98412991.02959703</v>
      </c>
    </row>
    <row r="296" spans="1:15" ht="12.75">
      <c r="A296" s="2">
        <v>43983</v>
      </c>
      <c r="B296" s="44">
        <v>0</v>
      </c>
      <c r="C296" s="17"/>
      <c r="D296" s="17"/>
      <c r="E296" s="26">
        <f t="shared" si="16"/>
        <v>0</v>
      </c>
      <c r="F296" s="196">
        <v>32.94</v>
      </c>
      <c r="G296" s="196">
        <v>52.11</v>
      </c>
      <c r="H296" s="34">
        <v>168.45503103524663</v>
      </c>
      <c r="I296" s="9">
        <v>30</v>
      </c>
      <c r="J296" s="17">
        <f>'CDM Activity'!C236</f>
        <v>6943840.252209491</v>
      </c>
      <c r="K296" s="9">
        <v>0</v>
      </c>
      <c r="L296" s="44">
        <v>149055.33949589136</v>
      </c>
      <c r="M296" s="198">
        <v>352</v>
      </c>
      <c r="N296" s="9"/>
      <c r="O296" s="9">
        <f t="shared" si="17"/>
        <v>105937729.09853488</v>
      </c>
    </row>
    <row r="297" spans="1:15" ht="12.75">
      <c r="A297" s="2">
        <v>44013</v>
      </c>
      <c r="B297" s="44">
        <v>0</v>
      </c>
      <c r="C297" s="17"/>
      <c r="D297" s="17"/>
      <c r="E297" s="26">
        <f t="shared" si="16"/>
        <v>0</v>
      </c>
      <c r="F297" s="196">
        <v>0.74</v>
      </c>
      <c r="G297" s="196">
        <v>153.16</v>
      </c>
      <c r="H297" s="34">
        <v>168.67785515037264</v>
      </c>
      <c r="I297" s="9">
        <v>31</v>
      </c>
      <c r="J297" s="17">
        <f>'CDM Activity'!C237</f>
        <v>6931433.982016489</v>
      </c>
      <c r="K297" s="9">
        <v>0</v>
      </c>
      <c r="L297" s="44">
        <v>149188.37138865067</v>
      </c>
      <c r="M297" s="198">
        <v>352</v>
      </c>
      <c r="N297" s="9"/>
      <c r="O297" s="9">
        <f t="shared" si="17"/>
        <v>128718372.84574175</v>
      </c>
    </row>
    <row r="298" spans="1:15" ht="12.75">
      <c r="A298" s="2">
        <v>44044</v>
      </c>
      <c r="B298" s="44">
        <v>0</v>
      </c>
      <c r="C298" s="17"/>
      <c r="D298" s="17"/>
      <c r="E298" s="26">
        <f t="shared" si="16"/>
        <v>0</v>
      </c>
      <c r="F298" s="196">
        <v>0.54</v>
      </c>
      <c r="G298" s="196">
        <v>133.475</v>
      </c>
      <c r="H298" s="34">
        <v>168.90067926549864</v>
      </c>
      <c r="I298" s="9">
        <v>31</v>
      </c>
      <c r="J298" s="17">
        <f>'CDM Activity'!C238</f>
        <v>6919027.711823487</v>
      </c>
      <c r="K298" s="9">
        <v>0</v>
      </c>
      <c r="L298" s="44">
        <v>149321.40328141</v>
      </c>
      <c r="M298" s="198">
        <v>320</v>
      </c>
      <c r="N298" s="9"/>
      <c r="O298" s="9">
        <f t="shared" si="17"/>
        <v>124974562.34872822</v>
      </c>
    </row>
    <row r="299" spans="1:15" ht="12.75">
      <c r="A299" s="2">
        <v>44075</v>
      </c>
      <c r="B299" s="44">
        <v>0</v>
      </c>
      <c r="C299" s="17"/>
      <c r="D299" s="17"/>
      <c r="E299" s="26">
        <f t="shared" si="16"/>
        <v>0</v>
      </c>
      <c r="F299" s="196">
        <v>30.669999999999998</v>
      </c>
      <c r="G299" s="196">
        <v>56.57000000000001</v>
      </c>
      <c r="H299" s="34">
        <v>169.12350338062464</v>
      </c>
      <c r="I299" s="9">
        <v>30</v>
      </c>
      <c r="J299" s="17">
        <f>'CDM Activity'!C239</f>
        <v>6906621.441630485</v>
      </c>
      <c r="K299" s="9">
        <v>1</v>
      </c>
      <c r="L299" s="44">
        <v>149454.4351741693</v>
      </c>
      <c r="M299" s="198">
        <v>336</v>
      </c>
      <c r="N299" s="9"/>
      <c r="O299" s="9">
        <f t="shared" si="17"/>
        <v>102727015.81083024</v>
      </c>
    </row>
    <row r="300" spans="1:15" ht="12.75">
      <c r="A300" s="2">
        <v>44105</v>
      </c>
      <c r="B300" s="44">
        <v>0</v>
      </c>
      <c r="C300" s="17"/>
      <c r="D300" s="17"/>
      <c r="E300" s="26">
        <f t="shared" si="16"/>
        <v>0</v>
      </c>
      <c r="F300" s="196">
        <v>171.87000000000003</v>
      </c>
      <c r="G300" s="196">
        <v>5.92</v>
      </c>
      <c r="H300" s="34">
        <v>169.34632749575064</v>
      </c>
      <c r="I300" s="9">
        <v>31</v>
      </c>
      <c r="J300" s="17">
        <f>'CDM Activity'!C240</f>
        <v>6894215.171437482</v>
      </c>
      <c r="K300" s="9">
        <v>1</v>
      </c>
      <c r="L300" s="44">
        <v>149587.46706692863</v>
      </c>
      <c r="M300" s="198">
        <v>336</v>
      </c>
      <c r="N300" s="9"/>
      <c r="O300" s="9">
        <f t="shared" si="17"/>
        <v>98831681.79442987</v>
      </c>
    </row>
    <row r="301" spans="1:15" ht="12.75">
      <c r="A301" s="2">
        <v>44136</v>
      </c>
      <c r="B301" s="44">
        <v>0</v>
      </c>
      <c r="C301" s="17"/>
      <c r="D301" s="17"/>
      <c r="E301" s="26">
        <f t="shared" si="16"/>
        <v>0</v>
      </c>
      <c r="F301" s="196">
        <v>365.20500000000004</v>
      </c>
      <c r="G301" s="196">
        <v>0</v>
      </c>
      <c r="H301" s="34">
        <v>169.56915161087665</v>
      </c>
      <c r="I301" s="9">
        <v>30</v>
      </c>
      <c r="J301" s="17">
        <f>'CDM Activity'!C241</f>
        <v>6881808.90124448</v>
      </c>
      <c r="K301" s="9">
        <v>1</v>
      </c>
      <c r="L301" s="44">
        <v>149720.49895968795</v>
      </c>
      <c r="M301" s="198">
        <v>336</v>
      </c>
      <c r="N301" s="9"/>
      <c r="O301" s="9">
        <f t="shared" si="17"/>
        <v>99955994.9107834</v>
      </c>
    </row>
    <row r="302" spans="1:15" ht="12.75">
      <c r="A302" s="2">
        <v>44166</v>
      </c>
      <c r="B302" s="44">
        <v>0</v>
      </c>
      <c r="C302" s="17"/>
      <c r="D302" s="17"/>
      <c r="E302" s="26">
        <f t="shared" si="16"/>
        <v>0</v>
      </c>
      <c r="F302" s="196">
        <v>518.47</v>
      </c>
      <c r="G302" s="196">
        <v>0</v>
      </c>
      <c r="H302" s="34">
        <v>169.79197572600248</v>
      </c>
      <c r="I302" s="9">
        <v>31</v>
      </c>
      <c r="J302" s="17">
        <f>'CDM Activity'!C242</f>
        <v>6869402.631051478</v>
      </c>
      <c r="K302" s="9">
        <v>0</v>
      </c>
      <c r="L302" s="44">
        <v>149853.53085244726</v>
      </c>
      <c r="M302" s="198">
        <v>336</v>
      </c>
      <c r="N302" s="9"/>
      <c r="O302" s="9">
        <f t="shared" si="17"/>
        <v>111574900.35238098</v>
      </c>
    </row>
    <row r="303" spans="1:15" ht="12.75">
      <c r="A303" s="2">
        <v>44197</v>
      </c>
      <c r="B303" s="44">
        <v>0</v>
      </c>
      <c r="C303" s="17"/>
      <c r="D303" s="17"/>
      <c r="E303" s="26">
        <f aca="true" t="shared" si="18" ref="E303:E314">B303+D303+C303</f>
        <v>0</v>
      </c>
      <c r="F303" s="196">
        <v>632.4289999999999</v>
      </c>
      <c r="G303" s="196">
        <v>0</v>
      </c>
      <c r="H303" s="34">
        <v>170.01836502697049</v>
      </c>
      <c r="I303" s="9">
        <v>31</v>
      </c>
      <c r="J303" s="17">
        <f>'CDM Activity'!C243</f>
        <v>6834364.660283902</v>
      </c>
      <c r="K303" s="9">
        <v>0</v>
      </c>
      <c r="L303" s="44">
        <v>149986.56274520658</v>
      </c>
      <c r="M303" s="198">
        <v>320</v>
      </c>
      <c r="N303" s="9"/>
      <c r="O303" s="9">
        <f aca="true" t="shared" si="19" ref="O303:O314">$S$18+F303*$S$19+G303*$S$20+H303*$S$21+I303*$S$22+J303*$S$23+K303*$S$24+L303*$S$25</f>
        <v>114743453.38718209</v>
      </c>
    </row>
    <row r="304" spans="1:15" ht="12.75">
      <c r="A304" s="2">
        <v>44228</v>
      </c>
      <c r="B304" s="44">
        <v>0</v>
      </c>
      <c r="C304" s="17"/>
      <c r="D304" s="17"/>
      <c r="E304" s="26">
        <f t="shared" si="18"/>
        <v>0</v>
      </c>
      <c r="F304" s="196">
        <v>563.5600000000001</v>
      </c>
      <c r="G304" s="196">
        <v>0</v>
      </c>
      <c r="H304" s="34">
        <v>170.2447543279385</v>
      </c>
      <c r="I304" s="9">
        <v>28</v>
      </c>
      <c r="J304" s="17">
        <f>'CDM Activity'!C244</f>
        <v>6799326.6895163255</v>
      </c>
      <c r="K304" s="9">
        <v>0</v>
      </c>
      <c r="L304" s="44">
        <v>150119.5946379659</v>
      </c>
      <c r="M304" s="198">
        <v>304</v>
      </c>
      <c r="N304" s="9"/>
      <c r="O304" s="9">
        <f t="shared" si="19"/>
        <v>105350666.07993463</v>
      </c>
    </row>
    <row r="305" spans="1:15" ht="12.75">
      <c r="A305" s="2">
        <v>44256</v>
      </c>
      <c r="B305" s="44">
        <v>0</v>
      </c>
      <c r="C305" s="17"/>
      <c r="D305" s="17"/>
      <c r="E305" s="26">
        <f t="shared" si="18"/>
        <v>0</v>
      </c>
      <c r="F305" s="196">
        <v>509.84</v>
      </c>
      <c r="G305" s="196">
        <v>0</v>
      </c>
      <c r="H305" s="34">
        <v>170.4711436289065</v>
      </c>
      <c r="I305" s="9">
        <v>31</v>
      </c>
      <c r="J305" s="17">
        <f>'CDM Activity'!C245</f>
        <v>6764288.718748749</v>
      </c>
      <c r="K305" s="9">
        <v>1</v>
      </c>
      <c r="L305" s="44">
        <v>150252.62653072522</v>
      </c>
      <c r="M305" s="198">
        <v>368</v>
      </c>
      <c r="N305" s="9"/>
      <c r="O305" s="9">
        <f t="shared" si="19"/>
        <v>107584498.07862519</v>
      </c>
    </row>
    <row r="306" spans="1:15" ht="12.75">
      <c r="A306" s="2">
        <v>44287</v>
      </c>
      <c r="B306" s="44">
        <v>0</v>
      </c>
      <c r="C306" s="17"/>
      <c r="D306" s="17"/>
      <c r="E306" s="26">
        <f t="shared" si="18"/>
        <v>0</v>
      </c>
      <c r="F306" s="196">
        <v>331.34499999999997</v>
      </c>
      <c r="G306" s="196">
        <v>0.004166666666666667</v>
      </c>
      <c r="H306" s="34">
        <v>170.6975329298745</v>
      </c>
      <c r="I306" s="9">
        <v>30</v>
      </c>
      <c r="J306" s="17">
        <f>'CDM Activity'!C246</f>
        <v>6729250.747981173</v>
      </c>
      <c r="K306" s="9">
        <v>1</v>
      </c>
      <c r="L306" s="44">
        <v>150385.65842348454</v>
      </c>
      <c r="M306" s="198">
        <v>336</v>
      </c>
      <c r="N306" s="9"/>
      <c r="O306" s="9">
        <f t="shared" si="19"/>
        <v>100882321.06153263</v>
      </c>
    </row>
    <row r="307" spans="1:15" ht="12.75">
      <c r="A307" s="2">
        <v>44317</v>
      </c>
      <c r="B307" s="44">
        <v>0</v>
      </c>
      <c r="C307" s="17"/>
      <c r="D307" s="17"/>
      <c r="E307" s="26">
        <f t="shared" si="18"/>
        <v>0</v>
      </c>
      <c r="F307" s="196">
        <v>156.115</v>
      </c>
      <c r="G307" s="196">
        <v>12.51</v>
      </c>
      <c r="H307" s="34">
        <v>170.92392223084252</v>
      </c>
      <c r="I307" s="9">
        <v>31</v>
      </c>
      <c r="J307" s="17">
        <f>'CDM Activity'!C247</f>
        <v>6694212.777213597</v>
      </c>
      <c r="K307" s="9">
        <v>1</v>
      </c>
      <c r="L307" s="44">
        <v>150518.69031624385</v>
      </c>
      <c r="M307" s="198">
        <v>320</v>
      </c>
      <c r="N307" s="9"/>
      <c r="O307" s="9">
        <f t="shared" si="19"/>
        <v>102191051.27269612</v>
      </c>
    </row>
    <row r="308" spans="1:15" ht="12.75">
      <c r="A308" s="2">
        <v>44348</v>
      </c>
      <c r="B308" s="44">
        <v>0</v>
      </c>
      <c r="C308" s="17"/>
      <c r="D308" s="17"/>
      <c r="E308" s="26">
        <f t="shared" si="18"/>
        <v>0</v>
      </c>
      <c r="F308" s="196">
        <v>32.94</v>
      </c>
      <c r="G308" s="196">
        <v>52.11</v>
      </c>
      <c r="H308" s="34">
        <v>171.15031153181053</v>
      </c>
      <c r="I308" s="9">
        <v>30</v>
      </c>
      <c r="J308" s="17">
        <f>'CDM Activity'!C248</f>
        <v>6659174.8064460205</v>
      </c>
      <c r="K308" s="9">
        <v>0</v>
      </c>
      <c r="L308" s="44">
        <v>150651.72220900317</v>
      </c>
      <c r="M308" s="198">
        <v>352</v>
      </c>
      <c r="N308" s="9"/>
      <c r="O308" s="9">
        <f t="shared" si="19"/>
        <v>109811097.49779339</v>
      </c>
    </row>
    <row r="309" spans="1:15" ht="12.75">
      <c r="A309" s="2">
        <v>44378</v>
      </c>
      <c r="B309" s="44">
        <v>0</v>
      </c>
      <c r="C309" s="17"/>
      <c r="D309" s="17"/>
      <c r="E309" s="26">
        <f t="shared" si="18"/>
        <v>0</v>
      </c>
      <c r="F309" s="196">
        <v>0.74</v>
      </c>
      <c r="G309" s="196">
        <v>153.16</v>
      </c>
      <c r="H309" s="34">
        <v>171.37670083277854</v>
      </c>
      <c r="I309" s="9">
        <v>31</v>
      </c>
      <c r="J309" s="17">
        <f>'CDM Activity'!C249</f>
        <v>6624136.835678444</v>
      </c>
      <c r="K309" s="9">
        <v>0</v>
      </c>
      <c r="L309" s="44">
        <v>150784.7541017625</v>
      </c>
      <c r="M309" s="198">
        <v>336</v>
      </c>
      <c r="N309" s="9"/>
      <c r="O309" s="9">
        <f t="shared" si="19"/>
        <v>132687049.40115966</v>
      </c>
    </row>
    <row r="310" spans="1:15" ht="12.75">
      <c r="A310" s="2">
        <v>44409</v>
      </c>
      <c r="B310" s="44">
        <v>0</v>
      </c>
      <c r="C310" s="17"/>
      <c r="D310" s="17"/>
      <c r="E310" s="26">
        <f t="shared" si="18"/>
        <v>0</v>
      </c>
      <c r="F310" s="196">
        <v>0.54</v>
      </c>
      <c r="G310" s="196">
        <v>133.475</v>
      </c>
      <c r="H310" s="34">
        <v>171.60309013374655</v>
      </c>
      <c r="I310" s="9">
        <v>31</v>
      </c>
      <c r="J310" s="17">
        <f>'CDM Activity'!C250</f>
        <v>6589098.864910868</v>
      </c>
      <c r="K310" s="9">
        <v>0</v>
      </c>
      <c r="L310" s="44">
        <v>150917.7859945218</v>
      </c>
      <c r="M310" s="198">
        <v>336</v>
      </c>
      <c r="N310" s="9"/>
      <c r="O310" s="9">
        <f t="shared" si="19"/>
        <v>129038547.06030554</v>
      </c>
    </row>
    <row r="311" spans="1:15" ht="12.75">
      <c r="A311" s="2">
        <v>44440</v>
      </c>
      <c r="B311" s="44">
        <v>0</v>
      </c>
      <c r="C311" s="17"/>
      <c r="D311" s="17"/>
      <c r="E311" s="26">
        <f t="shared" si="18"/>
        <v>0</v>
      </c>
      <c r="F311" s="196">
        <v>30.669999999999998</v>
      </c>
      <c r="G311" s="196">
        <v>56.57000000000001</v>
      </c>
      <c r="H311" s="34">
        <v>171.82947943471456</v>
      </c>
      <c r="I311" s="9">
        <v>30</v>
      </c>
      <c r="J311" s="17">
        <f>'CDM Activity'!C251</f>
        <v>6554060.894143292</v>
      </c>
      <c r="K311" s="9">
        <v>1</v>
      </c>
      <c r="L311" s="44">
        <v>151050.81788728113</v>
      </c>
      <c r="M311" s="198">
        <v>336</v>
      </c>
      <c r="N311" s="9"/>
      <c r="O311" s="9">
        <f t="shared" si="19"/>
        <v>106886308.67856696</v>
      </c>
    </row>
    <row r="312" spans="1:15" ht="12.75">
      <c r="A312" s="2">
        <v>44470</v>
      </c>
      <c r="B312" s="44">
        <v>0</v>
      </c>
      <c r="C312" s="17"/>
      <c r="D312" s="17"/>
      <c r="E312" s="26">
        <f t="shared" si="18"/>
        <v>0</v>
      </c>
      <c r="F312" s="196">
        <v>171.87000000000003</v>
      </c>
      <c r="G312" s="196">
        <v>5.92</v>
      </c>
      <c r="H312" s="34">
        <v>172.05586873568257</v>
      </c>
      <c r="I312" s="9">
        <v>31</v>
      </c>
      <c r="J312" s="17">
        <f>'CDM Activity'!C252</f>
        <v>6519022.9233757155</v>
      </c>
      <c r="K312" s="9">
        <v>1</v>
      </c>
      <c r="L312" s="44">
        <v>151183.84978004044</v>
      </c>
      <c r="M312" s="198">
        <v>320</v>
      </c>
      <c r="N312" s="9"/>
      <c r="O312" s="9">
        <f t="shared" si="19"/>
        <v>103086282.81832601</v>
      </c>
    </row>
    <row r="313" spans="1:15" ht="12.75">
      <c r="A313" s="2">
        <v>44501</v>
      </c>
      <c r="B313" s="44">
        <v>0</v>
      </c>
      <c r="C313" s="17"/>
      <c r="D313" s="17"/>
      <c r="E313" s="26">
        <f t="shared" si="18"/>
        <v>0</v>
      </c>
      <c r="F313" s="196">
        <v>365.20500000000004</v>
      </c>
      <c r="G313" s="196">
        <v>0</v>
      </c>
      <c r="H313" s="34">
        <v>172.28225803665057</v>
      </c>
      <c r="I313" s="9">
        <v>30</v>
      </c>
      <c r="J313" s="17">
        <f>'CDM Activity'!C253</f>
        <v>6483984.952608139</v>
      </c>
      <c r="K313" s="9">
        <v>1</v>
      </c>
      <c r="L313" s="44">
        <v>151316.88167279976</v>
      </c>
      <c r="M313" s="198">
        <v>352</v>
      </c>
      <c r="N313" s="9"/>
      <c r="O313" s="9">
        <f t="shared" si="19"/>
        <v>104305904.0908389</v>
      </c>
    </row>
    <row r="314" spans="1:15" ht="12.75">
      <c r="A314" s="2">
        <v>44531</v>
      </c>
      <c r="B314" s="44">
        <v>0</v>
      </c>
      <c r="C314" s="17"/>
      <c r="D314" s="17"/>
      <c r="E314" s="26">
        <f t="shared" si="18"/>
        <v>0</v>
      </c>
      <c r="F314" s="196">
        <v>518.47</v>
      </c>
      <c r="G314" s="196">
        <v>0</v>
      </c>
      <c r="H314" s="34">
        <v>172.50864733761853</v>
      </c>
      <c r="I314" s="9">
        <v>31</v>
      </c>
      <c r="J314" s="17">
        <f>'CDM Activity'!C254</f>
        <v>6448946.981840563</v>
      </c>
      <c r="K314" s="9">
        <v>0</v>
      </c>
      <c r="L314" s="44">
        <v>151449.91356555914</v>
      </c>
      <c r="M314" s="198">
        <v>336</v>
      </c>
      <c r="N314" s="9"/>
      <c r="O314" s="9">
        <f t="shared" si="19"/>
        <v>116020117.688596</v>
      </c>
    </row>
    <row r="315" spans="1:36" s="32" customFormat="1" ht="12.75">
      <c r="A315" s="31"/>
      <c r="B315" s="26"/>
      <c r="C315" s="26"/>
      <c r="D315" s="26"/>
      <c r="E315" s="26"/>
      <c r="F315" s="65"/>
      <c r="G315" s="65"/>
      <c r="H315" s="63"/>
      <c r="I315" s="17"/>
      <c r="J315" s="17"/>
      <c r="K315" s="17"/>
      <c r="L315" s="17"/>
      <c r="M315" s="22"/>
      <c r="N315" s="17"/>
      <c r="O315" s="17"/>
      <c r="P315" s="22"/>
      <c r="Q315" s="22"/>
      <c r="AB315" s="26"/>
      <c r="AC315" s="26"/>
      <c r="AD315" s="26"/>
      <c r="AE315" s="26"/>
      <c r="AF315" s="26"/>
      <c r="AG315" s="26"/>
      <c r="AH315" s="26"/>
      <c r="AI315" s="26"/>
      <c r="AJ315" s="26"/>
    </row>
    <row r="316" spans="1:13" ht="12.75">
      <c r="A316" s="2"/>
      <c r="M316" s="22"/>
    </row>
    <row r="317" spans="1:15" ht="12.75">
      <c r="A317" s="2"/>
      <c r="F317" s="58"/>
      <c r="G317" s="57" t="s">
        <v>71</v>
      </c>
      <c r="M317" s="22"/>
      <c r="O317" s="45">
        <f>SUM(O3:O314)</f>
        <v>30893036289.971577</v>
      </c>
    </row>
    <row r="318" spans="1:13" ht="12.75">
      <c r="A318" s="2"/>
      <c r="M318" s="22"/>
    </row>
    <row r="319" spans="1:17" ht="12.75">
      <c r="A319">
        <v>1996</v>
      </c>
      <c r="B319" s="5">
        <f>SUM(B3:B14)</f>
        <v>0</v>
      </c>
      <c r="C319" s="5">
        <f>SUM(C3:C14)</f>
        <v>0</v>
      </c>
      <c r="D319" s="5">
        <f>SUM(D3:D14)</f>
        <v>0</v>
      </c>
      <c r="E319" s="5">
        <f>SUM(E3:E14)</f>
        <v>0</v>
      </c>
      <c r="O319" s="5">
        <f>SUM(O3:O14)</f>
        <v>903104889.985949</v>
      </c>
      <c r="P319" s="37">
        <f>O319-E319</f>
        <v>903104889.985949</v>
      </c>
      <c r="Q319" s="4"/>
    </row>
    <row r="320" spans="1:17" ht="12.75">
      <c r="A320" s="16">
        <v>1997</v>
      </c>
      <c r="B320" s="5">
        <f>SUM(B15:B26)</f>
        <v>0</v>
      </c>
      <c r="C320" s="5">
        <f>SUM(C15:C26)</f>
        <v>0</v>
      </c>
      <c r="D320" s="5">
        <f>SUM(D15:D26)</f>
        <v>0</v>
      </c>
      <c r="E320" s="5">
        <f>SUM(E15:E26)</f>
        <v>0</v>
      </c>
      <c r="O320" s="5">
        <f>SUM(O15:O26)</f>
        <v>917092717.8856926</v>
      </c>
      <c r="P320" s="37">
        <f aca="true" t="shared" si="20" ref="P320:P344">O320-E320</f>
        <v>917092717.8856926</v>
      </c>
      <c r="Q320" s="4"/>
    </row>
    <row r="321" spans="1:17" ht="12.75">
      <c r="A321">
        <v>1998</v>
      </c>
      <c r="B321" s="5">
        <f>SUM(B27:B38)</f>
        <v>0</v>
      </c>
      <c r="C321" s="5">
        <f>SUM(C27:C38)</f>
        <v>0</v>
      </c>
      <c r="D321" s="5">
        <f>SUM(D27:D38)</f>
        <v>0</v>
      </c>
      <c r="E321" s="5">
        <f>SUM(E27:E38)</f>
        <v>0</v>
      </c>
      <c r="O321" s="5">
        <f>SUM(O27:O38)</f>
        <v>981727925.4679369</v>
      </c>
      <c r="P321" s="37">
        <f t="shared" si="20"/>
        <v>981727925.4679369</v>
      </c>
      <c r="Q321" s="4"/>
    </row>
    <row r="322" spans="1:17" ht="12.75">
      <c r="A322" s="16">
        <v>1999</v>
      </c>
      <c r="B322" s="5">
        <f>SUM(B39:B50)</f>
        <v>0</v>
      </c>
      <c r="C322" s="5">
        <f>SUM(C39:C50)</f>
        <v>0</v>
      </c>
      <c r="D322" s="5">
        <f>SUM(D39:D50)</f>
        <v>0</v>
      </c>
      <c r="E322" s="5">
        <f>SUM(E39:E50)</f>
        <v>0</v>
      </c>
      <c r="O322" s="5">
        <f>SUM(O39:O50)</f>
        <v>1033602829.0390699</v>
      </c>
      <c r="P322" s="37">
        <f t="shared" si="20"/>
        <v>1033602829.0390699</v>
      </c>
      <c r="Q322" s="4"/>
    </row>
    <row r="323" spans="1:17" ht="12.75">
      <c r="A323">
        <v>2000</v>
      </c>
      <c r="B323" s="5">
        <f>SUM(B51:B62)</f>
        <v>0</v>
      </c>
      <c r="C323" s="5">
        <f>SUM(C51:C62)</f>
        <v>0</v>
      </c>
      <c r="D323" s="5">
        <f>SUM(D51:D62)</f>
        <v>0</v>
      </c>
      <c r="E323" s="5">
        <f>SUM(E51:E62)</f>
        <v>0</v>
      </c>
      <c r="O323" s="5">
        <f>SUM(O51:O62)</f>
        <v>1061917609.5051773</v>
      </c>
      <c r="P323" s="37">
        <f t="shared" si="20"/>
        <v>1061917609.5051773</v>
      </c>
      <c r="Q323" s="4"/>
    </row>
    <row r="324" spans="1:17" ht="12.75">
      <c r="A324" s="16">
        <v>2001</v>
      </c>
      <c r="B324" s="5">
        <f>SUM(B63:B74)</f>
        <v>0</v>
      </c>
      <c r="C324" s="5">
        <f>SUM(C63:C74)</f>
        <v>0</v>
      </c>
      <c r="D324" s="5">
        <f>SUM(D63:D74)</f>
        <v>0</v>
      </c>
      <c r="E324" s="5">
        <f>SUM(E63:E74)</f>
        <v>0</v>
      </c>
      <c r="O324" s="5">
        <f>SUM(O63:O74)</f>
        <v>1071449569.4454669</v>
      </c>
      <c r="P324" s="37">
        <f t="shared" si="20"/>
        <v>1071449569.4454669</v>
      </c>
      <c r="Q324" s="4"/>
    </row>
    <row r="325" spans="1:17" ht="12.75">
      <c r="A325">
        <v>2002</v>
      </c>
      <c r="B325" s="5">
        <f>SUM(B75:B86)</f>
        <v>1162710673.7803967</v>
      </c>
      <c r="C325" s="5">
        <f>SUM(C75:C86)</f>
        <v>0</v>
      </c>
      <c r="D325" s="5">
        <f>SUM(D75:D86)</f>
        <v>0</v>
      </c>
      <c r="E325" s="5">
        <f>SUM(E75:E86)</f>
        <v>1162710673.7803967</v>
      </c>
      <c r="O325" s="5">
        <f>SUM(O75:O86)</f>
        <v>1167166906.3030279</v>
      </c>
      <c r="P325" s="37">
        <f t="shared" si="20"/>
        <v>4456232.522631168</v>
      </c>
      <c r="Q325" s="4">
        <f aca="true" t="shared" si="21" ref="Q325:Q341">P325/B325</f>
        <v>0.0038326237327316608</v>
      </c>
    </row>
    <row r="326" spans="1:17" ht="12.75">
      <c r="A326" s="16">
        <v>2003</v>
      </c>
      <c r="B326" s="5">
        <f>SUM(B87:B98)</f>
        <v>1152043160.1684203</v>
      </c>
      <c r="C326" s="5">
        <f>SUM(C87:C98)</f>
        <v>0</v>
      </c>
      <c r="D326" s="5">
        <f>SUM(D87:D98)</f>
        <v>0</v>
      </c>
      <c r="E326" s="5">
        <f>SUM(E87:E98)</f>
        <v>1152043160.1684203</v>
      </c>
      <c r="O326" s="5">
        <f>SUM(O87:O98)</f>
        <v>1167605461.2558465</v>
      </c>
      <c r="P326" s="37">
        <f t="shared" si="20"/>
        <v>15562301.087426186</v>
      </c>
      <c r="Q326" s="4">
        <f t="shared" si="21"/>
        <v>0.013508435816893432</v>
      </c>
    </row>
    <row r="327" spans="1:17" ht="12.75">
      <c r="A327">
        <v>2004</v>
      </c>
      <c r="B327" s="5">
        <f>SUM(B99:B110)</f>
        <v>1205241073.8281755</v>
      </c>
      <c r="C327" s="5">
        <f>SUM(C99:C110)</f>
        <v>0</v>
      </c>
      <c r="D327" s="5">
        <f>SUM(D99:D110)</f>
        <v>0</v>
      </c>
      <c r="E327" s="5">
        <f>SUM(E99:E110)</f>
        <v>1205241073.8281755</v>
      </c>
      <c r="O327" s="5">
        <f>SUM(O99:O110)</f>
        <v>1179573774.9575324</v>
      </c>
      <c r="P327" s="37">
        <f t="shared" si="20"/>
        <v>-25667298.87064314</v>
      </c>
      <c r="Q327" s="4">
        <f t="shared" si="21"/>
        <v>-0.0212964023779216</v>
      </c>
    </row>
    <row r="328" spans="1:17" ht="12.75">
      <c r="A328" s="16">
        <v>2005</v>
      </c>
      <c r="B328" s="5">
        <f>SUM(B111:B122)</f>
        <v>1272191338.9746144</v>
      </c>
      <c r="C328" s="5">
        <f>SUM(C111:C122)</f>
        <v>0</v>
      </c>
      <c r="D328" s="5">
        <f>SUM(D111:D122)</f>
        <v>0</v>
      </c>
      <c r="E328" s="5">
        <f>SUM(E111:E122)</f>
        <v>1272191338.9746144</v>
      </c>
      <c r="O328" s="26">
        <f>SUM(O111:O122)</f>
        <v>1271724175.9971578</v>
      </c>
      <c r="P328" s="37">
        <f t="shared" si="20"/>
        <v>-467162.9774565697</v>
      </c>
      <c r="Q328" s="4">
        <f t="shared" si="21"/>
        <v>-0.0003672112544274219</v>
      </c>
    </row>
    <row r="329" spans="1:17" ht="12.75">
      <c r="A329">
        <v>2006</v>
      </c>
      <c r="B329" s="5">
        <f>SUM(B123:B134)</f>
        <v>1248057839.7212546</v>
      </c>
      <c r="C329" s="5">
        <f>SUM(C123:C134)</f>
        <v>0</v>
      </c>
      <c r="D329" s="5">
        <f>SUM(D123:D134)</f>
        <v>0</v>
      </c>
      <c r="E329" s="5">
        <f>SUM(E123:E134)</f>
        <v>1248057839.7212546</v>
      </c>
      <c r="O329" s="26">
        <f>SUM(O123:O134)</f>
        <v>1247989476.515609</v>
      </c>
      <c r="P329" s="37">
        <f t="shared" si="20"/>
        <v>-68363.20564556122</v>
      </c>
      <c r="Q329" s="4">
        <f t="shared" si="21"/>
        <v>-5.477567102245012E-05</v>
      </c>
    </row>
    <row r="330" spans="1:17" ht="12.75">
      <c r="A330" s="16">
        <v>2007</v>
      </c>
      <c r="B330" s="5">
        <f>SUM(B135:B146)</f>
        <v>1283916366.3514185</v>
      </c>
      <c r="C330" s="5">
        <f>SUM(C135:C146)</f>
        <v>0</v>
      </c>
      <c r="D330" s="5">
        <f>SUM(D135:D146)</f>
        <v>0</v>
      </c>
      <c r="E330" s="5">
        <f>SUM(E135:E146)</f>
        <v>1283916366.3514185</v>
      </c>
      <c r="O330" s="26">
        <f>SUM(O135:O146)</f>
        <v>1273169231.3492475</v>
      </c>
      <c r="P330" s="37">
        <f t="shared" si="20"/>
        <v>-10747135.00217104</v>
      </c>
      <c r="Q330" s="4">
        <f t="shared" si="21"/>
        <v>-0.008370588056846578</v>
      </c>
    </row>
    <row r="331" spans="1:17" ht="12.75">
      <c r="A331">
        <v>2008</v>
      </c>
      <c r="B331" s="5">
        <f>SUM(B147:B158)</f>
        <v>1248342618.218019</v>
      </c>
      <c r="C331" s="5">
        <f>SUM(C147:C158)</f>
        <v>0</v>
      </c>
      <c r="D331" s="5">
        <f>SUM(D147:D158)</f>
        <v>-982480.0000000001</v>
      </c>
      <c r="E331" s="5">
        <f>SUM(E147:E158)</f>
        <v>1247360138.218019</v>
      </c>
      <c r="O331" s="26">
        <f>SUM(O147:O158)</f>
        <v>1255986577.555526</v>
      </c>
      <c r="P331" s="37">
        <f t="shared" si="20"/>
        <v>8626439.33750701</v>
      </c>
      <c r="Q331" s="4">
        <f t="shared" si="21"/>
        <v>0.0069103138926884175</v>
      </c>
    </row>
    <row r="332" spans="1:17" ht="12.75">
      <c r="A332" s="16">
        <v>2009</v>
      </c>
      <c r="B332" s="5">
        <f>SUM(B159:B170)</f>
        <v>1217543467.4732933</v>
      </c>
      <c r="C332" s="5">
        <f>SUM(C159:C170)</f>
        <v>0</v>
      </c>
      <c r="D332" s="5">
        <f>SUM(D159:D170)</f>
        <v>-735648</v>
      </c>
      <c r="E332" s="5">
        <f>SUM(E159:E170)</f>
        <v>1216807819.4732933</v>
      </c>
      <c r="O332" s="26">
        <f>SUM(O159:O170)</f>
        <v>1219818977.491308</v>
      </c>
      <c r="P332" s="37">
        <f t="shared" si="20"/>
        <v>3011158.0180146694</v>
      </c>
      <c r="Q332" s="4">
        <f t="shared" si="21"/>
        <v>0.0024731421082350136</v>
      </c>
    </row>
    <row r="333" spans="1:17" ht="12.75">
      <c r="A333">
        <v>2010</v>
      </c>
      <c r="B333" s="5">
        <f>SUM(B171:B182)</f>
        <v>1259586591.1092393</v>
      </c>
      <c r="C333" s="5">
        <f>SUM(C171:C182)</f>
        <v>6286072</v>
      </c>
      <c r="D333" s="5">
        <f>SUM(D171:D182)</f>
        <v>-1158026.1599999997</v>
      </c>
      <c r="E333" s="5">
        <f>SUM(E171:E182)</f>
        <v>1264714636.949239</v>
      </c>
      <c r="O333" s="26">
        <f>SUM(O171:O182)</f>
        <v>1253085593.3978748</v>
      </c>
      <c r="P333" s="37">
        <f t="shared" si="20"/>
        <v>-11629043.551364183</v>
      </c>
      <c r="Q333" s="4">
        <f t="shared" si="21"/>
        <v>-0.009232428825018858</v>
      </c>
    </row>
    <row r="334" spans="1:17" ht="12.75">
      <c r="A334">
        <v>2011</v>
      </c>
      <c r="B334" s="5">
        <f>SUM(B183:B194)</f>
        <v>1256773343.0332735</v>
      </c>
      <c r="C334" s="5">
        <f>SUM(C183:C194)</f>
        <v>10647402</v>
      </c>
      <c r="D334" s="5">
        <f>SUM(D183:D194)</f>
        <v>-1109082.6099999999</v>
      </c>
      <c r="E334" s="5">
        <f>SUM(E183:E194)</f>
        <v>1266311662.4232736</v>
      </c>
      <c r="O334" s="26">
        <f>SUM(O183:O194)</f>
        <v>1261320397.1872842</v>
      </c>
      <c r="P334" s="37">
        <f t="shared" si="20"/>
        <v>-4991265.235989332</v>
      </c>
      <c r="Q334" s="4">
        <f t="shared" si="21"/>
        <v>-0.003971491966835254</v>
      </c>
    </row>
    <row r="335" spans="1:17" ht="12.75">
      <c r="A335">
        <v>2012</v>
      </c>
      <c r="B335" s="5">
        <f>SUM(B195:B206)</f>
        <v>1250182338.219272</v>
      </c>
      <c r="C335" s="5">
        <f>SUM(C195:C206)</f>
        <v>11553261</v>
      </c>
      <c r="D335" s="5">
        <f>SUM(D195:D206)</f>
        <v>-946148.32</v>
      </c>
      <c r="E335" s="5">
        <f>SUM(E195:E206)</f>
        <v>1260789450.8992722</v>
      </c>
      <c r="O335" s="26">
        <f>SUM(O195:O206)</f>
        <v>1270469171.730973</v>
      </c>
      <c r="P335" s="37">
        <f t="shared" si="20"/>
        <v>9679720.831700802</v>
      </c>
      <c r="Q335" s="4">
        <f t="shared" si="21"/>
        <v>0.007742647240952349</v>
      </c>
    </row>
    <row r="336" spans="1:17" ht="12.75">
      <c r="A336">
        <v>2013</v>
      </c>
      <c r="B336" s="26">
        <f>SUM(B207:B218)</f>
        <v>1237895470.3832755</v>
      </c>
      <c r="C336" s="26">
        <f>SUM(C207:C218)</f>
        <v>13069574</v>
      </c>
      <c r="D336" s="26">
        <f>SUM(D207:D218)</f>
        <v>-856720.287992</v>
      </c>
      <c r="E336" s="26">
        <f>SUM(E207:E218)</f>
        <v>1250108324.0952835</v>
      </c>
      <c r="O336" s="26">
        <f>SUM(O207:O218)</f>
        <v>1245661460.345254</v>
      </c>
      <c r="P336" s="37">
        <f t="shared" si="20"/>
        <v>-4446863.750029564</v>
      </c>
      <c r="Q336" s="4">
        <f t="shared" si="21"/>
        <v>-0.003592277261223625</v>
      </c>
    </row>
    <row r="337" spans="1:17" ht="12.75">
      <c r="A337">
        <v>2014</v>
      </c>
      <c r="B337" s="5">
        <f>SUM(B219:B230)</f>
        <v>1212491220.2779799</v>
      </c>
      <c r="C337" s="5">
        <f>SUM(C219:C230)</f>
        <v>24714018</v>
      </c>
      <c r="D337" s="5">
        <f>SUM(D219:D230)</f>
        <v>-851147.3379919999</v>
      </c>
      <c r="E337" s="5">
        <f>SUM(E219:E230)</f>
        <v>1236354090.939988</v>
      </c>
      <c r="O337" s="26">
        <f>SUM(O219:O230)</f>
        <v>1243350622.4973876</v>
      </c>
      <c r="P337" s="37">
        <f t="shared" si="20"/>
        <v>6996531.55739975</v>
      </c>
      <c r="Q337" s="4">
        <f t="shared" si="21"/>
        <v>0.005770377088417763</v>
      </c>
    </row>
    <row r="338" spans="1:17" ht="12.75">
      <c r="A338">
        <v>2015</v>
      </c>
      <c r="B338" s="5">
        <f>SUM(B231:B242)</f>
        <v>1193689749.9712832</v>
      </c>
      <c r="C338" s="5">
        <f>SUM(C231:C242)</f>
        <v>47581815</v>
      </c>
      <c r="D338" s="5">
        <f>SUM(D231:D242)</f>
        <v>2227765.043</v>
      </c>
      <c r="E338" s="5">
        <f>SUM(E231:E242)</f>
        <v>1243499330.0142834</v>
      </c>
      <c r="O338" s="26">
        <f>SUM(O231:O242)</f>
        <v>1251658037.1046405</v>
      </c>
      <c r="P338" s="37">
        <f t="shared" si="20"/>
        <v>8158707.090357065</v>
      </c>
      <c r="Q338" s="4">
        <f t="shared" si="21"/>
        <v>0.006834863992551951</v>
      </c>
    </row>
    <row r="339" spans="1:17" ht="12.75">
      <c r="A339">
        <v>2016</v>
      </c>
      <c r="B339" s="5">
        <f>SUM(B243:B254)</f>
        <v>1206848206.1492517</v>
      </c>
      <c r="C339" s="5">
        <f>SUM(C243:C254)</f>
        <v>48960077</v>
      </c>
      <c r="D339" s="5">
        <f>SUM(D243:D254)</f>
        <v>2023031.2530000003</v>
      </c>
      <c r="E339" s="5">
        <f>SUM(E243:E254)</f>
        <v>1257831314.4022517</v>
      </c>
      <c r="O339" s="5">
        <f>SUM(O243:O254)</f>
        <v>1277941546.4546533</v>
      </c>
      <c r="P339" s="37">
        <f t="shared" si="20"/>
        <v>20110232.052401543</v>
      </c>
      <c r="Q339" s="4">
        <f t="shared" si="21"/>
        <v>0.016663431200323212</v>
      </c>
    </row>
    <row r="340" spans="1:17" ht="12.75">
      <c r="A340">
        <v>2017</v>
      </c>
      <c r="B340" s="5">
        <f>SUM(B255:B266)</f>
        <v>1160915590.829123</v>
      </c>
      <c r="C340" s="5">
        <f>SUM(C255:C266)</f>
        <v>49520799</v>
      </c>
      <c r="D340" s="5">
        <f>SUM(D255:D266)</f>
        <v>1764826.058</v>
      </c>
      <c r="E340" s="5">
        <f>SUM(E255:E266)</f>
        <v>1212201215.887123</v>
      </c>
      <c r="O340" s="5">
        <f>SUM(O255:O266)</f>
        <v>1217143963.5909858</v>
      </c>
      <c r="P340" s="37">
        <f t="shared" si="20"/>
        <v>4942747.703862667</v>
      </c>
      <c r="Q340" s="4">
        <f t="shared" si="21"/>
        <v>0.004257628843051861</v>
      </c>
    </row>
    <row r="341" spans="1:17" ht="12.75">
      <c r="A341">
        <v>2018</v>
      </c>
      <c r="B341" s="5">
        <f>SUM(B267:B278)</f>
        <v>1214760410.709402</v>
      </c>
      <c r="C341" s="5">
        <f>SUM(C267:C278)</f>
        <v>54538078.849999994</v>
      </c>
      <c r="D341" s="5">
        <f>SUM(D267:D278)</f>
        <v>1524016.9800000002</v>
      </c>
      <c r="E341" s="5">
        <f>SUM(E267:E278)</f>
        <v>1270822506.539402</v>
      </c>
      <c r="O341" s="5">
        <f>SUM(O267:O278)</f>
        <v>1255827879.1537886</v>
      </c>
      <c r="P341" s="37">
        <f t="shared" si="20"/>
        <v>-14994627.385613441</v>
      </c>
      <c r="Q341" s="4">
        <f t="shared" si="21"/>
        <v>-0.01234369119492197</v>
      </c>
    </row>
    <row r="342" spans="1:17" ht="12.75">
      <c r="A342">
        <v>2019</v>
      </c>
      <c r="B342" s="5">
        <f>SUM(B279:B290)</f>
        <v>1199711034.5497618</v>
      </c>
      <c r="C342" s="5">
        <f>SUM(C279:C290)</f>
        <v>51131686.13999999</v>
      </c>
      <c r="D342" s="5">
        <f>SUM(D279:D290)</f>
        <v>1524016.9800000002</v>
      </c>
      <c r="E342" s="5">
        <f>SUM(E279:E290)</f>
        <v>1252366737.669762</v>
      </c>
      <c r="O342" s="5">
        <f>SUM(O279:O290)</f>
        <v>1243834427.4473848</v>
      </c>
      <c r="P342" s="37">
        <f t="shared" si="20"/>
        <v>-8532310.222377062</v>
      </c>
      <c r="Q342" s="4"/>
    </row>
    <row r="343" spans="1:17" ht="12.75">
      <c r="A343">
        <v>2020</v>
      </c>
      <c r="B343" s="5">
        <f>SUM(B291:B302)</f>
        <v>0</v>
      </c>
      <c r="C343" s="5">
        <f>SUM(C291:C302)</f>
        <v>0</v>
      </c>
      <c r="D343" s="5">
        <f>SUM(D291:D302)</f>
        <v>0</v>
      </c>
      <c r="E343" s="5">
        <f>SUM(E291:E302)</f>
        <v>0</v>
      </c>
      <c r="O343" s="5">
        <f>SUM(O291:O302)</f>
        <v>1288225771.19123</v>
      </c>
      <c r="P343" s="37">
        <f t="shared" si="20"/>
        <v>1288225771.19123</v>
      </c>
      <c r="Q343" s="4"/>
    </row>
    <row r="344" spans="1:17" ht="12.75">
      <c r="A344">
        <v>2021</v>
      </c>
      <c r="B344" s="5">
        <f>SUM(B303:B314)</f>
        <v>0</v>
      </c>
      <c r="C344" s="5">
        <f>SUM(C303:C314)</f>
        <v>0</v>
      </c>
      <c r="D344" s="5">
        <f>SUM(D303:D314)</f>
        <v>0</v>
      </c>
      <c r="E344" s="5">
        <f>SUM(E303:E314)</f>
        <v>0</v>
      </c>
      <c r="O344" s="5">
        <f>SUM(O303:O314)</f>
        <v>1332587297.1155572</v>
      </c>
      <c r="P344" s="37">
        <f t="shared" si="20"/>
        <v>1332587297.1155572</v>
      </c>
      <c r="Q344" s="4"/>
    </row>
    <row r="345" ht="12.75">
      <c r="O345" s="5"/>
    </row>
    <row r="346" spans="1:16" ht="12.75">
      <c r="A346" s="199" t="s">
        <v>205</v>
      </c>
      <c r="B346" s="5">
        <f>SUM(B319:B342)</f>
        <v>21982900493.747456</v>
      </c>
      <c r="C346" s="5">
        <f>SUM(C319:C342)</f>
        <v>318002782.99</v>
      </c>
      <c r="D346" s="5">
        <f>SUM(D319:D342)</f>
        <v>2424403.5980160004</v>
      </c>
      <c r="E346" s="5">
        <f>SUM(E319:E342)</f>
        <v>22303327680.335472</v>
      </c>
      <c r="O346" s="5">
        <f>SUM(O325:O342)</f>
        <v>22303327680.33548</v>
      </c>
      <c r="P346" s="5">
        <f>O346-E346</f>
        <v>0</v>
      </c>
    </row>
    <row r="348" spans="15:16" ht="12.75">
      <c r="O348" s="5">
        <f>SUM(O319:O344)</f>
        <v>30893036289.971565</v>
      </c>
      <c r="P348" s="45">
        <f>O317-O348</f>
        <v>0</v>
      </c>
    </row>
    <row r="349" spans="15:17" ht="12.75">
      <c r="O349" s="18"/>
      <c r="P349" s="18" t="s">
        <v>275</v>
      </c>
      <c r="Q349" s="18"/>
    </row>
    <row r="351" spans="2:36" s="141" customFormat="1" ht="12.75">
      <c r="B351" s="210"/>
      <c r="C351" s="208"/>
      <c r="D351" s="208"/>
      <c r="E351" s="208"/>
      <c r="F351" s="211"/>
      <c r="G351" s="211"/>
      <c r="H351" s="212"/>
      <c r="I351" s="134"/>
      <c r="J351" s="134"/>
      <c r="K351" s="134"/>
      <c r="L351" s="134"/>
      <c r="M351" s="134"/>
      <c r="N351" s="134"/>
      <c r="O351" s="134"/>
      <c r="P351" s="134"/>
      <c r="Q351" s="134"/>
      <c r="AB351" s="210"/>
      <c r="AC351" s="210"/>
      <c r="AD351" s="210"/>
      <c r="AE351" s="210"/>
      <c r="AF351" s="210"/>
      <c r="AG351" s="210"/>
      <c r="AH351" s="210"/>
      <c r="AI351" s="210"/>
      <c r="AJ351" s="210"/>
    </row>
    <row r="352" spans="2:36" s="141" customFormat="1" ht="12.75">
      <c r="B352" s="210"/>
      <c r="C352" s="208"/>
      <c r="D352" s="208"/>
      <c r="E352" s="208"/>
      <c r="F352" s="211"/>
      <c r="G352" s="211"/>
      <c r="H352" s="212"/>
      <c r="I352" s="134"/>
      <c r="J352" s="134"/>
      <c r="K352" s="134"/>
      <c r="L352" s="134"/>
      <c r="M352" s="134"/>
      <c r="N352" s="134"/>
      <c r="O352" s="134"/>
      <c r="P352" s="134"/>
      <c r="Q352" s="134"/>
      <c r="AB352" s="210"/>
      <c r="AC352" s="210"/>
      <c r="AD352" s="210"/>
      <c r="AE352" s="210"/>
      <c r="AF352" s="210"/>
      <c r="AG352" s="210"/>
      <c r="AH352" s="210"/>
      <c r="AI352" s="210"/>
      <c r="AJ352" s="210"/>
    </row>
    <row r="353" spans="2:36" s="141" customFormat="1" ht="12.75">
      <c r="B353" s="210"/>
      <c r="C353" s="208"/>
      <c r="D353" s="213"/>
      <c r="E353" s="213"/>
      <c r="F353" s="214"/>
      <c r="G353" s="213"/>
      <c r="H353" s="213"/>
      <c r="I353" s="214"/>
      <c r="J353" s="213"/>
      <c r="K353" s="213"/>
      <c r="L353" s="214"/>
      <c r="M353" s="213"/>
      <c r="N353" s="213"/>
      <c r="O353" s="214"/>
      <c r="P353" s="215"/>
      <c r="Q353" s="134"/>
      <c r="AB353" s="210"/>
      <c r="AC353" s="210"/>
      <c r="AD353" s="210"/>
      <c r="AE353" s="210"/>
      <c r="AF353" s="210"/>
      <c r="AG353" s="210"/>
      <c r="AH353" s="210"/>
      <c r="AI353" s="210"/>
      <c r="AJ353" s="210"/>
    </row>
    <row r="354" spans="2:36" s="141" customFormat="1" ht="12.75">
      <c r="B354" s="216"/>
      <c r="C354" s="208"/>
      <c r="D354" s="208"/>
      <c r="E354" s="208"/>
      <c r="F354" s="208"/>
      <c r="G354" s="208"/>
      <c r="H354" s="208"/>
      <c r="I354" s="208"/>
      <c r="J354" s="208"/>
      <c r="K354" s="208"/>
      <c r="L354" s="208"/>
      <c r="M354" s="208"/>
      <c r="N354" s="208"/>
      <c r="O354" s="208"/>
      <c r="P354" s="208"/>
      <c r="Q354" s="217"/>
      <c r="AB354" s="210"/>
      <c r="AC354" s="210"/>
      <c r="AD354" s="210"/>
      <c r="AE354" s="210"/>
      <c r="AF354" s="210"/>
      <c r="AG354" s="210"/>
      <c r="AH354" s="210"/>
      <c r="AI354" s="210"/>
      <c r="AJ354" s="210"/>
    </row>
    <row r="355" spans="2:36" s="141" customFormat="1" ht="12.75">
      <c r="B355" s="216"/>
      <c r="C355" s="208"/>
      <c r="D355" s="208"/>
      <c r="E355" s="208"/>
      <c r="F355" s="211"/>
      <c r="G355" s="211"/>
      <c r="H355" s="212"/>
      <c r="I355" s="209"/>
      <c r="J355" s="209"/>
      <c r="K355" s="209"/>
      <c r="L355" s="209"/>
      <c r="M355" s="209"/>
      <c r="N355" s="218"/>
      <c r="O355" s="209"/>
      <c r="P355" s="208"/>
      <c r="Q355" s="209"/>
      <c r="AB355" s="210"/>
      <c r="AC355" s="210"/>
      <c r="AD355" s="210"/>
      <c r="AE355" s="210"/>
      <c r="AF355" s="210"/>
      <c r="AG355" s="210"/>
      <c r="AH355" s="210"/>
      <c r="AI355" s="210"/>
      <c r="AJ355" s="210"/>
    </row>
    <row r="356" spans="2:36" s="141" customFormat="1" ht="12.75">
      <c r="B356" s="216"/>
      <c r="C356" s="208"/>
      <c r="D356" s="208"/>
      <c r="E356" s="208"/>
      <c r="F356" s="208"/>
      <c r="G356" s="208"/>
      <c r="H356" s="208"/>
      <c r="I356" s="208"/>
      <c r="J356" s="208"/>
      <c r="K356" s="208"/>
      <c r="L356" s="208"/>
      <c r="M356" s="208"/>
      <c r="N356" s="208"/>
      <c r="O356" s="208"/>
      <c r="P356" s="208"/>
      <c r="Q356" s="209"/>
      <c r="AB356" s="210"/>
      <c r="AC356" s="210"/>
      <c r="AD356" s="210"/>
      <c r="AE356" s="210"/>
      <c r="AF356" s="210"/>
      <c r="AG356" s="210"/>
      <c r="AH356" s="210"/>
      <c r="AI356" s="210"/>
      <c r="AJ356" s="210"/>
    </row>
    <row r="357" spans="2:36" s="141" customFormat="1" ht="12.75">
      <c r="B357" s="210"/>
      <c r="C357" s="208"/>
      <c r="D357" s="208"/>
      <c r="E357" s="208"/>
      <c r="F357" s="211"/>
      <c r="G357" s="211"/>
      <c r="H357" s="212"/>
      <c r="I357" s="134"/>
      <c r="J357" s="134"/>
      <c r="K357" s="134"/>
      <c r="L357" s="134"/>
      <c r="M357" s="134"/>
      <c r="N357" s="215"/>
      <c r="O357" s="209"/>
      <c r="P357" s="209"/>
      <c r="Q357" s="209"/>
      <c r="AB357" s="210"/>
      <c r="AC357" s="210"/>
      <c r="AD357" s="210"/>
      <c r="AE357" s="210"/>
      <c r="AF357" s="210"/>
      <c r="AG357" s="210"/>
      <c r="AH357" s="210"/>
      <c r="AI357" s="210"/>
      <c r="AJ357" s="210"/>
    </row>
    <row r="358" spans="2:36" s="141" customFormat="1" ht="12.75">
      <c r="B358" s="210"/>
      <c r="C358" s="208"/>
      <c r="D358" s="208"/>
      <c r="E358" s="208"/>
      <c r="F358" s="211"/>
      <c r="G358" s="211"/>
      <c r="H358" s="212"/>
      <c r="I358" s="134"/>
      <c r="J358" s="210"/>
      <c r="K358" s="134"/>
      <c r="L358" s="134"/>
      <c r="M358" s="134"/>
      <c r="N358" s="215"/>
      <c r="O358" s="209"/>
      <c r="P358" s="209"/>
      <c r="Q358" s="209"/>
      <c r="AB358" s="210"/>
      <c r="AC358" s="210"/>
      <c r="AD358" s="210"/>
      <c r="AE358" s="210"/>
      <c r="AF358" s="210"/>
      <c r="AG358" s="210"/>
      <c r="AH358" s="210"/>
      <c r="AI358" s="210"/>
      <c r="AJ358" s="210"/>
    </row>
    <row r="359" spans="1:36" s="141" customFormat="1" ht="12.75">
      <c r="A359" s="219"/>
      <c r="B359" s="216"/>
      <c r="C359" s="208"/>
      <c r="D359" s="208"/>
      <c r="E359" s="208"/>
      <c r="F359" s="208"/>
      <c r="G359" s="208"/>
      <c r="H359" s="208"/>
      <c r="I359" s="208"/>
      <c r="J359" s="208"/>
      <c r="K359" s="208"/>
      <c r="L359" s="208"/>
      <c r="M359" s="208"/>
      <c r="N359" s="208"/>
      <c r="O359" s="208"/>
      <c r="P359" s="209"/>
      <c r="Q359" s="209"/>
      <c r="AB359" s="210"/>
      <c r="AC359" s="210"/>
      <c r="AD359" s="210"/>
      <c r="AE359" s="210"/>
      <c r="AF359" s="210"/>
      <c r="AG359" s="210"/>
      <c r="AH359" s="210"/>
      <c r="AI359" s="210"/>
      <c r="AJ359" s="210"/>
    </row>
    <row r="360" spans="2:36" s="141" customFormat="1" ht="12.75">
      <c r="B360" s="216"/>
      <c r="C360" s="208"/>
      <c r="D360" s="208"/>
      <c r="E360" s="208"/>
      <c r="F360" s="211"/>
      <c r="G360" s="211"/>
      <c r="H360" s="212"/>
      <c r="I360" s="209"/>
      <c r="J360" s="209"/>
      <c r="K360" s="209"/>
      <c r="L360" s="209"/>
      <c r="M360" s="209"/>
      <c r="N360" s="218"/>
      <c r="O360" s="209"/>
      <c r="P360" s="209"/>
      <c r="Q360" s="209"/>
      <c r="AB360" s="210"/>
      <c r="AC360" s="210"/>
      <c r="AD360" s="210"/>
      <c r="AE360" s="210"/>
      <c r="AF360" s="210"/>
      <c r="AG360" s="210"/>
      <c r="AH360" s="210"/>
      <c r="AI360" s="210"/>
      <c r="AJ360" s="210"/>
    </row>
    <row r="361" spans="2:36" s="141" customFormat="1" ht="12.75">
      <c r="B361" s="216"/>
      <c r="C361" s="208"/>
      <c r="D361" s="208"/>
      <c r="E361" s="208"/>
      <c r="F361" s="208"/>
      <c r="G361" s="208"/>
      <c r="H361" s="208"/>
      <c r="I361" s="208"/>
      <c r="J361" s="208"/>
      <c r="K361" s="208"/>
      <c r="L361" s="208"/>
      <c r="M361" s="208"/>
      <c r="N361" s="208"/>
      <c r="O361" s="208"/>
      <c r="P361" s="209"/>
      <c r="Q361" s="209"/>
      <c r="AB361" s="210"/>
      <c r="AC361" s="210"/>
      <c r="AD361" s="210"/>
      <c r="AE361" s="210"/>
      <c r="AF361" s="210"/>
      <c r="AG361" s="210"/>
      <c r="AH361" s="210"/>
      <c r="AI361" s="210"/>
      <c r="AJ361" s="210"/>
    </row>
    <row r="362" spans="2:36" s="141" customFormat="1" ht="12.75">
      <c r="B362" s="216"/>
      <c r="C362" s="208"/>
      <c r="D362" s="208"/>
      <c r="E362" s="208"/>
      <c r="F362" s="208"/>
      <c r="G362" s="208"/>
      <c r="H362" s="208"/>
      <c r="I362" s="208"/>
      <c r="J362" s="208"/>
      <c r="K362" s="208"/>
      <c r="L362" s="208"/>
      <c r="M362" s="208"/>
      <c r="N362" s="208"/>
      <c r="O362" s="208"/>
      <c r="P362" s="209"/>
      <c r="Q362" s="209"/>
      <c r="AB362" s="210"/>
      <c r="AC362" s="210"/>
      <c r="AD362" s="210"/>
      <c r="AE362" s="210"/>
      <c r="AF362" s="210"/>
      <c r="AG362" s="210"/>
      <c r="AH362" s="210"/>
      <c r="AI362" s="210"/>
      <c r="AJ362" s="210"/>
    </row>
    <row r="363" spans="2:36" s="141" customFormat="1" ht="12.75">
      <c r="B363" s="216"/>
      <c r="C363" s="208"/>
      <c r="D363" s="208"/>
      <c r="E363" s="208"/>
      <c r="F363" s="208"/>
      <c r="G363" s="208"/>
      <c r="H363" s="208"/>
      <c r="I363" s="208"/>
      <c r="J363" s="208"/>
      <c r="K363" s="208"/>
      <c r="L363" s="208"/>
      <c r="M363" s="208"/>
      <c r="N363" s="208"/>
      <c r="O363" s="208"/>
      <c r="P363" s="209"/>
      <c r="Q363" s="209"/>
      <c r="AB363" s="210"/>
      <c r="AC363" s="210"/>
      <c r="AD363" s="210"/>
      <c r="AE363" s="210"/>
      <c r="AF363" s="210"/>
      <c r="AG363" s="210"/>
      <c r="AH363" s="210"/>
      <c r="AI363" s="210"/>
      <c r="AJ363" s="210"/>
    </row>
    <row r="364" spans="2:36" s="141" customFormat="1" ht="12.75">
      <c r="B364" s="210"/>
      <c r="C364" s="208"/>
      <c r="D364" s="208"/>
      <c r="E364" s="208"/>
      <c r="F364" s="211"/>
      <c r="G364" s="211"/>
      <c r="H364" s="212"/>
      <c r="I364" s="134"/>
      <c r="J364" s="134"/>
      <c r="K364" s="134"/>
      <c r="L364" s="134"/>
      <c r="M364" s="134"/>
      <c r="N364" s="215"/>
      <c r="O364" s="209"/>
      <c r="P364" s="209"/>
      <c r="Q364" s="209"/>
      <c r="AB364" s="210"/>
      <c r="AC364" s="210"/>
      <c r="AD364" s="210"/>
      <c r="AE364" s="210"/>
      <c r="AF364" s="210"/>
      <c r="AG364" s="210"/>
      <c r="AH364" s="210"/>
      <c r="AI364" s="210"/>
      <c r="AJ364" s="210"/>
    </row>
    <row r="365" spans="2:36" s="141" customFormat="1" ht="12.75">
      <c r="B365" s="210"/>
      <c r="C365" s="208"/>
      <c r="D365" s="208"/>
      <c r="E365" s="208"/>
      <c r="F365" s="211"/>
      <c r="G365" s="211"/>
      <c r="H365" s="212"/>
      <c r="I365" s="134"/>
      <c r="J365" s="134"/>
      <c r="K365" s="134"/>
      <c r="L365" s="134"/>
      <c r="M365" s="134"/>
      <c r="N365" s="215"/>
      <c r="O365" s="209"/>
      <c r="P365" s="209"/>
      <c r="Q365" s="209"/>
      <c r="AB365" s="210"/>
      <c r="AC365" s="210"/>
      <c r="AD365" s="210"/>
      <c r="AE365" s="210"/>
      <c r="AF365" s="210"/>
      <c r="AG365" s="210"/>
      <c r="AH365" s="210"/>
      <c r="AI365" s="210"/>
      <c r="AJ365" s="210"/>
    </row>
    <row r="366" spans="1:36" s="141" customFormat="1" ht="12.75">
      <c r="A366" s="219"/>
      <c r="B366" s="216"/>
      <c r="C366" s="208"/>
      <c r="D366" s="208"/>
      <c r="E366" s="208"/>
      <c r="F366" s="208"/>
      <c r="G366" s="208"/>
      <c r="H366" s="208"/>
      <c r="I366" s="208"/>
      <c r="J366" s="208"/>
      <c r="K366" s="208"/>
      <c r="L366" s="208"/>
      <c r="M366" s="208"/>
      <c r="N366" s="208"/>
      <c r="O366" s="208"/>
      <c r="P366" s="209"/>
      <c r="Q366" s="209"/>
      <c r="AB366" s="210"/>
      <c r="AC366" s="210"/>
      <c r="AD366" s="210"/>
      <c r="AE366" s="210"/>
      <c r="AF366" s="210"/>
      <c r="AG366" s="210"/>
      <c r="AH366" s="210"/>
      <c r="AI366" s="210"/>
      <c r="AJ366" s="210"/>
    </row>
    <row r="367" spans="2:36" s="141" customFormat="1" ht="12.75">
      <c r="B367" s="216"/>
      <c r="C367" s="208"/>
      <c r="D367" s="208"/>
      <c r="E367" s="208"/>
      <c r="F367" s="211"/>
      <c r="G367" s="211"/>
      <c r="H367" s="212"/>
      <c r="I367" s="209"/>
      <c r="J367" s="209"/>
      <c r="K367" s="209"/>
      <c r="L367" s="209"/>
      <c r="M367" s="209"/>
      <c r="N367" s="218"/>
      <c r="O367" s="209"/>
      <c r="P367" s="209"/>
      <c r="Q367" s="209"/>
      <c r="AB367" s="210"/>
      <c r="AC367" s="210"/>
      <c r="AD367" s="210"/>
      <c r="AE367" s="210"/>
      <c r="AF367" s="210"/>
      <c r="AG367" s="210"/>
      <c r="AH367" s="210"/>
      <c r="AI367" s="210"/>
      <c r="AJ367" s="210"/>
    </row>
    <row r="368" spans="2:36" s="141" customFormat="1" ht="12.75">
      <c r="B368" s="216"/>
      <c r="C368" s="208"/>
      <c r="D368" s="208"/>
      <c r="E368" s="208"/>
      <c r="F368" s="211"/>
      <c r="G368" s="211"/>
      <c r="H368" s="212"/>
      <c r="I368" s="134"/>
      <c r="J368" s="134"/>
      <c r="K368" s="134"/>
      <c r="L368" s="134"/>
      <c r="M368" s="134"/>
      <c r="N368" s="134"/>
      <c r="O368" s="134"/>
      <c r="P368" s="134"/>
      <c r="Q368" s="134"/>
      <c r="AB368" s="210"/>
      <c r="AC368" s="210"/>
      <c r="AD368" s="210"/>
      <c r="AE368" s="210"/>
      <c r="AF368" s="210"/>
      <c r="AG368" s="210"/>
      <c r="AH368" s="210"/>
      <c r="AI368" s="210"/>
      <c r="AJ368" s="210"/>
    </row>
    <row r="369" spans="2:36" s="141" customFormat="1" ht="12.75">
      <c r="B369" s="216"/>
      <c r="C369" s="208"/>
      <c r="D369" s="208"/>
      <c r="E369" s="208"/>
      <c r="F369" s="211"/>
      <c r="G369" s="211"/>
      <c r="H369" s="212"/>
      <c r="I369" s="134"/>
      <c r="J369" s="134"/>
      <c r="K369" s="134"/>
      <c r="L369" s="134"/>
      <c r="M369" s="134"/>
      <c r="N369" s="134"/>
      <c r="O369" s="134"/>
      <c r="P369" s="134"/>
      <c r="Q369" s="134"/>
      <c r="AB369" s="210"/>
      <c r="AC369" s="210"/>
      <c r="AD369" s="210"/>
      <c r="AE369" s="210"/>
      <c r="AF369" s="210"/>
      <c r="AG369" s="210"/>
      <c r="AH369" s="210"/>
      <c r="AI369" s="210"/>
      <c r="AJ369" s="210"/>
    </row>
    <row r="370" spans="2:36" s="141" customFormat="1" ht="12.75">
      <c r="B370" s="216"/>
      <c r="C370" s="208"/>
      <c r="D370" s="208"/>
      <c r="E370" s="208"/>
      <c r="F370" s="211"/>
      <c r="G370" s="211"/>
      <c r="H370" s="212"/>
      <c r="I370" s="134"/>
      <c r="J370" s="134"/>
      <c r="K370" s="134"/>
      <c r="L370" s="134"/>
      <c r="M370" s="134"/>
      <c r="N370" s="134"/>
      <c r="O370" s="134"/>
      <c r="P370" s="134"/>
      <c r="Q370" s="134"/>
      <c r="AB370" s="210"/>
      <c r="AC370" s="210"/>
      <c r="AD370" s="210"/>
      <c r="AE370" s="210"/>
      <c r="AF370" s="210"/>
      <c r="AG370" s="210"/>
      <c r="AH370" s="210"/>
      <c r="AI370" s="210"/>
      <c r="AJ370" s="210"/>
    </row>
    <row r="371" spans="2:36" s="141" customFormat="1" ht="12.75">
      <c r="B371" s="210"/>
      <c r="C371" s="208"/>
      <c r="D371" s="208"/>
      <c r="E371" s="208"/>
      <c r="F371" s="211"/>
      <c r="G371" s="211"/>
      <c r="H371" s="212"/>
      <c r="I371" s="134"/>
      <c r="J371" s="134"/>
      <c r="K371" s="134"/>
      <c r="L371" s="134"/>
      <c r="M371" s="134"/>
      <c r="N371" s="134"/>
      <c r="O371" s="134"/>
      <c r="P371" s="134"/>
      <c r="Q371" s="134"/>
      <c r="AB371" s="210"/>
      <c r="AC371" s="210"/>
      <c r="AD371" s="210"/>
      <c r="AE371" s="210"/>
      <c r="AF371" s="210"/>
      <c r="AG371" s="210"/>
      <c r="AH371" s="210"/>
      <c r="AI371" s="210"/>
      <c r="AJ371" s="210"/>
    </row>
    <row r="372" spans="2:36" s="141" customFormat="1" ht="12.75">
      <c r="B372" s="210"/>
      <c r="C372" s="208"/>
      <c r="D372" s="208"/>
      <c r="E372" s="208"/>
      <c r="F372" s="211"/>
      <c r="G372" s="211"/>
      <c r="H372" s="212"/>
      <c r="I372" s="134"/>
      <c r="J372" s="134"/>
      <c r="K372" s="134"/>
      <c r="L372" s="134"/>
      <c r="M372" s="134"/>
      <c r="N372" s="134"/>
      <c r="O372" s="134"/>
      <c r="P372" s="134"/>
      <c r="Q372" s="134"/>
      <c r="AB372" s="210"/>
      <c r="AC372" s="210"/>
      <c r="AD372" s="210"/>
      <c r="AE372" s="210"/>
      <c r="AF372" s="210"/>
      <c r="AG372" s="210"/>
      <c r="AH372" s="210"/>
      <c r="AI372" s="210"/>
      <c r="AJ372" s="210"/>
    </row>
    <row r="373" spans="1:36" s="141" customFormat="1" ht="12.75">
      <c r="A373" s="219"/>
      <c r="B373" s="216"/>
      <c r="C373" s="208"/>
      <c r="D373" s="208"/>
      <c r="E373" s="208"/>
      <c r="F373" s="211"/>
      <c r="G373" s="211"/>
      <c r="H373" s="212"/>
      <c r="I373" s="134"/>
      <c r="J373" s="134"/>
      <c r="K373" s="134"/>
      <c r="L373" s="134"/>
      <c r="M373" s="134"/>
      <c r="N373" s="134"/>
      <c r="O373" s="134"/>
      <c r="P373" s="134"/>
      <c r="Q373" s="134"/>
      <c r="AB373" s="210"/>
      <c r="AC373" s="210"/>
      <c r="AD373" s="210"/>
      <c r="AE373" s="210"/>
      <c r="AF373" s="210"/>
      <c r="AG373" s="210"/>
      <c r="AH373" s="210"/>
      <c r="AI373" s="210"/>
      <c r="AJ373" s="210"/>
    </row>
    <row r="374" spans="2:36" s="141" customFormat="1" ht="12.75">
      <c r="B374" s="216"/>
      <c r="C374" s="208"/>
      <c r="D374" s="208"/>
      <c r="E374" s="208"/>
      <c r="F374" s="211"/>
      <c r="G374" s="211"/>
      <c r="H374" s="212"/>
      <c r="I374" s="134"/>
      <c r="J374" s="134"/>
      <c r="K374" s="134"/>
      <c r="L374" s="134"/>
      <c r="M374" s="134"/>
      <c r="N374" s="134"/>
      <c r="O374" s="134"/>
      <c r="P374" s="134"/>
      <c r="Q374" s="134"/>
      <c r="AB374" s="210"/>
      <c r="AC374" s="210"/>
      <c r="AD374" s="210"/>
      <c r="AE374" s="210"/>
      <c r="AF374" s="210"/>
      <c r="AG374" s="210"/>
      <c r="AH374" s="210"/>
      <c r="AI374" s="210"/>
      <c r="AJ374" s="210"/>
    </row>
    <row r="375" spans="2:36" s="141" customFormat="1" ht="12.75">
      <c r="B375" s="216"/>
      <c r="C375" s="208"/>
      <c r="D375" s="208"/>
      <c r="E375" s="208"/>
      <c r="F375" s="211"/>
      <c r="G375" s="211"/>
      <c r="H375" s="212"/>
      <c r="I375" s="134"/>
      <c r="J375" s="134"/>
      <c r="K375" s="134"/>
      <c r="L375" s="134"/>
      <c r="M375" s="134"/>
      <c r="N375" s="134"/>
      <c r="O375" s="134"/>
      <c r="P375" s="134"/>
      <c r="Q375" s="134"/>
      <c r="AB375" s="210"/>
      <c r="AC375" s="210"/>
      <c r="AD375" s="210"/>
      <c r="AE375" s="210"/>
      <c r="AF375" s="210"/>
      <c r="AG375" s="210"/>
      <c r="AH375" s="210"/>
      <c r="AI375" s="210"/>
      <c r="AJ375" s="210"/>
    </row>
    <row r="376" spans="2:36" s="141" customFormat="1" ht="12.75">
      <c r="B376" s="216"/>
      <c r="C376" s="208"/>
      <c r="D376" s="208"/>
      <c r="E376" s="208"/>
      <c r="F376" s="211"/>
      <c r="G376" s="211"/>
      <c r="H376" s="212"/>
      <c r="I376" s="134"/>
      <c r="J376" s="134"/>
      <c r="K376" s="134"/>
      <c r="L376" s="134"/>
      <c r="M376" s="134"/>
      <c r="N376" s="134"/>
      <c r="O376" s="134"/>
      <c r="P376" s="134"/>
      <c r="Q376" s="134"/>
      <c r="AB376" s="210"/>
      <c r="AC376" s="210"/>
      <c r="AD376" s="210"/>
      <c r="AE376" s="210"/>
      <c r="AF376" s="210"/>
      <c r="AG376" s="210"/>
      <c r="AH376" s="210"/>
      <c r="AI376" s="210"/>
      <c r="AJ376" s="210"/>
    </row>
    <row r="377" spans="2:36" s="141" customFormat="1" ht="12.75">
      <c r="B377" s="216"/>
      <c r="C377" s="208"/>
      <c r="D377" s="208"/>
      <c r="E377" s="208"/>
      <c r="F377" s="211"/>
      <c r="G377" s="211"/>
      <c r="H377" s="212"/>
      <c r="I377" s="134"/>
      <c r="J377" s="134"/>
      <c r="K377" s="134"/>
      <c r="L377" s="134"/>
      <c r="M377" s="134"/>
      <c r="N377" s="134"/>
      <c r="O377" s="134"/>
      <c r="P377" s="134"/>
      <c r="Q377" s="134"/>
      <c r="AB377" s="210"/>
      <c r="AC377" s="210"/>
      <c r="AD377" s="210"/>
      <c r="AE377" s="210"/>
      <c r="AF377" s="210"/>
      <c r="AG377" s="210"/>
      <c r="AH377" s="210"/>
      <c r="AI377" s="210"/>
      <c r="AJ377" s="210"/>
    </row>
    <row r="378" spans="2:36" s="141" customFormat="1" ht="12.75">
      <c r="B378" s="210"/>
      <c r="C378" s="208"/>
      <c r="D378" s="208"/>
      <c r="E378" s="208"/>
      <c r="F378" s="211"/>
      <c r="G378" s="211"/>
      <c r="H378" s="212"/>
      <c r="I378" s="134"/>
      <c r="J378" s="134"/>
      <c r="K378" s="134"/>
      <c r="L378" s="134"/>
      <c r="M378" s="134"/>
      <c r="N378" s="134"/>
      <c r="O378" s="134"/>
      <c r="P378" s="134"/>
      <c r="Q378" s="134"/>
      <c r="AB378" s="210"/>
      <c r="AC378" s="210"/>
      <c r="AD378" s="210"/>
      <c r="AE378" s="210"/>
      <c r="AF378" s="210"/>
      <c r="AG378" s="210"/>
      <c r="AH378" s="210"/>
      <c r="AI378" s="210"/>
      <c r="AJ378" s="210"/>
    </row>
    <row r="379" spans="2:36" s="141" customFormat="1" ht="12.75">
      <c r="B379" s="210"/>
      <c r="C379" s="208"/>
      <c r="D379" s="208"/>
      <c r="E379" s="208"/>
      <c r="F379" s="211"/>
      <c r="G379" s="211"/>
      <c r="H379" s="212"/>
      <c r="I379" s="134"/>
      <c r="J379" s="134"/>
      <c r="K379" s="134"/>
      <c r="L379" s="134"/>
      <c r="M379" s="134"/>
      <c r="N379" s="134"/>
      <c r="O379" s="134"/>
      <c r="P379" s="134"/>
      <c r="Q379" s="134"/>
      <c r="AB379" s="210"/>
      <c r="AC379" s="210"/>
      <c r="AD379" s="210"/>
      <c r="AE379" s="210"/>
      <c r="AF379" s="210"/>
      <c r="AG379" s="210"/>
      <c r="AH379" s="210"/>
      <c r="AI379" s="210"/>
      <c r="AJ379" s="210"/>
    </row>
    <row r="380" spans="1:36" s="141" customFormat="1" ht="12.75">
      <c r="A380" s="219"/>
      <c r="B380" s="216"/>
      <c r="C380" s="208"/>
      <c r="D380" s="208"/>
      <c r="E380" s="208"/>
      <c r="F380" s="211"/>
      <c r="G380" s="211"/>
      <c r="H380" s="212"/>
      <c r="I380" s="134"/>
      <c r="J380" s="134"/>
      <c r="K380" s="134"/>
      <c r="L380" s="134"/>
      <c r="M380" s="134"/>
      <c r="N380" s="134"/>
      <c r="O380" s="134"/>
      <c r="P380" s="134"/>
      <c r="Q380" s="134"/>
      <c r="AB380" s="210"/>
      <c r="AC380" s="210"/>
      <c r="AD380" s="210"/>
      <c r="AE380" s="210"/>
      <c r="AF380" s="210"/>
      <c r="AG380" s="210"/>
      <c r="AH380" s="210"/>
      <c r="AI380" s="210"/>
      <c r="AJ380" s="210"/>
    </row>
    <row r="381" spans="2:36" s="141" customFormat="1" ht="12.75">
      <c r="B381" s="216"/>
      <c r="C381" s="208"/>
      <c r="D381" s="208"/>
      <c r="E381" s="208"/>
      <c r="F381" s="211"/>
      <c r="G381" s="211"/>
      <c r="H381" s="212"/>
      <c r="I381" s="134"/>
      <c r="J381" s="134"/>
      <c r="K381" s="134"/>
      <c r="L381" s="134"/>
      <c r="M381" s="134"/>
      <c r="N381" s="134"/>
      <c r="O381" s="134"/>
      <c r="P381" s="134"/>
      <c r="Q381" s="134"/>
      <c r="AB381" s="210"/>
      <c r="AC381" s="210"/>
      <c r="AD381" s="210"/>
      <c r="AE381" s="210"/>
      <c r="AF381" s="210"/>
      <c r="AG381" s="210"/>
      <c r="AH381" s="210"/>
      <c r="AI381" s="210"/>
      <c r="AJ381" s="210"/>
    </row>
    <row r="382" spans="2:36" s="141" customFormat="1" ht="12.75">
      <c r="B382" s="216"/>
      <c r="C382" s="208"/>
      <c r="D382" s="208"/>
      <c r="E382" s="208"/>
      <c r="F382" s="211"/>
      <c r="G382" s="211"/>
      <c r="H382" s="212"/>
      <c r="I382" s="134"/>
      <c r="J382" s="134"/>
      <c r="K382" s="134"/>
      <c r="L382" s="134"/>
      <c r="M382" s="134"/>
      <c r="N382" s="134"/>
      <c r="O382" s="134"/>
      <c r="P382" s="134"/>
      <c r="Q382" s="134"/>
      <c r="AB382" s="210"/>
      <c r="AC382" s="210"/>
      <c r="AD382" s="210"/>
      <c r="AE382" s="210"/>
      <c r="AF382" s="210"/>
      <c r="AG382" s="210"/>
      <c r="AH382" s="210"/>
      <c r="AI382" s="210"/>
      <c r="AJ382" s="210"/>
    </row>
    <row r="383" spans="2:36" s="141" customFormat="1" ht="12.75">
      <c r="B383" s="216"/>
      <c r="C383" s="208"/>
      <c r="D383" s="208"/>
      <c r="E383" s="208"/>
      <c r="F383" s="211"/>
      <c r="G383" s="211"/>
      <c r="H383" s="212"/>
      <c r="I383" s="134"/>
      <c r="J383" s="134"/>
      <c r="K383" s="134"/>
      <c r="L383" s="134"/>
      <c r="M383" s="134"/>
      <c r="N383" s="134"/>
      <c r="O383" s="134"/>
      <c r="P383" s="134"/>
      <c r="Q383" s="134"/>
      <c r="AB383" s="210"/>
      <c r="AC383" s="210"/>
      <c r="AD383" s="210"/>
      <c r="AE383" s="210"/>
      <c r="AF383" s="210"/>
      <c r="AG383" s="210"/>
      <c r="AH383" s="210"/>
      <c r="AI383" s="210"/>
      <c r="AJ383" s="210"/>
    </row>
    <row r="384" spans="2:36" s="141" customFormat="1" ht="12.75">
      <c r="B384" s="216"/>
      <c r="C384" s="208"/>
      <c r="D384" s="208"/>
      <c r="E384" s="208"/>
      <c r="F384" s="211"/>
      <c r="G384" s="211"/>
      <c r="H384" s="212"/>
      <c r="I384" s="134"/>
      <c r="J384" s="134"/>
      <c r="K384" s="134"/>
      <c r="L384" s="134"/>
      <c r="M384" s="134"/>
      <c r="N384" s="134"/>
      <c r="O384" s="134"/>
      <c r="P384" s="134"/>
      <c r="Q384" s="134"/>
      <c r="AB384" s="210"/>
      <c r="AC384" s="210"/>
      <c r="AD384" s="210"/>
      <c r="AE384" s="210"/>
      <c r="AF384" s="210"/>
      <c r="AG384" s="210"/>
      <c r="AH384" s="210"/>
      <c r="AI384" s="210"/>
      <c r="AJ384" s="210"/>
    </row>
    <row r="385" spans="2:36" s="141" customFormat="1" ht="12.75">
      <c r="B385" s="210"/>
      <c r="C385" s="208"/>
      <c r="D385" s="208"/>
      <c r="E385" s="208"/>
      <c r="F385" s="211"/>
      <c r="G385" s="211"/>
      <c r="H385" s="212"/>
      <c r="I385" s="134"/>
      <c r="J385" s="134"/>
      <c r="K385" s="134"/>
      <c r="L385" s="134"/>
      <c r="M385" s="134"/>
      <c r="N385" s="134"/>
      <c r="O385" s="134"/>
      <c r="P385" s="134"/>
      <c r="Q385" s="134"/>
      <c r="AB385" s="210"/>
      <c r="AC385" s="210"/>
      <c r="AD385" s="210"/>
      <c r="AE385" s="210"/>
      <c r="AF385" s="210"/>
      <c r="AG385" s="210"/>
      <c r="AH385" s="210"/>
      <c r="AI385" s="210"/>
      <c r="AJ385" s="210"/>
    </row>
    <row r="386" spans="2:36" s="141" customFormat="1" ht="12.75">
      <c r="B386" s="210"/>
      <c r="C386" s="208"/>
      <c r="D386" s="208"/>
      <c r="E386" s="208"/>
      <c r="F386" s="211"/>
      <c r="G386" s="211"/>
      <c r="H386" s="212"/>
      <c r="I386" s="134"/>
      <c r="J386" s="134"/>
      <c r="K386" s="134"/>
      <c r="L386" s="134"/>
      <c r="M386" s="134"/>
      <c r="N386" s="134"/>
      <c r="O386" s="134"/>
      <c r="P386" s="134"/>
      <c r="Q386" s="134"/>
      <c r="AB386" s="210"/>
      <c r="AC386" s="210"/>
      <c r="AD386" s="210"/>
      <c r="AE386" s="210"/>
      <c r="AF386" s="210"/>
      <c r="AG386" s="210"/>
      <c r="AH386" s="210"/>
      <c r="AI386" s="210"/>
      <c r="AJ386" s="210"/>
    </row>
    <row r="387" spans="1:36" s="141" customFormat="1" ht="12.75">
      <c r="A387" s="219"/>
      <c r="B387" s="216"/>
      <c r="C387" s="208"/>
      <c r="D387" s="208"/>
      <c r="E387" s="208"/>
      <c r="F387" s="211"/>
      <c r="G387" s="211"/>
      <c r="H387" s="212"/>
      <c r="I387" s="134"/>
      <c r="J387" s="134"/>
      <c r="K387" s="134"/>
      <c r="L387" s="134"/>
      <c r="M387" s="134"/>
      <c r="N387" s="134"/>
      <c r="O387" s="134"/>
      <c r="P387" s="134"/>
      <c r="Q387" s="134"/>
      <c r="AB387" s="210"/>
      <c r="AC387" s="210"/>
      <c r="AD387" s="210"/>
      <c r="AE387" s="210"/>
      <c r="AF387" s="210"/>
      <c r="AG387" s="210"/>
      <c r="AH387" s="210"/>
      <c r="AI387" s="210"/>
      <c r="AJ387" s="210"/>
    </row>
    <row r="388" spans="2:36" s="141" customFormat="1" ht="12.75">
      <c r="B388" s="216"/>
      <c r="C388" s="208"/>
      <c r="D388" s="208"/>
      <c r="E388" s="208"/>
      <c r="F388" s="211"/>
      <c r="G388" s="211"/>
      <c r="H388" s="212"/>
      <c r="I388" s="134"/>
      <c r="J388" s="134"/>
      <c r="K388" s="134"/>
      <c r="L388" s="134"/>
      <c r="M388" s="134"/>
      <c r="N388" s="134"/>
      <c r="O388" s="134"/>
      <c r="P388" s="134"/>
      <c r="Q388" s="134"/>
      <c r="AB388" s="210"/>
      <c r="AC388" s="210"/>
      <c r="AD388" s="210"/>
      <c r="AE388" s="210"/>
      <c r="AF388" s="210"/>
      <c r="AG388" s="210"/>
      <c r="AH388" s="210"/>
      <c r="AI388" s="210"/>
      <c r="AJ388" s="210"/>
    </row>
    <row r="389" spans="2:36" s="141" customFormat="1" ht="12.75">
      <c r="B389" s="216"/>
      <c r="C389" s="208"/>
      <c r="D389" s="208"/>
      <c r="E389" s="208"/>
      <c r="F389" s="211"/>
      <c r="G389" s="211"/>
      <c r="H389" s="212"/>
      <c r="I389" s="134"/>
      <c r="J389" s="134"/>
      <c r="K389" s="134"/>
      <c r="L389" s="134"/>
      <c r="M389" s="134"/>
      <c r="N389" s="134"/>
      <c r="O389" s="134"/>
      <c r="P389" s="134"/>
      <c r="Q389" s="134"/>
      <c r="AB389" s="210"/>
      <c r="AC389" s="210"/>
      <c r="AD389" s="210"/>
      <c r="AE389" s="210"/>
      <c r="AF389" s="210"/>
      <c r="AG389" s="210"/>
      <c r="AH389" s="210"/>
      <c r="AI389" s="210"/>
      <c r="AJ389" s="210"/>
    </row>
    <row r="390" spans="2:36" s="141" customFormat="1" ht="12.75">
      <c r="B390" s="216"/>
      <c r="C390" s="208"/>
      <c r="D390" s="208"/>
      <c r="E390" s="208"/>
      <c r="F390" s="211"/>
      <c r="G390" s="211"/>
      <c r="H390" s="212"/>
      <c r="I390" s="134"/>
      <c r="J390" s="134"/>
      <c r="K390" s="134"/>
      <c r="L390" s="134"/>
      <c r="M390" s="134"/>
      <c r="N390" s="134"/>
      <c r="O390" s="134"/>
      <c r="P390" s="134"/>
      <c r="Q390" s="134"/>
      <c r="AB390" s="210"/>
      <c r="AC390" s="210"/>
      <c r="AD390" s="210"/>
      <c r="AE390" s="210"/>
      <c r="AF390" s="210"/>
      <c r="AG390" s="210"/>
      <c r="AH390" s="210"/>
      <c r="AI390" s="210"/>
      <c r="AJ390" s="210"/>
    </row>
    <row r="391" spans="2:36" s="141" customFormat="1" ht="12.75">
      <c r="B391" s="216"/>
      <c r="C391" s="208"/>
      <c r="D391" s="208"/>
      <c r="E391" s="208"/>
      <c r="F391" s="211"/>
      <c r="G391" s="211"/>
      <c r="H391" s="212"/>
      <c r="I391" s="134"/>
      <c r="J391" s="134"/>
      <c r="K391" s="134"/>
      <c r="L391" s="134"/>
      <c r="M391" s="134"/>
      <c r="N391" s="134"/>
      <c r="O391" s="134"/>
      <c r="P391" s="134"/>
      <c r="Q391" s="134"/>
      <c r="AB391" s="210"/>
      <c r="AC391" s="210"/>
      <c r="AD391" s="210"/>
      <c r="AE391" s="210"/>
      <c r="AF391" s="210"/>
      <c r="AG391" s="210"/>
      <c r="AH391" s="210"/>
      <c r="AI391" s="210"/>
      <c r="AJ391" s="210"/>
    </row>
    <row r="392" spans="2:36" s="141" customFormat="1" ht="12.75">
      <c r="B392" s="210"/>
      <c r="C392" s="208"/>
      <c r="D392" s="208"/>
      <c r="E392" s="208"/>
      <c r="F392" s="211"/>
      <c r="G392" s="211"/>
      <c r="H392" s="212"/>
      <c r="I392" s="134"/>
      <c r="J392" s="134"/>
      <c r="K392" s="134"/>
      <c r="L392" s="134"/>
      <c r="M392" s="134"/>
      <c r="N392" s="134"/>
      <c r="O392" s="134"/>
      <c r="P392" s="134"/>
      <c r="Q392" s="134"/>
      <c r="AB392" s="210"/>
      <c r="AC392" s="210"/>
      <c r="AD392" s="210"/>
      <c r="AE392" s="210"/>
      <c r="AF392" s="210"/>
      <c r="AG392" s="210"/>
      <c r="AH392" s="210"/>
      <c r="AI392" s="210"/>
      <c r="AJ392" s="210"/>
    </row>
    <row r="393" spans="2:36" s="141" customFormat="1" ht="12.75">
      <c r="B393" s="210"/>
      <c r="C393" s="208"/>
      <c r="D393" s="208"/>
      <c r="E393" s="208"/>
      <c r="F393" s="211"/>
      <c r="G393" s="211"/>
      <c r="H393" s="212"/>
      <c r="I393" s="134"/>
      <c r="J393" s="134"/>
      <c r="K393" s="134"/>
      <c r="L393" s="134"/>
      <c r="M393" s="134"/>
      <c r="N393" s="134"/>
      <c r="O393" s="134"/>
      <c r="P393" s="134"/>
      <c r="Q393" s="134"/>
      <c r="AB393" s="210"/>
      <c r="AC393" s="210"/>
      <c r="AD393" s="210"/>
      <c r="AE393" s="210"/>
      <c r="AF393" s="210"/>
      <c r="AG393" s="210"/>
      <c r="AH393" s="210"/>
      <c r="AI393" s="210"/>
      <c r="AJ393" s="210"/>
    </row>
    <row r="394" spans="1:36" s="141" customFormat="1" ht="12.75">
      <c r="A394" s="219"/>
      <c r="B394" s="216"/>
      <c r="C394" s="208"/>
      <c r="D394" s="208"/>
      <c r="E394" s="208"/>
      <c r="F394" s="211"/>
      <c r="G394" s="211"/>
      <c r="H394" s="212"/>
      <c r="I394" s="134"/>
      <c r="J394" s="134"/>
      <c r="K394" s="134"/>
      <c r="L394" s="134"/>
      <c r="M394" s="134"/>
      <c r="N394" s="134"/>
      <c r="O394" s="134"/>
      <c r="P394" s="134"/>
      <c r="Q394" s="134"/>
      <c r="AB394" s="210"/>
      <c r="AC394" s="210"/>
      <c r="AD394" s="210"/>
      <c r="AE394" s="210"/>
      <c r="AF394" s="210"/>
      <c r="AG394" s="210"/>
      <c r="AH394" s="210"/>
      <c r="AI394" s="210"/>
      <c r="AJ394" s="210"/>
    </row>
    <row r="395" spans="2:36" s="141" customFormat="1" ht="12.75">
      <c r="B395" s="216"/>
      <c r="C395" s="208"/>
      <c r="D395" s="208"/>
      <c r="E395" s="208"/>
      <c r="F395" s="211"/>
      <c r="G395" s="211"/>
      <c r="H395" s="212"/>
      <c r="I395" s="134"/>
      <c r="J395" s="134"/>
      <c r="K395" s="134"/>
      <c r="L395" s="134"/>
      <c r="M395" s="134"/>
      <c r="N395" s="134"/>
      <c r="O395" s="134"/>
      <c r="P395" s="134"/>
      <c r="Q395" s="134"/>
      <c r="AB395" s="210"/>
      <c r="AC395" s="210"/>
      <c r="AD395" s="210"/>
      <c r="AE395" s="210"/>
      <c r="AF395" s="210"/>
      <c r="AG395" s="210"/>
      <c r="AH395" s="210"/>
      <c r="AI395" s="210"/>
      <c r="AJ395" s="210"/>
    </row>
    <row r="396" spans="2:36" s="141" customFormat="1" ht="12.75">
      <c r="B396" s="216"/>
      <c r="C396" s="208"/>
      <c r="D396" s="208"/>
      <c r="E396" s="208"/>
      <c r="F396" s="211"/>
      <c r="G396" s="211"/>
      <c r="H396" s="212"/>
      <c r="I396" s="134"/>
      <c r="J396" s="134"/>
      <c r="K396" s="134"/>
      <c r="L396" s="134"/>
      <c r="M396" s="134"/>
      <c r="N396" s="134"/>
      <c r="O396" s="134"/>
      <c r="P396" s="134"/>
      <c r="Q396" s="134"/>
      <c r="AB396" s="210"/>
      <c r="AC396" s="210"/>
      <c r="AD396" s="210"/>
      <c r="AE396" s="210"/>
      <c r="AF396" s="210"/>
      <c r="AG396" s="210"/>
      <c r="AH396" s="210"/>
      <c r="AI396" s="210"/>
      <c r="AJ396" s="210"/>
    </row>
    <row r="397" spans="2:36" s="141" customFormat="1" ht="12.75">
      <c r="B397" s="216"/>
      <c r="C397" s="208"/>
      <c r="D397" s="208"/>
      <c r="E397" s="208"/>
      <c r="F397" s="211"/>
      <c r="G397" s="211"/>
      <c r="H397" s="212"/>
      <c r="I397" s="134"/>
      <c r="J397" s="134"/>
      <c r="K397" s="134"/>
      <c r="L397" s="134"/>
      <c r="M397" s="134"/>
      <c r="N397" s="134"/>
      <c r="O397" s="134"/>
      <c r="P397" s="134"/>
      <c r="Q397" s="134"/>
      <c r="AB397" s="210"/>
      <c r="AC397" s="210"/>
      <c r="AD397" s="210"/>
      <c r="AE397" s="210"/>
      <c r="AF397" s="210"/>
      <c r="AG397" s="210"/>
      <c r="AH397" s="210"/>
      <c r="AI397" s="210"/>
      <c r="AJ397" s="210"/>
    </row>
    <row r="398" spans="2:36" s="141" customFormat="1" ht="12.75">
      <c r="B398" s="216"/>
      <c r="C398" s="208"/>
      <c r="D398" s="208"/>
      <c r="E398" s="208"/>
      <c r="F398" s="211"/>
      <c r="G398" s="211"/>
      <c r="H398" s="212"/>
      <c r="I398" s="134"/>
      <c r="J398" s="134"/>
      <c r="K398" s="134"/>
      <c r="L398" s="134"/>
      <c r="M398" s="134"/>
      <c r="N398" s="134"/>
      <c r="O398" s="134"/>
      <c r="P398" s="134"/>
      <c r="Q398" s="134"/>
      <c r="AB398" s="210"/>
      <c r="AC398" s="210"/>
      <c r="AD398" s="210"/>
      <c r="AE398" s="210"/>
      <c r="AF398" s="210"/>
      <c r="AG398" s="210"/>
      <c r="AH398" s="210"/>
      <c r="AI398" s="210"/>
      <c r="AJ398" s="210"/>
    </row>
    <row r="399" spans="2:36" s="141" customFormat="1" ht="12.75">
      <c r="B399" s="210"/>
      <c r="C399" s="208"/>
      <c r="D399" s="208"/>
      <c r="E399" s="208"/>
      <c r="F399" s="211"/>
      <c r="G399" s="211"/>
      <c r="H399" s="212"/>
      <c r="I399" s="134"/>
      <c r="J399" s="134"/>
      <c r="K399" s="134"/>
      <c r="L399" s="134"/>
      <c r="M399" s="134"/>
      <c r="N399" s="134"/>
      <c r="O399" s="134"/>
      <c r="P399" s="134"/>
      <c r="Q399" s="134"/>
      <c r="AB399" s="210"/>
      <c r="AC399" s="210"/>
      <c r="AD399" s="210"/>
      <c r="AE399" s="210"/>
      <c r="AF399" s="210"/>
      <c r="AG399" s="210"/>
      <c r="AH399" s="210"/>
      <c r="AI399" s="210"/>
      <c r="AJ399" s="210"/>
    </row>
    <row r="400" spans="2:36" s="141" customFormat="1" ht="12.75">
      <c r="B400" s="210"/>
      <c r="C400" s="208"/>
      <c r="D400" s="208"/>
      <c r="E400" s="208"/>
      <c r="F400" s="211"/>
      <c r="G400" s="211"/>
      <c r="H400" s="212"/>
      <c r="I400" s="134"/>
      <c r="J400" s="134"/>
      <c r="K400" s="134"/>
      <c r="L400" s="134"/>
      <c r="M400" s="134"/>
      <c r="N400" s="134"/>
      <c r="O400" s="134"/>
      <c r="P400" s="134"/>
      <c r="Q400" s="134"/>
      <c r="AB400" s="210"/>
      <c r="AC400" s="210"/>
      <c r="AD400" s="210"/>
      <c r="AE400" s="210"/>
      <c r="AF400" s="210"/>
      <c r="AG400" s="210"/>
      <c r="AH400" s="210"/>
      <c r="AI400" s="210"/>
      <c r="AJ400" s="210"/>
    </row>
    <row r="401" spans="1:36" s="141" customFormat="1" ht="12.75">
      <c r="A401" s="219"/>
      <c r="B401" s="216"/>
      <c r="C401" s="208"/>
      <c r="D401" s="208"/>
      <c r="E401" s="208"/>
      <c r="F401" s="211"/>
      <c r="G401" s="211"/>
      <c r="H401" s="212"/>
      <c r="I401" s="134"/>
      <c r="J401" s="134"/>
      <c r="K401" s="134"/>
      <c r="L401" s="134"/>
      <c r="M401" s="134"/>
      <c r="N401" s="134"/>
      <c r="O401" s="134"/>
      <c r="P401" s="134"/>
      <c r="Q401" s="134"/>
      <c r="AB401" s="210"/>
      <c r="AC401" s="210"/>
      <c r="AD401" s="210"/>
      <c r="AE401" s="210"/>
      <c r="AF401" s="210"/>
      <c r="AG401" s="210"/>
      <c r="AH401" s="210"/>
      <c r="AI401" s="210"/>
      <c r="AJ401" s="210"/>
    </row>
    <row r="402" spans="2:36" s="141" customFormat="1" ht="12.75">
      <c r="B402" s="216"/>
      <c r="C402" s="208"/>
      <c r="D402" s="208"/>
      <c r="E402" s="208"/>
      <c r="F402" s="211"/>
      <c r="G402" s="211"/>
      <c r="H402" s="212"/>
      <c r="I402" s="134"/>
      <c r="J402" s="134"/>
      <c r="K402" s="134"/>
      <c r="L402" s="134"/>
      <c r="M402" s="134"/>
      <c r="N402" s="134"/>
      <c r="O402" s="134"/>
      <c r="P402" s="134"/>
      <c r="Q402" s="134"/>
      <c r="AB402" s="210"/>
      <c r="AC402" s="210"/>
      <c r="AD402" s="210"/>
      <c r="AE402" s="210"/>
      <c r="AF402" s="210"/>
      <c r="AG402" s="210"/>
      <c r="AH402" s="210"/>
      <c r="AI402" s="210"/>
      <c r="AJ402" s="210"/>
    </row>
    <row r="403" spans="2:36" s="141" customFormat="1" ht="12.75">
      <c r="B403" s="216"/>
      <c r="C403" s="208"/>
      <c r="D403" s="208"/>
      <c r="E403" s="208"/>
      <c r="F403" s="211"/>
      <c r="G403" s="211"/>
      <c r="H403" s="212"/>
      <c r="I403" s="134"/>
      <c r="J403" s="134"/>
      <c r="K403" s="134"/>
      <c r="L403" s="134"/>
      <c r="M403" s="134"/>
      <c r="N403" s="134"/>
      <c r="O403" s="134"/>
      <c r="P403" s="134"/>
      <c r="Q403" s="134"/>
      <c r="AB403" s="210"/>
      <c r="AC403" s="210"/>
      <c r="AD403" s="210"/>
      <c r="AE403" s="210"/>
      <c r="AF403" s="210"/>
      <c r="AG403" s="210"/>
      <c r="AH403" s="210"/>
      <c r="AI403" s="210"/>
      <c r="AJ403" s="210"/>
    </row>
    <row r="404" spans="2:36" s="141" customFormat="1" ht="12.75">
      <c r="B404" s="216"/>
      <c r="C404" s="208"/>
      <c r="D404" s="208"/>
      <c r="E404" s="208"/>
      <c r="F404" s="211"/>
      <c r="G404" s="211"/>
      <c r="H404" s="212"/>
      <c r="I404" s="134"/>
      <c r="J404" s="134"/>
      <c r="K404" s="134"/>
      <c r="L404" s="134"/>
      <c r="M404" s="134"/>
      <c r="N404" s="134"/>
      <c r="O404" s="134"/>
      <c r="P404" s="134"/>
      <c r="Q404" s="134"/>
      <c r="AB404" s="210"/>
      <c r="AC404" s="210"/>
      <c r="AD404" s="210"/>
      <c r="AE404" s="210"/>
      <c r="AF404" s="210"/>
      <c r="AG404" s="210"/>
      <c r="AH404" s="210"/>
      <c r="AI404" s="210"/>
      <c r="AJ404" s="210"/>
    </row>
    <row r="405" spans="2:36" s="141" customFormat="1" ht="12.75">
      <c r="B405" s="216"/>
      <c r="C405" s="208"/>
      <c r="D405" s="208"/>
      <c r="E405" s="208"/>
      <c r="F405" s="211"/>
      <c r="G405" s="211"/>
      <c r="H405" s="212"/>
      <c r="I405" s="134"/>
      <c r="J405" s="134"/>
      <c r="K405" s="134"/>
      <c r="L405" s="134"/>
      <c r="M405" s="134"/>
      <c r="N405" s="134"/>
      <c r="O405" s="134"/>
      <c r="P405" s="134"/>
      <c r="Q405" s="134"/>
      <c r="AB405" s="210"/>
      <c r="AC405" s="210"/>
      <c r="AD405" s="210"/>
      <c r="AE405" s="210"/>
      <c r="AF405" s="210"/>
      <c r="AG405" s="210"/>
      <c r="AH405" s="210"/>
      <c r="AI405" s="210"/>
      <c r="AJ405" s="210"/>
    </row>
    <row r="406" spans="2:36" s="141" customFormat="1" ht="12.75">
      <c r="B406" s="210"/>
      <c r="C406" s="208"/>
      <c r="D406" s="208"/>
      <c r="E406" s="208"/>
      <c r="F406" s="211"/>
      <c r="G406" s="211"/>
      <c r="H406" s="212"/>
      <c r="I406" s="134"/>
      <c r="J406" s="134"/>
      <c r="K406" s="134"/>
      <c r="L406" s="134"/>
      <c r="M406" s="134"/>
      <c r="N406" s="134"/>
      <c r="O406" s="134"/>
      <c r="P406" s="134"/>
      <c r="Q406" s="134"/>
      <c r="AB406" s="210"/>
      <c r="AC406" s="210"/>
      <c r="AD406" s="210"/>
      <c r="AE406" s="210"/>
      <c r="AF406" s="210"/>
      <c r="AG406" s="210"/>
      <c r="AH406" s="210"/>
      <c r="AI406" s="210"/>
      <c r="AJ406" s="210"/>
    </row>
    <row r="407" spans="2:36" s="141" customFormat="1" ht="12.75">
      <c r="B407" s="210"/>
      <c r="C407" s="208"/>
      <c r="D407" s="208"/>
      <c r="E407" s="208"/>
      <c r="F407" s="211"/>
      <c r="G407" s="211"/>
      <c r="H407" s="212"/>
      <c r="I407" s="134"/>
      <c r="J407" s="134"/>
      <c r="K407" s="134"/>
      <c r="L407" s="134"/>
      <c r="M407" s="134"/>
      <c r="N407" s="134"/>
      <c r="O407" s="134"/>
      <c r="P407" s="134"/>
      <c r="Q407" s="134"/>
      <c r="AB407" s="210"/>
      <c r="AC407" s="210"/>
      <c r="AD407" s="210"/>
      <c r="AE407" s="210"/>
      <c r="AF407" s="210"/>
      <c r="AG407" s="210"/>
      <c r="AH407" s="210"/>
      <c r="AI407" s="210"/>
      <c r="AJ407" s="210"/>
    </row>
    <row r="408" spans="1:36" s="141" customFormat="1" ht="12.75">
      <c r="A408" s="219"/>
      <c r="B408" s="216"/>
      <c r="C408" s="208"/>
      <c r="D408" s="208"/>
      <c r="E408" s="208"/>
      <c r="F408" s="211"/>
      <c r="G408" s="211"/>
      <c r="H408" s="212"/>
      <c r="I408" s="134"/>
      <c r="J408" s="134"/>
      <c r="K408" s="134"/>
      <c r="L408" s="134"/>
      <c r="M408" s="134"/>
      <c r="N408" s="134"/>
      <c r="O408" s="134"/>
      <c r="P408" s="134"/>
      <c r="Q408" s="134"/>
      <c r="AB408" s="210"/>
      <c r="AC408" s="210"/>
      <c r="AD408" s="210"/>
      <c r="AE408" s="210"/>
      <c r="AF408" s="210"/>
      <c r="AG408" s="210"/>
      <c r="AH408" s="210"/>
      <c r="AI408" s="210"/>
      <c r="AJ408" s="210"/>
    </row>
    <row r="409" spans="2:36" s="141" customFormat="1" ht="12.75">
      <c r="B409" s="216"/>
      <c r="C409" s="208"/>
      <c r="D409" s="208"/>
      <c r="E409" s="208"/>
      <c r="F409" s="211"/>
      <c r="G409" s="211"/>
      <c r="H409" s="212"/>
      <c r="I409" s="134"/>
      <c r="J409" s="134"/>
      <c r="K409" s="134"/>
      <c r="L409" s="134"/>
      <c r="M409" s="134"/>
      <c r="N409" s="134"/>
      <c r="O409" s="134"/>
      <c r="P409" s="134"/>
      <c r="Q409" s="134"/>
      <c r="AB409" s="210"/>
      <c r="AC409" s="210"/>
      <c r="AD409" s="210"/>
      <c r="AE409" s="210"/>
      <c r="AF409" s="210"/>
      <c r="AG409" s="210"/>
      <c r="AH409" s="210"/>
      <c r="AI409" s="210"/>
      <c r="AJ409" s="210"/>
    </row>
    <row r="410" spans="2:36" s="141" customFormat="1" ht="12.75">
      <c r="B410" s="216"/>
      <c r="C410" s="208"/>
      <c r="D410" s="208"/>
      <c r="E410" s="208"/>
      <c r="F410" s="211"/>
      <c r="G410" s="211"/>
      <c r="H410" s="212"/>
      <c r="I410" s="134"/>
      <c r="J410" s="134"/>
      <c r="K410" s="134"/>
      <c r="L410" s="134"/>
      <c r="M410" s="134"/>
      <c r="N410" s="134"/>
      <c r="O410" s="134"/>
      <c r="P410" s="134"/>
      <c r="Q410" s="134"/>
      <c r="AB410" s="210"/>
      <c r="AC410" s="210"/>
      <c r="AD410" s="210"/>
      <c r="AE410" s="210"/>
      <c r="AF410" s="210"/>
      <c r="AG410" s="210"/>
      <c r="AH410" s="210"/>
      <c r="AI410" s="210"/>
      <c r="AJ410" s="210"/>
    </row>
    <row r="411" spans="2:36" s="141" customFormat="1" ht="12.75">
      <c r="B411" s="216"/>
      <c r="C411" s="208"/>
      <c r="D411" s="208"/>
      <c r="E411" s="208"/>
      <c r="F411" s="211"/>
      <c r="G411" s="211"/>
      <c r="H411" s="212"/>
      <c r="I411" s="134"/>
      <c r="J411" s="134"/>
      <c r="K411" s="134"/>
      <c r="L411" s="134"/>
      <c r="M411" s="134"/>
      <c r="N411" s="134"/>
      <c r="O411" s="134"/>
      <c r="P411" s="134"/>
      <c r="Q411" s="134"/>
      <c r="AB411" s="210"/>
      <c r="AC411" s="210"/>
      <c r="AD411" s="210"/>
      <c r="AE411" s="210"/>
      <c r="AF411" s="210"/>
      <c r="AG411" s="210"/>
      <c r="AH411" s="210"/>
      <c r="AI411" s="210"/>
      <c r="AJ411" s="210"/>
    </row>
    <row r="412" spans="2:36" s="141" customFormat="1" ht="12.75">
      <c r="B412" s="216"/>
      <c r="C412" s="208"/>
      <c r="D412" s="208"/>
      <c r="E412" s="208"/>
      <c r="F412" s="211"/>
      <c r="G412" s="211"/>
      <c r="H412" s="212"/>
      <c r="I412" s="134"/>
      <c r="J412" s="134"/>
      <c r="K412" s="134"/>
      <c r="L412" s="134"/>
      <c r="M412" s="134"/>
      <c r="N412" s="134"/>
      <c r="O412" s="134"/>
      <c r="P412" s="134"/>
      <c r="Q412" s="134"/>
      <c r="AB412" s="210"/>
      <c r="AC412" s="210"/>
      <c r="AD412" s="210"/>
      <c r="AE412" s="210"/>
      <c r="AF412" s="210"/>
      <c r="AG412" s="210"/>
      <c r="AH412" s="210"/>
      <c r="AI412" s="210"/>
      <c r="AJ412" s="210"/>
    </row>
    <row r="413" spans="2:36" s="141" customFormat="1" ht="12.75">
      <c r="B413" s="210"/>
      <c r="C413" s="208"/>
      <c r="D413" s="208"/>
      <c r="E413" s="208"/>
      <c r="F413" s="211"/>
      <c r="G413" s="211"/>
      <c r="H413" s="212"/>
      <c r="I413" s="134"/>
      <c r="J413" s="134"/>
      <c r="K413" s="134"/>
      <c r="L413" s="134"/>
      <c r="M413" s="134"/>
      <c r="N413" s="134"/>
      <c r="O413" s="134"/>
      <c r="P413" s="134"/>
      <c r="Q413" s="134"/>
      <c r="AB413" s="210"/>
      <c r="AC413" s="210"/>
      <c r="AD413" s="210"/>
      <c r="AE413" s="210"/>
      <c r="AF413" s="210"/>
      <c r="AG413" s="210"/>
      <c r="AH413" s="210"/>
      <c r="AI413" s="210"/>
      <c r="AJ413" s="210"/>
    </row>
    <row r="414" spans="2:36" s="141" customFormat="1" ht="12.75">
      <c r="B414" s="210"/>
      <c r="C414" s="208"/>
      <c r="D414" s="208"/>
      <c r="E414" s="208"/>
      <c r="F414" s="211"/>
      <c r="G414" s="211"/>
      <c r="H414" s="212"/>
      <c r="I414" s="134"/>
      <c r="J414" s="134"/>
      <c r="K414" s="134"/>
      <c r="L414" s="134"/>
      <c r="M414" s="134"/>
      <c r="N414" s="134"/>
      <c r="O414" s="134"/>
      <c r="P414" s="134"/>
      <c r="Q414" s="134"/>
      <c r="AB414" s="210"/>
      <c r="AC414" s="210"/>
      <c r="AD414" s="210"/>
      <c r="AE414" s="210"/>
      <c r="AF414" s="210"/>
      <c r="AG414" s="210"/>
      <c r="AH414" s="210"/>
      <c r="AI414" s="210"/>
      <c r="AJ414" s="210"/>
    </row>
    <row r="415" spans="2:36" s="141" customFormat="1" ht="12.75">
      <c r="B415" s="210"/>
      <c r="C415" s="208"/>
      <c r="D415" s="208"/>
      <c r="E415" s="208"/>
      <c r="F415" s="211"/>
      <c r="G415" s="211"/>
      <c r="H415" s="212"/>
      <c r="I415" s="134"/>
      <c r="J415" s="134"/>
      <c r="K415" s="134"/>
      <c r="L415" s="134"/>
      <c r="M415" s="134"/>
      <c r="N415" s="134"/>
      <c r="O415" s="134"/>
      <c r="P415" s="134"/>
      <c r="Q415" s="134"/>
      <c r="AB415" s="210"/>
      <c r="AC415" s="210"/>
      <c r="AD415" s="210"/>
      <c r="AE415" s="210"/>
      <c r="AF415" s="210"/>
      <c r="AG415" s="210"/>
      <c r="AH415" s="210"/>
      <c r="AI415" s="210"/>
      <c r="AJ415" s="210"/>
    </row>
    <row r="416" spans="2:36" s="141" customFormat="1" ht="12.75">
      <c r="B416" s="210"/>
      <c r="C416" s="208"/>
      <c r="D416" s="208"/>
      <c r="E416" s="208"/>
      <c r="F416" s="211"/>
      <c r="G416" s="211"/>
      <c r="H416" s="212"/>
      <c r="I416" s="134"/>
      <c r="J416" s="134"/>
      <c r="K416" s="134"/>
      <c r="L416" s="134"/>
      <c r="M416" s="134"/>
      <c r="N416" s="134"/>
      <c r="O416" s="134"/>
      <c r="P416" s="134"/>
      <c r="Q416" s="134"/>
      <c r="AB416" s="210"/>
      <c r="AC416" s="210"/>
      <c r="AD416" s="210"/>
      <c r="AE416" s="210"/>
      <c r="AF416" s="210"/>
      <c r="AG416" s="210"/>
      <c r="AH416" s="210"/>
      <c r="AI416" s="210"/>
      <c r="AJ416" s="210"/>
    </row>
    <row r="417" spans="2:36" s="141" customFormat="1" ht="12.75">
      <c r="B417" s="210"/>
      <c r="C417" s="208"/>
      <c r="D417" s="208"/>
      <c r="E417" s="208"/>
      <c r="F417" s="211"/>
      <c r="G417" s="211"/>
      <c r="H417" s="212"/>
      <c r="I417" s="134"/>
      <c r="J417" s="134"/>
      <c r="K417" s="134"/>
      <c r="L417" s="134"/>
      <c r="M417" s="134"/>
      <c r="N417" s="134"/>
      <c r="O417" s="134"/>
      <c r="P417" s="134"/>
      <c r="Q417" s="134"/>
      <c r="AB417" s="210"/>
      <c r="AC417" s="210"/>
      <c r="AD417" s="210"/>
      <c r="AE417" s="210"/>
      <c r="AF417" s="210"/>
      <c r="AG417" s="210"/>
      <c r="AH417" s="210"/>
      <c r="AI417" s="210"/>
      <c r="AJ417" s="210"/>
    </row>
    <row r="418" spans="2:36" s="141" customFormat="1" ht="12.75">
      <c r="B418" s="210"/>
      <c r="C418" s="208"/>
      <c r="D418" s="208"/>
      <c r="E418" s="208"/>
      <c r="F418" s="211"/>
      <c r="G418" s="211"/>
      <c r="H418" s="212"/>
      <c r="I418" s="134"/>
      <c r="J418" s="134"/>
      <c r="K418" s="134"/>
      <c r="L418" s="134"/>
      <c r="M418" s="134"/>
      <c r="N418" s="134"/>
      <c r="O418" s="134"/>
      <c r="P418" s="134"/>
      <c r="Q418" s="134"/>
      <c r="AB418" s="210"/>
      <c r="AC418" s="210"/>
      <c r="AD418" s="210"/>
      <c r="AE418" s="210"/>
      <c r="AF418" s="210"/>
      <c r="AG418" s="210"/>
      <c r="AH418" s="210"/>
      <c r="AI418" s="210"/>
      <c r="AJ418" s="210"/>
    </row>
    <row r="419" spans="2:36" s="141" customFormat="1" ht="12.75">
      <c r="B419" s="210"/>
      <c r="C419" s="208"/>
      <c r="D419" s="208"/>
      <c r="E419" s="208"/>
      <c r="F419" s="211"/>
      <c r="G419" s="211"/>
      <c r="H419" s="212"/>
      <c r="I419" s="134"/>
      <c r="J419" s="134"/>
      <c r="K419" s="134"/>
      <c r="L419" s="134"/>
      <c r="M419" s="134"/>
      <c r="N419" s="134"/>
      <c r="O419" s="134"/>
      <c r="P419" s="134"/>
      <c r="Q419" s="134"/>
      <c r="AB419" s="210"/>
      <c r="AC419" s="210"/>
      <c r="AD419" s="210"/>
      <c r="AE419" s="210"/>
      <c r="AF419" s="210"/>
      <c r="AG419" s="210"/>
      <c r="AH419" s="210"/>
      <c r="AI419" s="210"/>
      <c r="AJ419" s="210"/>
    </row>
    <row r="420" spans="2:36" s="141" customFormat="1" ht="12.75">
      <c r="B420" s="210"/>
      <c r="C420" s="208"/>
      <c r="D420" s="208"/>
      <c r="E420" s="208"/>
      <c r="F420" s="211"/>
      <c r="G420" s="211"/>
      <c r="H420" s="212"/>
      <c r="I420" s="134"/>
      <c r="J420" s="134"/>
      <c r="K420" s="134"/>
      <c r="L420" s="134"/>
      <c r="M420" s="134"/>
      <c r="N420" s="134"/>
      <c r="O420" s="134"/>
      <c r="P420" s="134"/>
      <c r="Q420" s="134"/>
      <c r="AB420" s="210"/>
      <c r="AC420" s="210"/>
      <c r="AD420" s="210"/>
      <c r="AE420" s="210"/>
      <c r="AF420" s="210"/>
      <c r="AG420" s="210"/>
      <c r="AH420" s="210"/>
      <c r="AI420" s="210"/>
      <c r="AJ420" s="210"/>
    </row>
    <row r="421" spans="2:36" s="141" customFormat="1" ht="12.75">
      <c r="B421" s="210"/>
      <c r="C421" s="208"/>
      <c r="D421" s="208"/>
      <c r="E421" s="208"/>
      <c r="F421" s="211"/>
      <c r="G421" s="211"/>
      <c r="H421" s="212"/>
      <c r="I421" s="134"/>
      <c r="J421" s="134"/>
      <c r="K421" s="134"/>
      <c r="L421" s="134"/>
      <c r="M421" s="134"/>
      <c r="N421" s="134"/>
      <c r="O421" s="134"/>
      <c r="P421" s="134"/>
      <c r="Q421" s="134"/>
      <c r="AB421" s="210"/>
      <c r="AC421" s="210"/>
      <c r="AD421" s="210"/>
      <c r="AE421" s="210"/>
      <c r="AF421" s="210"/>
      <c r="AG421" s="210"/>
      <c r="AH421" s="210"/>
      <c r="AI421" s="210"/>
      <c r="AJ421" s="210"/>
    </row>
    <row r="422" spans="2:36" s="141" customFormat="1" ht="12.75">
      <c r="B422" s="210"/>
      <c r="C422" s="208"/>
      <c r="D422" s="208"/>
      <c r="E422" s="208"/>
      <c r="F422" s="211"/>
      <c r="G422" s="211"/>
      <c r="H422" s="212"/>
      <c r="I422" s="134"/>
      <c r="J422" s="134"/>
      <c r="K422" s="134"/>
      <c r="L422" s="134"/>
      <c r="M422" s="134"/>
      <c r="N422" s="134"/>
      <c r="O422" s="134"/>
      <c r="P422" s="134"/>
      <c r="Q422" s="134"/>
      <c r="AB422" s="210"/>
      <c r="AC422" s="210"/>
      <c r="AD422" s="210"/>
      <c r="AE422" s="210"/>
      <c r="AF422" s="210"/>
      <c r="AG422" s="210"/>
      <c r="AH422" s="210"/>
      <c r="AI422" s="210"/>
      <c r="AJ422" s="210"/>
    </row>
    <row r="423" spans="2:36" s="141" customFormat="1" ht="12.75">
      <c r="B423" s="210"/>
      <c r="C423" s="208"/>
      <c r="D423" s="208"/>
      <c r="E423" s="208"/>
      <c r="F423" s="211"/>
      <c r="G423" s="211"/>
      <c r="H423" s="212"/>
      <c r="I423" s="134"/>
      <c r="J423" s="134"/>
      <c r="K423" s="134"/>
      <c r="L423" s="134"/>
      <c r="M423" s="134"/>
      <c r="N423" s="134"/>
      <c r="O423" s="134"/>
      <c r="P423" s="134"/>
      <c r="Q423" s="134"/>
      <c r="AB423" s="210"/>
      <c r="AC423" s="210"/>
      <c r="AD423" s="210"/>
      <c r="AE423" s="210"/>
      <c r="AF423" s="210"/>
      <c r="AG423" s="210"/>
      <c r="AH423" s="210"/>
      <c r="AI423" s="210"/>
      <c r="AJ423" s="210"/>
    </row>
    <row r="424" spans="2:36" s="141" customFormat="1" ht="12.75">
      <c r="B424" s="210"/>
      <c r="C424" s="208"/>
      <c r="D424" s="208"/>
      <c r="E424" s="208"/>
      <c r="F424" s="211"/>
      <c r="G424" s="211"/>
      <c r="H424" s="212"/>
      <c r="I424" s="134"/>
      <c r="J424" s="134"/>
      <c r="K424" s="134"/>
      <c r="L424" s="134"/>
      <c r="M424" s="134"/>
      <c r="N424" s="134"/>
      <c r="O424" s="134"/>
      <c r="P424" s="134"/>
      <c r="Q424" s="134"/>
      <c r="AB424" s="210"/>
      <c r="AC424" s="210"/>
      <c r="AD424" s="210"/>
      <c r="AE424" s="210"/>
      <c r="AF424" s="210"/>
      <c r="AG424" s="210"/>
      <c r="AH424" s="210"/>
      <c r="AI424" s="210"/>
      <c r="AJ424" s="210"/>
    </row>
    <row r="425" spans="2:36" s="141" customFormat="1" ht="12.75">
      <c r="B425" s="210"/>
      <c r="C425" s="208"/>
      <c r="D425" s="208"/>
      <c r="E425" s="208"/>
      <c r="F425" s="211"/>
      <c r="G425" s="211"/>
      <c r="H425" s="212"/>
      <c r="I425" s="134"/>
      <c r="J425" s="134"/>
      <c r="K425" s="134"/>
      <c r="L425" s="134"/>
      <c r="M425" s="134"/>
      <c r="N425" s="134"/>
      <c r="O425" s="134"/>
      <c r="P425" s="134"/>
      <c r="Q425" s="134"/>
      <c r="AB425" s="210"/>
      <c r="AC425" s="210"/>
      <c r="AD425" s="210"/>
      <c r="AE425" s="210"/>
      <c r="AF425" s="210"/>
      <c r="AG425" s="210"/>
      <c r="AH425" s="210"/>
      <c r="AI425" s="210"/>
      <c r="AJ425" s="210"/>
    </row>
    <row r="426" spans="2:36" s="141" customFormat="1" ht="12.75">
      <c r="B426" s="210"/>
      <c r="C426" s="208"/>
      <c r="D426" s="208"/>
      <c r="E426" s="208"/>
      <c r="F426" s="211"/>
      <c r="G426" s="211"/>
      <c r="H426" s="212"/>
      <c r="I426" s="134"/>
      <c r="J426" s="134"/>
      <c r="K426" s="134"/>
      <c r="L426" s="134"/>
      <c r="M426" s="134"/>
      <c r="N426" s="134"/>
      <c r="O426" s="134"/>
      <c r="P426" s="134"/>
      <c r="Q426" s="134"/>
      <c r="AB426" s="210"/>
      <c r="AC426" s="210"/>
      <c r="AD426" s="210"/>
      <c r="AE426" s="210"/>
      <c r="AF426" s="210"/>
      <c r="AG426" s="210"/>
      <c r="AH426" s="210"/>
      <c r="AI426" s="210"/>
      <c r="AJ426" s="210"/>
    </row>
  </sheetData>
  <sheetProtection/>
  <printOptions/>
  <pageMargins left="0.25" right="0.3" top="0.73" bottom="0.33" header="0.5" footer="0.22"/>
  <pageSetup fitToHeight="4" fitToWidth="4" horizontalDpi="600" verticalDpi="600" orientation="landscape" scale="47" r:id="rId3"/>
  <legacyDrawing r:id="rId2"/>
</worksheet>
</file>

<file path=xl/worksheets/sheet4.xml><?xml version="1.0" encoding="utf-8"?>
<worksheet xmlns="http://schemas.openxmlformats.org/spreadsheetml/2006/main" xmlns:r="http://schemas.openxmlformats.org/officeDocument/2006/relationships">
  <dimension ref="A2:U140"/>
  <sheetViews>
    <sheetView zoomScale="75" zoomScaleNormal="75" zoomScalePageLayoutView="0" workbookViewId="0" topLeftCell="A1">
      <pane xSplit="6" ySplit="2" topLeftCell="G120" activePane="bottomRight" state="frozen"/>
      <selection pane="topLeft" activeCell="A1" sqref="A1"/>
      <selection pane="topRight" activeCell="G1" sqref="G1"/>
      <selection pane="bottomLeft" activeCell="A3" sqref="A3"/>
      <selection pane="bottomRight" activeCell="K130" sqref="K130"/>
    </sheetView>
  </sheetViews>
  <sheetFormatPr defaultColWidth="9.140625" defaultRowHeight="12.75"/>
  <cols>
    <col min="1" max="1" width="18.140625" style="32" customWidth="1"/>
    <col min="2" max="5" width="18.140625" style="22" customWidth="1"/>
    <col min="6" max="6" width="11.00390625" style="22" bestFit="1" customWidth="1"/>
    <col min="7" max="7" width="17.28125" style="26" customWidth="1"/>
    <col min="8" max="8" width="14.421875" style="26" bestFit="1" customWidth="1"/>
    <col min="9" max="9" width="14.00390625" style="26" bestFit="1" customWidth="1"/>
    <col min="10" max="10" width="15.7109375" style="26" customWidth="1"/>
    <col min="11" max="11" width="10.00390625" style="26" bestFit="1" customWidth="1"/>
    <col min="12" max="12" width="12.421875" style="26" customWidth="1"/>
    <col min="13" max="13" width="13.421875" style="26" customWidth="1"/>
    <col min="14" max="14" width="11.57421875" style="26" bestFit="1" customWidth="1"/>
    <col min="15" max="15" width="15.7109375" style="26" customWidth="1"/>
    <col min="16" max="16" width="11.140625" style="26" bestFit="1" customWidth="1"/>
    <col min="17" max="17" width="11.7109375" style="26" bestFit="1" customWidth="1"/>
    <col min="18" max="18" width="10.7109375" style="26" bestFit="1" customWidth="1"/>
    <col min="19" max="19" width="9.140625" style="26" customWidth="1"/>
    <col min="20" max="20" width="11.140625" style="26" bestFit="1" customWidth="1"/>
    <col min="21" max="16384" width="9.140625" style="32" customWidth="1"/>
  </cols>
  <sheetData>
    <row r="1" ht="12.75"/>
    <row r="2" spans="2:14" ht="42" customHeight="1">
      <c r="B2" s="74" t="s">
        <v>8</v>
      </c>
      <c r="C2" s="74" t="s">
        <v>9</v>
      </c>
      <c r="D2" s="74" t="s">
        <v>45</v>
      </c>
      <c r="E2" s="74" t="s">
        <v>10</v>
      </c>
      <c r="F2" s="74" t="s">
        <v>1</v>
      </c>
      <c r="G2" s="72" t="s">
        <v>2</v>
      </c>
      <c r="H2" s="71" t="s">
        <v>67</v>
      </c>
      <c r="I2" s="75" t="s">
        <v>68</v>
      </c>
      <c r="J2" s="75" t="s">
        <v>69</v>
      </c>
      <c r="K2" s="308" t="s">
        <v>319</v>
      </c>
      <c r="L2" s="75" t="s">
        <v>78</v>
      </c>
      <c r="M2" s="75" t="s">
        <v>72</v>
      </c>
      <c r="N2" s="72" t="s">
        <v>70</v>
      </c>
    </row>
    <row r="3" ht="12.75"/>
    <row r="4" spans="1:2" ht="12.75">
      <c r="A4" s="22"/>
      <c r="B4" s="46" t="s">
        <v>80</v>
      </c>
    </row>
    <row r="5" spans="2:20" ht="12.75">
      <c r="B5" s="32"/>
      <c r="C5" s="32"/>
      <c r="D5" s="32"/>
      <c r="E5" s="32"/>
      <c r="F5" s="32"/>
      <c r="G5" s="32"/>
      <c r="H5" s="32"/>
      <c r="I5" s="32"/>
      <c r="J5" s="32"/>
      <c r="K5" s="32"/>
      <c r="L5" s="32"/>
      <c r="M5" s="32"/>
      <c r="N5" s="32"/>
      <c r="O5" s="32"/>
      <c r="P5" s="32"/>
      <c r="Q5" s="32"/>
      <c r="R5" s="32"/>
      <c r="S5" s="32"/>
      <c r="T5" s="32"/>
    </row>
    <row r="6" ht="12.75"/>
    <row r="7" spans="1:5" ht="12.75">
      <c r="A7" s="32">
        <f>'Purchased Power Model'!A319</f>
        <v>1996</v>
      </c>
      <c r="B7" s="26">
        <f>'Purchased Power Model'!E319</f>
        <v>0</v>
      </c>
      <c r="C7" s="26">
        <f>'Purchased Power Model'!O319</f>
        <v>903104889.985949</v>
      </c>
      <c r="D7" s="76">
        <f>C7-B7</f>
        <v>903104889.985949</v>
      </c>
      <c r="E7" s="77"/>
    </row>
    <row r="8" spans="1:5" ht="12.75">
      <c r="A8" s="32">
        <f>'Purchased Power Model'!A320</f>
        <v>1997</v>
      </c>
      <c r="B8" s="26">
        <f>'Purchased Power Model'!E320</f>
        <v>0</v>
      </c>
      <c r="C8" s="26">
        <f>'Purchased Power Model'!O320</f>
        <v>917092717.8856926</v>
      </c>
      <c r="D8" s="76">
        <f aca="true" t="shared" si="0" ref="D8:D30">C8-B8</f>
        <v>917092717.8856926</v>
      </c>
      <c r="E8" s="77"/>
    </row>
    <row r="9" spans="1:5" ht="12.75">
      <c r="A9" s="32">
        <f>'Purchased Power Model'!A321</f>
        <v>1998</v>
      </c>
      <c r="B9" s="26">
        <f>'Purchased Power Model'!E321</f>
        <v>0</v>
      </c>
      <c r="C9" s="26">
        <f>'Purchased Power Model'!O321</f>
        <v>981727925.4679369</v>
      </c>
      <c r="D9" s="76">
        <f t="shared" si="0"/>
        <v>981727925.4679369</v>
      </c>
      <c r="E9" s="77"/>
    </row>
    <row r="10" spans="1:6" ht="12.75">
      <c r="A10" s="32">
        <f>'Purchased Power Model'!A322</f>
        <v>1999</v>
      </c>
      <c r="B10" s="26">
        <f>'Purchased Power Model'!E322</f>
        <v>0</v>
      </c>
      <c r="C10" s="26">
        <f>'Purchased Power Model'!O322</f>
        <v>1033602829.0390699</v>
      </c>
      <c r="D10" s="76">
        <f t="shared" si="0"/>
        <v>1033602829.0390699</v>
      </c>
      <c r="E10" s="77"/>
      <c r="F10" s="49"/>
    </row>
    <row r="11" spans="1:6" ht="12.75">
      <c r="A11" s="32">
        <f>'Purchased Power Model'!A323</f>
        <v>2000</v>
      </c>
      <c r="B11" s="26">
        <f>'Purchased Power Model'!E323</f>
        <v>0</v>
      </c>
      <c r="C11" s="26">
        <f>'Purchased Power Model'!O323</f>
        <v>1061917609.5051773</v>
      </c>
      <c r="D11" s="76">
        <f t="shared" si="0"/>
        <v>1061917609.5051773</v>
      </c>
      <c r="E11" s="77"/>
      <c r="F11" s="49"/>
    </row>
    <row r="12" spans="1:6" ht="12.75">
      <c r="A12" s="32">
        <f>'Purchased Power Model'!A324</f>
        <v>2001</v>
      </c>
      <c r="B12" s="26">
        <f>'Purchased Power Model'!E324</f>
        <v>0</v>
      </c>
      <c r="C12" s="26">
        <f>'Purchased Power Model'!O324</f>
        <v>1071449569.4454669</v>
      </c>
      <c r="D12" s="76">
        <f t="shared" si="0"/>
        <v>1071449569.4454669</v>
      </c>
      <c r="E12" s="77"/>
      <c r="F12" s="49"/>
    </row>
    <row r="13" spans="1:14" ht="12.75">
      <c r="A13" s="32">
        <f>'Purchased Power Model'!A325</f>
        <v>2002</v>
      </c>
      <c r="B13" s="26">
        <f>'Purchased Power Model'!E325</f>
        <v>1162710673.7803967</v>
      </c>
      <c r="C13" s="26">
        <f>'Purchased Power Model'!O325</f>
        <v>1167166906.3030279</v>
      </c>
      <c r="D13" s="76">
        <f t="shared" si="0"/>
        <v>4456232.522631168</v>
      </c>
      <c r="E13" s="77">
        <f aca="true" t="shared" si="1" ref="E13:E24">D13/B13</f>
        <v>0.0038326237327316608</v>
      </c>
      <c r="F13" s="49"/>
      <c r="G13" s="59">
        <f>SUM(H13:N13)</f>
        <v>0</v>
      </c>
      <c r="H13" s="26">
        <v>0</v>
      </c>
      <c r="I13" s="26">
        <v>0</v>
      </c>
      <c r="J13" s="26">
        <v>0</v>
      </c>
      <c r="K13" s="26">
        <v>0</v>
      </c>
      <c r="L13" s="26">
        <v>0</v>
      </c>
      <c r="M13" s="26">
        <v>0</v>
      </c>
      <c r="N13" s="26">
        <v>0</v>
      </c>
    </row>
    <row r="14" spans="1:14" ht="12.75">
      <c r="A14" s="32">
        <f>'Purchased Power Model'!A326</f>
        <v>2003</v>
      </c>
      <c r="B14" s="26">
        <f>'Purchased Power Model'!E326</f>
        <v>1152043160.1684203</v>
      </c>
      <c r="C14" s="26">
        <f>'Purchased Power Model'!O326</f>
        <v>1167605461.2558465</v>
      </c>
      <c r="D14" s="76">
        <f t="shared" si="0"/>
        <v>15562301.087426186</v>
      </c>
      <c r="E14" s="77">
        <f t="shared" si="1"/>
        <v>0.013508435816893432</v>
      </c>
      <c r="F14" s="49">
        <f aca="true" t="shared" si="2" ref="F14:F20">1+(B14-G14)/G14</f>
        <v>1.0394242267009584</v>
      </c>
      <c r="G14" s="59">
        <f>SUM(H14:N14)</f>
        <v>1108347420.2106147</v>
      </c>
      <c r="H14" s="26">
        <v>418838011.97364974</v>
      </c>
      <c r="I14" s="26">
        <v>126366945.1775369</v>
      </c>
      <c r="J14" s="26">
        <v>553710684.7088394</v>
      </c>
      <c r="K14" s="26">
        <v>0</v>
      </c>
      <c r="L14" s="26">
        <v>298684.57708839467</v>
      </c>
      <c r="M14" s="26">
        <v>6713622.350962437</v>
      </c>
      <c r="N14" s="26">
        <v>2419471.422537843</v>
      </c>
    </row>
    <row r="15" spans="1:14" ht="12.75">
      <c r="A15" s="32">
        <f>'Purchased Power Model'!A327</f>
        <v>2004</v>
      </c>
      <c r="B15" s="26">
        <f>'Purchased Power Model'!E327</f>
        <v>1205241073.8281755</v>
      </c>
      <c r="C15" s="26">
        <f>'Purchased Power Model'!O327</f>
        <v>1179573774.9575324</v>
      </c>
      <c r="D15" s="76">
        <f t="shared" si="0"/>
        <v>-25667298.87064314</v>
      </c>
      <c r="E15" s="77">
        <f t="shared" si="1"/>
        <v>-0.0212964023779216</v>
      </c>
      <c r="F15" s="49">
        <f t="shared" si="2"/>
        <v>1.061506881035735</v>
      </c>
      <c r="G15" s="59">
        <f>SUM(H15:N15)</f>
        <v>1135405804.1076436</v>
      </c>
      <c r="H15" s="26">
        <v>404285804.09904695</v>
      </c>
      <c r="I15" s="26">
        <v>122937632.96654831</v>
      </c>
      <c r="J15" s="26">
        <v>598431000.7987292</v>
      </c>
      <c r="K15" s="26">
        <v>0</v>
      </c>
      <c r="L15" s="26">
        <v>299221.7421042796</v>
      </c>
      <c r="M15" s="26">
        <v>7027057.958512427</v>
      </c>
      <c r="N15" s="26">
        <v>2425086.5427022986</v>
      </c>
    </row>
    <row r="16" spans="1:14" ht="12.75">
      <c r="A16" s="32">
        <f>'Purchased Power Model'!A328</f>
        <v>2005</v>
      </c>
      <c r="B16" s="26">
        <f>'Purchased Power Model'!E328</f>
        <v>1272191338.9746144</v>
      </c>
      <c r="C16" s="26">
        <f>'Purchased Power Model'!O328</f>
        <v>1271724175.9971578</v>
      </c>
      <c r="D16" s="76">
        <f t="shared" si="0"/>
        <v>-467162.9774565697</v>
      </c>
      <c r="E16" s="77">
        <f t="shared" si="1"/>
        <v>-0.0003672112544274219</v>
      </c>
      <c r="F16" s="49">
        <f t="shared" si="2"/>
        <v>1.0523594926130322</v>
      </c>
      <c r="G16" s="59">
        <f>SUM(H16:N16)</f>
        <v>1208894249.45057</v>
      </c>
      <c r="H16" s="26">
        <v>463562202.4870118</v>
      </c>
      <c r="I16" s="26">
        <v>125194926.23883386</v>
      </c>
      <c r="J16" s="26">
        <v>609950002.1268922</v>
      </c>
      <c r="K16" s="26">
        <v>0</v>
      </c>
      <c r="L16" s="26">
        <v>336742.5535413941</v>
      </c>
      <c r="M16" s="26">
        <v>7458446.34965427</v>
      </c>
      <c r="N16" s="26">
        <v>2391929.6946365163</v>
      </c>
    </row>
    <row r="17" spans="1:14" ht="12.75">
      <c r="A17" s="32">
        <f>'Purchased Power Model'!A329</f>
        <v>2006</v>
      </c>
      <c r="B17" s="26">
        <f>'Purchased Power Model'!E329</f>
        <v>1248057839.7212546</v>
      </c>
      <c r="C17" s="26">
        <f>'Purchased Power Model'!O329</f>
        <v>1247989476.515609</v>
      </c>
      <c r="D17" s="76">
        <f t="shared" si="0"/>
        <v>-68363.20564556122</v>
      </c>
      <c r="E17" s="77">
        <f t="shared" si="1"/>
        <v>-5.477567102245012E-05</v>
      </c>
      <c r="F17" s="49">
        <f t="shared" si="2"/>
        <v>1.0539385416969218</v>
      </c>
      <c r="G17" s="59">
        <f>SUM(H17:N17)</f>
        <v>1184184646.7743611</v>
      </c>
      <c r="H17" s="26">
        <v>450017939.3266673</v>
      </c>
      <c r="I17" s="26">
        <v>122020708.4166588</v>
      </c>
      <c r="J17" s="26">
        <v>601216533.3462881</v>
      </c>
      <c r="K17" s="26">
        <v>0</v>
      </c>
      <c r="L17" s="26">
        <v>317191.4570323554</v>
      </c>
      <c r="M17" s="26">
        <v>8236753.763607207</v>
      </c>
      <c r="N17" s="26">
        <v>2375520.4641071595</v>
      </c>
    </row>
    <row r="18" spans="1:14" ht="12.75">
      <c r="A18" s="32">
        <f>'Purchased Power Model'!A330</f>
        <v>2007</v>
      </c>
      <c r="B18" s="26">
        <f>'Purchased Power Model'!E330</f>
        <v>1283916366.3514185</v>
      </c>
      <c r="C18" s="26">
        <f>'Purchased Power Model'!O330</f>
        <v>1273169231.3492475</v>
      </c>
      <c r="D18" s="76">
        <f t="shared" si="0"/>
        <v>-10747135.00217104</v>
      </c>
      <c r="E18" s="77">
        <f t="shared" si="1"/>
        <v>-0.008370588056846578</v>
      </c>
      <c r="F18" s="49">
        <f t="shared" si="2"/>
        <v>1.0519999998774618</v>
      </c>
      <c r="G18" s="59">
        <f aca="true" t="shared" si="3" ref="G18:G23">SUM(H18:N18)</f>
        <v>1220452819.8678427</v>
      </c>
      <c r="H18" s="26">
        <v>462721167.95736253</v>
      </c>
      <c r="I18" s="26">
        <v>125994115.17781341</v>
      </c>
      <c r="J18" s="26">
        <v>622092059.276955</v>
      </c>
      <c r="K18" s="26">
        <v>0</v>
      </c>
      <c r="L18" s="26">
        <v>295242.58428450144</v>
      </c>
      <c r="M18" s="26">
        <v>7023291.297802094</v>
      </c>
      <c r="N18" s="26">
        <v>2326943.5736251296</v>
      </c>
    </row>
    <row r="19" spans="1:14" ht="12.75">
      <c r="A19" s="32">
        <f>'Purchased Power Model'!A331</f>
        <v>2008</v>
      </c>
      <c r="B19" s="26">
        <f>'Purchased Power Model'!E331</f>
        <v>1247360138.218019</v>
      </c>
      <c r="C19" s="26">
        <f>'Purchased Power Model'!O331</f>
        <v>1255986577.555526</v>
      </c>
      <c r="D19" s="76">
        <f t="shared" si="0"/>
        <v>8626439.33750701</v>
      </c>
      <c r="E19" s="77">
        <f t="shared" si="1"/>
        <v>0.006915756783626865</v>
      </c>
      <c r="F19" s="49">
        <f t="shared" si="2"/>
        <v>1.0491736207786955</v>
      </c>
      <c r="G19" s="59">
        <f t="shared" si="3"/>
        <v>1188897732</v>
      </c>
      <c r="H19" s="26">
        <v>450470689.5</v>
      </c>
      <c r="I19" s="26">
        <v>122663803.5</v>
      </c>
      <c r="J19" s="26">
        <v>605669659</v>
      </c>
      <c r="K19" s="26">
        <v>0</v>
      </c>
      <c r="L19" s="26">
        <f>1904+4130+18625+148+21500+3969+2065+19404+148+295+23389+3969+2065+20585+148+295+24106+2674+2065+18193+148+295+23352+3674+1475+21587+74+295+21140+3600+2065+20463+576+295+18116</f>
        <v>286832</v>
      </c>
      <c r="M19" s="26">
        <f>601963+179169+518622+154762+506397+147986+427298+124905+384059+113085+351428+105938+377696+114876+439710+130283+472441+143247+520246+167046+553944+177867+598950+192318</f>
        <v>7504236</v>
      </c>
      <c r="N19" s="26">
        <f>64952+64952+64952+64951+64952+65470+65470+65470+65470+65470+65470+66071+253164-126582+126960+126582+126482+126582+126482+126582+126482+126582+126482+126582+126482</f>
        <v>2302512</v>
      </c>
    </row>
    <row r="20" spans="1:14" ht="12.75">
      <c r="A20" s="32">
        <f>'Purchased Power Model'!A332</f>
        <v>2009</v>
      </c>
      <c r="B20" s="26">
        <f>'Purchased Power Model'!E332</f>
        <v>1216807819.4732933</v>
      </c>
      <c r="C20" s="26">
        <f>'Purchased Power Model'!O332</f>
        <v>1219818977.491308</v>
      </c>
      <c r="D20" s="76">
        <f t="shared" si="0"/>
        <v>3011158.0180146694</v>
      </c>
      <c r="E20" s="77">
        <f t="shared" si="1"/>
        <v>0.0024746373008336497</v>
      </c>
      <c r="F20" s="49">
        <f t="shared" si="2"/>
        <v>1.0473667911459952</v>
      </c>
      <c r="G20" s="59">
        <f t="shared" si="3"/>
        <v>1161778118</v>
      </c>
      <c r="H20" s="26">
        <v>438952917.5</v>
      </c>
      <c r="I20" s="26">
        <v>119930975.5</v>
      </c>
      <c r="J20" s="26">
        <v>592972281</v>
      </c>
      <c r="K20" s="26">
        <v>0</v>
      </c>
      <c r="L20" s="26">
        <f>2951+2065+20746+295+23475+3527+2065+18036+295+20233+3527+2065+22911+295+21039+3527+2065+18663+295+22116+3527+2065+9184+497+295+36410+2916+3527+2065+19207+2596+295+19810+1688</f>
        <v>294273</v>
      </c>
      <c r="M20" s="26">
        <f>583878+187605+473965+157158+468969+155653+399195+132062+365158+120259-365158+97403+1052312+127279+400227+130665+129595+441787+14556+151675+515289+16964+145466+548234+16156+18063+157285+592863+17416+19531</f>
        <v>7271510</v>
      </c>
      <c r="N20" s="26">
        <f>66071+65293+67256+67256+67255+67256+67256+67256+67367+67558+67407+73252+126582+126482+126582+126482+22800+126860+127032+127254+127032+772+73382-45060+479478</f>
        <v>2356161</v>
      </c>
    </row>
    <row r="21" spans="1:14" ht="12.75">
      <c r="A21" s="32">
        <f>'Purchased Power Model'!A333</f>
        <v>2010</v>
      </c>
      <c r="B21" s="26">
        <f>'Purchased Power Model'!E333</f>
        <v>1264714636.949239</v>
      </c>
      <c r="C21" s="26">
        <f>'Purchased Power Model'!O333</f>
        <v>1253085593.3978748</v>
      </c>
      <c r="D21" s="76">
        <f t="shared" si="0"/>
        <v>-11629043.551364183</v>
      </c>
      <c r="E21" s="77">
        <f t="shared" si="1"/>
        <v>-0.009194994041830584</v>
      </c>
      <c r="F21" s="49">
        <f aca="true" t="shared" si="4" ref="F21:F30">1+(B21-G21)/G21</f>
        <v>1.0594804745493098</v>
      </c>
      <c r="G21" s="59">
        <f t="shared" si="3"/>
        <v>1193712076.182653</v>
      </c>
      <c r="H21" s="26">
        <v>451343387.28237766</v>
      </c>
      <c r="I21" s="26">
        <v>121294613.50873116</v>
      </c>
      <c r="J21" s="26">
        <v>611065861.6086929</v>
      </c>
      <c r="K21" s="26">
        <v>0</v>
      </c>
      <c r="L21" s="26">
        <v>293544.0982307384</v>
      </c>
      <c r="M21" s="26">
        <v>7368898.173868341</v>
      </c>
      <c r="N21" s="26">
        <v>2345771.5107520283</v>
      </c>
    </row>
    <row r="22" spans="1:14" ht="12.75">
      <c r="A22" s="32">
        <f>'Purchased Power Model'!A334</f>
        <v>2011</v>
      </c>
      <c r="B22" s="26">
        <f>'Purchased Power Model'!E334</f>
        <v>1266311662.4232736</v>
      </c>
      <c r="C22" s="26">
        <f>'Purchased Power Model'!O334</f>
        <v>1261320397.1872842</v>
      </c>
      <c r="D22" s="76">
        <f t="shared" si="0"/>
        <v>-4991265.235989332</v>
      </c>
      <c r="E22" s="77">
        <f t="shared" si="1"/>
        <v>-0.003941577246819169</v>
      </c>
      <c r="F22" s="49">
        <f t="shared" si="4"/>
        <v>1.027017734886518</v>
      </c>
      <c r="G22" s="59">
        <f>SUM(H22:N22)</f>
        <v>1232998827</v>
      </c>
      <c r="H22" s="26">
        <v>418849931</v>
      </c>
      <c r="I22" s="26">
        <v>129680926</v>
      </c>
      <c r="J22" s="26">
        <v>675128624</v>
      </c>
      <c r="K22" s="26">
        <v>0</v>
      </c>
      <c r="L22" s="26">
        <v>246192</v>
      </c>
      <c r="M22" s="26">
        <v>7294838</v>
      </c>
      <c r="N22" s="26">
        <v>1798316</v>
      </c>
    </row>
    <row r="23" spans="1:14" ht="12.75">
      <c r="A23" s="32">
        <v>2012</v>
      </c>
      <c r="B23" s="26">
        <f>'Purchased Power Model'!E335</f>
        <v>1260789450.8992722</v>
      </c>
      <c r="C23" s="26">
        <f>'Purchased Power Model'!O335</f>
        <v>1270469171.730973</v>
      </c>
      <c r="D23" s="76">
        <f t="shared" si="0"/>
        <v>9679720.831700802</v>
      </c>
      <c r="E23" s="77">
        <f t="shared" si="1"/>
        <v>0.007677507790691485</v>
      </c>
      <c r="F23" s="49">
        <f t="shared" si="4"/>
        <v>1.0385284568403648</v>
      </c>
      <c r="G23" s="59">
        <f t="shared" si="3"/>
        <v>1214015314.2602541</v>
      </c>
      <c r="H23" s="26">
        <v>414592237</v>
      </c>
      <c r="I23" s="26">
        <v>125465897</v>
      </c>
      <c r="J23" s="26">
        <v>664095955</v>
      </c>
      <c r="K23" s="26">
        <v>0</v>
      </c>
      <c r="L23" s="26">
        <v>267435.260254046</v>
      </c>
      <c r="M23" s="26">
        <v>7329519</v>
      </c>
      <c r="N23" s="26">
        <v>2264271</v>
      </c>
    </row>
    <row r="24" spans="1:14" ht="12.75">
      <c r="A24" s="32">
        <v>2013</v>
      </c>
      <c r="B24" s="26">
        <f>'Purchased Power Model'!E336</f>
        <v>1250108324.0952835</v>
      </c>
      <c r="C24" s="26">
        <f>'Purchased Power Model'!O336</f>
        <v>1245661460.345254</v>
      </c>
      <c r="D24" s="76">
        <f t="shared" si="0"/>
        <v>-4446863.750029564</v>
      </c>
      <c r="E24" s="77">
        <f t="shared" si="1"/>
        <v>-0.003557182737142244</v>
      </c>
      <c r="F24" s="49">
        <f t="shared" si="4"/>
        <v>1.0397595024216113</v>
      </c>
      <c r="G24" s="59">
        <f aca="true" t="shared" si="5" ref="G24:G30">SUM(H24:N24)</f>
        <v>1202305265</v>
      </c>
      <c r="H24" s="26">
        <v>412298278</v>
      </c>
      <c r="I24" s="26">
        <v>124179905</v>
      </c>
      <c r="J24" s="26">
        <v>655968805</v>
      </c>
      <c r="K24" s="26">
        <v>0</v>
      </c>
      <c r="L24" s="26">
        <v>265619</v>
      </c>
      <c r="M24" s="26">
        <v>7344781</v>
      </c>
      <c r="N24" s="26">
        <v>2247877</v>
      </c>
    </row>
    <row r="25" spans="1:14" ht="12.75">
      <c r="A25" s="32">
        <v>2014</v>
      </c>
      <c r="B25" s="26">
        <f>'Purchased Power Model'!E337</f>
        <v>1236354090.939988</v>
      </c>
      <c r="C25" s="26">
        <f>'Purchased Power Model'!O337</f>
        <v>1243350622.4973876</v>
      </c>
      <c r="D25" s="76">
        <f t="shared" si="0"/>
        <v>6996531.55739975</v>
      </c>
      <c r="E25" s="77">
        <f>D25/B25</f>
        <v>0.00565900303858772</v>
      </c>
      <c r="F25" s="49">
        <f t="shared" si="4"/>
        <v>1.0342641618978148</v>
      </c>
      <c r="G25" s="59">
        <f t="shared" si="5"/>
        <v>1195394887</v>
      </c>
      <c r="H25" s="26">
        <v>416585049</v>
      </c>
      <c r="I25" s="26">
        <v>129969466</v>
      </c>
      <c r="J25" s="26">
        <v>639303434</v>
      </c>
      <c r="K25" s="26">
        <v>0</v>
      </c>
      <c r="L25" s="26">
        <v>256092</v>
      </c>
      <c r="M25" s="26">
        <v>7429625</v>
      </c>
      <c r="N25" s="26">
        <v>1851221</v>
      </c>
    </row>
    <row r="26" spans="1:20" s="227" customFormat="1" ht="12.75">
      <c r="A26" s="227">
        <v>2015</v>
      </c>
      <c r="B26" s="208">
        <f>'Purchased Power Model'!E338</f>
        <v>1243499330.0142834</v>
      </c>
      <c r="C26" s="208">
        <f>'Purchased Power Model'!O338</f>
        <v>1251658037.1046405</v>
      </c>
      <c r="D26" s="76">
        <f t="shared" si="0"/>
        <v>8158707.090357065</v>
      </c>
      <c r="E26" s="77">
        <f>D26/B26</f>
        <v>0.0065610868405239515</v>
      </c>
      <c r="F26" s="49">
        <f t="shared" si="4"/>
        <v>1.0400138699459214</v>
      </c>
      <c r="G26" s="59">
        <f t="shared" si="5"/>
        <v>1195656486.8494906</v>
      </c>
      <c r="H26" s="208">
        <v>415749081.703583</v>
      </c>
      <c r="I26" s="208">
        <v>126134211.13171774</v>
      </c>
      <c r="J26" s="208">
        <v>645074724.8906074</v>
      </c>
      <c r="K26" s="208">
        <v>0</v>
      </c>
      <c r="L26" s="208">
        <v>223690.32693141061</v>
      </c>
      <c r="M26" s="208">
        <v>6899420.485289188</v>
      </c>
      <c r="N26" s="208">
        <v>1575358.3113620847</v>
      </c>
      <c r="O26" s="208"/>
      <c r="P26" s="208"/>
      <c r="Q26" s="208"/>
      <c r="R26" s="208"/>
      <c r="S26" s="208"/>
      <c r="T26" s="208"/>
    </row>
    <row r="27" spans="1:20" s="227" customFormat="1" ht="12.75">
      <c r="A27" s="227">
        <v>2016</v>
      </c>
      <c r="B27" s="208">
        <f>'Purchased Power Model'!E339</f>
        <v>1257831314.4022517</v>
      </c>
      <c r="C27" s="208">
        <f>'Purchased Power Model'!O339</f>
        <v>1277941546.4546533</v>
      </c>
      <c r="D27" s="76">
        <f t="shared" si="0"/>
        <v>20110232.052401543</v>
      </c>
      <c r="E27" s="77">
        <f>D27/B27</f>
        <v>0.015988019873681036</v>
      </c>
      <c r="F27" s="49">
        <f t="shared" si="4"/>
        <v>1.0371788928711063</v>
      </c>
      <c r="G27" s="59">
        <f t="shared" si="5"/>
        <v>1212742876.9017253</v>
      </c>
      <c r="H27" s="208">
        <v>433305471.2442201</v>
      </c>
      <c r="I27" s="208">
        <v>130328461.56604409</v>
      </c>
      <c r="J27" s="208">
        <v>642382592.3132877</v>
      </c>
      <c r="K27" s="208">
        <v>0</v>
      </c>
      <c r="L27" s="208">
        <v>213769.7111510164</v>
      </c>
      <c r="M27" s="208">
        <v>4950219.91095238</v>
      </c>
      <c r="N27" s="208">
        <v>1562362.1560700946</v>
      </c>
      <c r="O27" s="208"/>
      <c r="P27" s="208"/>
      <c r="Q27" s="208"/>
      <c r="R27" s="208"/>
      <c r="S27" s="208"/>
      <c r="T27" s="208"/>
    </row>
    <row r="28" spans="1:20" s="227" customFormat="1" ht="12.75">
      <c r="A28" s="227">
        <v>2017</v>
      </c>
      <c r="B28" s="208">
        <f>'Purchased Power Model'!E340</f>
        <v>1212201215.887123</v>
      </c>
      <c r="C28" s="208">
        <f>'Purchased Power Model'!O340</f>
        <v>1217143963.5909858</v>
      </c>
      <c r="D28" s="76">
        <f t="shared" si="0"/>
        <v>4942747.703862667</v>
      </c>
      <c r="E28" s="77">
        <f>D28/B28</f>
        <v>0.004077497728168359</v>
      </c>
      <c r="F28" s="49">
        <f t="shared" si="4"/>
        <v>1.0378345936181095</v>
      </c>
      <c r="G28" s="59">
        <f t="shared" si="5"/>
        <v>1168010031.0215473</v>
      </c>
      <c r="H28" s="208">
        <v>410629996.25715286</v>
      </c>
      <c r="I28" s="208">
        <v>127052977.96148536</v>
      </c>
      <c r="J28" s="208">
        <v>624101454.8927417</v>
      </c>
      <c r="K28" s="208">
        <v>0</v>
      </c>
      <c r="L28" s="208">
        <v>210488.54353129055</v>
      </c>
      <c r="M28" s="208">
        <v>4481098.81904762</v>
      </c>
      <c r="N28" s="208">
        <v>1534014.5475886853</v>
      </c>
      <c r="O28" s="208"/>
      <c r="P28" s="208"/>
      <c r="Q28" s="208"/>
      <c r="R28" s="208"/>
      <c r="S28" s="208"/>
      <c r="T28" s="208"/>
    </row>
    <row r="29" spans="1:20" s="227" customFormat="1" ht="12.75">
      <c r="A29" s="227">
        <v>2018</v>
      </c>
      <c r="B29" s="208">
        <f>'Purchased Power Model'!E341</f>
        <v>1270822506.539402</v>
      </c>
      <c r="C29" s="208">
        <f>'Purchased Power Model'!O341</f>
        <v>1255827879.1537886</v>
      </c>
      <c r="D29" s="76">
        <f t="shared" si="0"/>
        <v>-14994627.385613441</v>
      </c>
      <c r="E29" s="77">
        <f>D29/B29</f>
        <v>-0.011799151579747797</v>
      </c>
      <c r="F29" s="49">
        <f t="shared" si="4"/>
        <v>1.0379508383474254</v>
      </c>
      <c r="G29" s="59">
        <f t="shared" si="5"/>
        <v>1224357127.1282399</v>
      </c>
      <c r="H29" s="208">
        <v>451047288.217218</v>
      </c>
      <c r="I29" s="208">
        <v>131255411.09935738</v>
      </c>
      <c r="J29" s="208">
        <v>635816200.6741188</v>
      </c>
      <c r="K29" s="208">
        <v>0</v>
      </c>
      <c r="L29" s="208">
        <v>220523.9470129878</v>
      </c>
      <c r="M29" s="208">
        <v>4494761.78962963</v>
      </c>
      <c r="N29" s="208">
        <v>1522941.4009031758</v>
      </c>
      <c r="O29" s="208"/>
      <c r="P29" s="208"/>
      <c r="Q29" s="208"/>
      <c r="R29" s="208"/>
      <c r="S29" s="208"/>
      <c r="T29" s="208"/>
    </row>
    <row r="30" spans="1:20" s="227" customFormat="1" ht="12.75">
      <c r="A30" s="227">
        <v>2019</v>
      </c>
      <c r="B30" s="208">
        <f>'Purchased Power Model'!E342</f>
        <v>1252366737.669762</v>
      </c>
      <c r="C30" s="208">
        <f>'Purchased Power Model'!O342</f>
        <v>1243834427.4473848</v>
      </c>
      <c r="D30" s="76">
        <f t="shared" si="0"/>
        <v>-8532310.222377062</v>
      </c>
      <c r="E30" s="77">
        <v>0</v>
      </c>
      <c r="F30" s="49">
        <f t="shared" si="4"/>
        <v>1.0349966574540557</v>
      </c>
      <c r="G30" s="59">
        <f t="shared" si="5"/>
        <v>1210020079.43717</v>
      </c>
      <c r="H30" s="208">
        <v>434759151.88758326</v>
      </c>
      <c r="I30" s="208">
        <v>126741415.76743771</v>
      </c>
      <c r="J30" s="208">
        <v>642357413.4713719</v>
      </c>
      <c r="K30" s="208">
        <v>0</v>
      </c>
      <c r="L30" s="208">
        <v>218186.4443473388</v>
      </c>
      <c r="M30" s="208">
        <v>4379323.827272728</v>
      </c>
      <c r="N30" s="208">
        <v>1564588.0391570437</v>
      </c>
      <c r="O30" s="208"/>
      <c r="P30" s="208"/>
      <c r="Q30" s="208"/>
      <c r="R30" s="208"/>
      <c r="S30" s="208"/>
      <c r="T30" s="208"/>
    </row>
    <row r="31" spans="1:20" s="227" customFormat="1" ht="12.75">
      <c r="A31" s="227">
        <v>2020</v>
      </c>
      <c r="B31" s="208">
        <f>'Purchased Power Model'!E343</f>
        <v>0</v>
      </c>
      <c r="C31" s="208">
        <f>'Purchased Power Model'!O343</f>
        <v>1288225771.19123</v>
      </c>
      <c r="D31" s="228"/>
      <c r="E31" s="229"/>
      <c r="F31" s="230"/>
      <c r="G31" s="208">
        <f>C31/$F$36</f>
        <v>1241549745.2111354</v>
      </c>
      <c r="H31" s="208"/>
      <c r="I31" s="208"/>
      <c r="J31" s="208"/>
      <c r="K31" s="208"/>
      <c r="L31" s="208"/>
      <c r="M31" s="208"/>
      <c r="N31" s="208"/>
      <c r="O31" s="208"/>
      <c r="P31" s="208"/>
      <c r="Q31" s="208"/>
      <c r="R31" s="208"/>
      <c r="S31" s="208"/>
      <c r="T31" s="208"/>
    </row>
    <row r="32" spans="1:20" s="227" customFormat="1" ht="12.75">
      <c r="A32" s="227">
        <v>2021</v>
      </c>
      <c r="B32" s="208">
        <f>'Purchased Power Model'!E344</f>
        <v>0</v>
      </c>
      <c r="C32" s="208">
        <f>'Purchased Power Model'!O344</f>
        <v>1332587297.1155572</v>
      </c>
      <c r="D32" s="228"/>
      <c r="E32" s="229"/>
      <c r="F32" s="230"/>
      <c r="G32" s="208">
        <f>C32/$F$36</f>
        <v>1284303928.8645144</v>
      </c>
      <c r="H32" s="208"/>
      <c r="I32" s="208"/>
      <c r="J32" s="208"/>
      <c r="K32" s="208"/>
      <c r="L32" s="208"/>
      <c r="M32" s="208"/>
      <c r="N32" s="208"/>
      <c r="O32" s="208"/>
      <c r="P32" s="208"/>
      <c r="Q32" s="208"/>
      <c r="R32" s="208"/>
      <c r="S32" s="208"/>
      <c r="T32" s="208"/>
    </row>
    <row r="33" spans="8:14" ht="12.75">
      <c r="H33" s="26">
        <f>SUM(H14:H30)</f>
        <v>7348008604.435873</v>
      </c>
      <c r="I33" s="26">
        <f aca="true" t="shared" si="6" ref="I33:N33">SUM(I14:I30)</f>
        <v>2137212392.0121646</v>
      </c>
      <c r="J33" s="26">
        <f t="shared" si="6"/>
        <v>10619337286.108524</v>
      </c>
      <c r="K33" s="26">
        <f t="shared" si="6"/>
        <v>0</v>
      </c>
      <c r="L33" s="26">
        <f t="shared" si="6"/>
        <v>4543729.245509754</v>
      </c>
      <c r="M33" s="26">
        <f t="shared" si="6"/>
        <v>113207403.72659831</v>
      </c>
      <c r="N33" s="26">
        <f t="shared" si="6"/>
        <v>34864345.66344206</v>
      </c>
    </row>
    <row r="34" spans="6:14" ht="12.75">
      <c r="F34" s="49"/>
      <c r="H34" s="231">
        <f>H33/SUM($G$14:$G$29)</f>
        <v>0.3857798769941385</v>
      </c>
      <c r="I34" s="231">
        <f aca="true" t="shared" si="7" ref="I34:N34">I33/SUM($G$14:$G$29)</f>
        <v>0.11220639197442801</v>
      </c>
      <c r="J34" s="231">
        <f t="shared" si="7"/>
        <v>0.5575288289021719</v>
      </c>
      <c r="K34" s="231">
        <f t="shared" si="7"/>
        <v>0</v>
      </c>
      <c r="L34" s="231">
        <f t="shared" si="7"/>
        <v>0.00023855161361259676</v>
      </c>
      <c r="M34" s="231">
        <f t="shared" si="7"/>
        <v>0.0059435339063305</v>
      </c>
      <c r="N34" s="231">
        <f t="shared" si="7"/>
        <v>0.0018304228676874821</v>
      </c>
    </row>
    <row r="35" spans="1:14" ht="12.75">
      <c r="A35" s="32" t="s">
        <v>102</v>
      </c>
      <c r="E35" s="81" t="s">
        <v>282</v>
      </c>
      <c r="F35" s="91">
        <f>AVERAGE(F26:F30)</f>
        <v>1.0375949704473235</v>
      </c>
      <c r="H35" s="78"/>
      <c r="I35" s="78"/>
      <c r="J35" s="78"/>
      <c r="K35" s="78"/>
      <c r="L35" s="78"/>
      <c r="M35" s="78"/>
      <c r="N35" s="78"/>
    </row>
    <row r="36" spans="1:14" ht="12.75">
      <c r="A36" s="79"/>
      <c r="E36" s="81" t="s">
        <v>282</v>
      </c>
      <c r="F36" s="49">
        <f>AVERAGE(F26:F30)</f>
        <v>1.0375949704473235</v>
      </c>
      <c r="H36" s="78"/>
      <c r="I36" s="78"/>
      <c r="J36" s="78"/>
      <c r="K36" s="78"/>
      <c r="L36" s="78"/>
      <c r="M36" s="78"/>
      <c r="N36" s="78"/>
    </row>
    <row r="37" spans="1:14" ht="12.75">
      <c r="A37" s="79"/>
      <c r="F37" s="49"/>
      <c r="H37" s="78"/>
      <c r="I37" s="78"/>
      <c r="J37" s="78"/>
      <c r="K37" s="78"/>
      <c r="L37" s="78"/>
      <c r="M37" s="78"/>
      <c r="N37" s="78"/>
    </row>
    <row r="38" spans="1:14" ht="12.75">
      <c r="A38" s="79"/>
      <c r="F38" s="49"/>
      <c r="H38" s="78"/>
      <c r="I38" s="78"/>
      <c r="J38" s="78"/>
      <c r="K38" s="78"/>
      <c r="L38" s="78"/>
      <c r="M38" s="78"/>
      <c r="N38" s="78"/>
    </row>
    <row r="39" spans="1:14" ht="12.75">
      <c r="A39" s="79" t="s">
        <v>15</v>
      </c>
      <c r="F39" s="49"/>
      <c r="H39" s="78"/>
      <c r="I39" s="78"/>
      <c r="J39" s="78"/>
      <c r="K39" s="78"/>
      <c r="L39" s="78"/>
      <c r="M39" s="78"/>
      <c r="N39" s="78"/>
    </row>
    <row r="40" spans="1:14" ht="12.75">
      <c r="A40" s="32" t="s">
        <v>82</v>
      </c>
      <c r="B40" s="68">
        <f aca="true" t="shared" si="8" ref="B40:B47">(B17-B16)/B16</f>
        <v>-0.018970023230005153</v>
      </c>
      <c r="F40" s="80"/>
      <c r="G40" s="68">
        <f aca="true" t="shared" si="9" ref="G40:J53">(G17-G16)/G16</f>
        <v>-0.020439838048232285</v>
      </c>
      <c r="H40" s="68">
        <f t="shared" si="9"/>
        <v>-0.029217790164253025</v>
      </c>
      <c r="I40" s="68">
        <f t="shared" si="9"/>
        <v>-0.0253542049788792</v>
      </c>
      <c r="J40" s="68">
        <f t="shared" si="9"/>
        <v>-0.014318335519551714</v>
      </c>
      <c r="K40" s="68"/>
      <c r="L40" s="68">
        <f aca="true" t="shared" si="10" ref="L40:N53">(L17-L16)/L16</f>
        <v>-0.058059476901351534</v>
      </c>
      <c r="M40" s="68">
        <f t="shared" si="10"/>
        <v>0.10435248541930106</v>
      </c>
      <c r="N40" s="68">
        <f t="shared" si="10"/>
        <v>-0.006860247843467797</v>
      </c>
    </row>
    <row r="41" spans="1:14" ht="12.75">
      <c r="A41" s="32" t="s">
        <v>83</v>
      </c>
      <c r="B41" s="68">
        <f t="shared" si="8"/>
        <v>0.028731462187820293</v>
      </c>
      <c r="G41" s="68">
        <f t="shared" si="9"/>
        <v>0.030627126599110696</v>
      </c>
      <c r="H41" s="68">
        <f t="shared" si="9"/>
        <v>0.028228271632242577</v>
      </c>
      <c r="I41" s="68">
        <f t="shared" si="9"/>
        <v>0.032563380533628665</v>
      </c>
      <c r="J41" s="68">
        <f t="shared" si="9"/>
        <v>0.034722142144821985</v>
      </c>
      <c r="K41" s="68"/>
      <c r="L41" s="68">
        <f t="shared" si="10"/>
        <v>-0.06919755327967445</v>
      </c>
      <c r="M41" s="68">
        <f t="shared" si="10"/>
        <v>-0.14732290179252466</v>
      </c>
      <c r="N41" s="68">
        <f t="shared" si="10"/>
        <v>-0.020448946332393532</v>
      </c>
    </row>
    <row r="42" spans="1:14" ht="12.75">
      <c r="A42" s="32" t="s">
        <v>84</v>
      </c>
      <c r="B42" s="68">
        <f t="shared" si="8"/>
        <v>-0.028472437217451706</v>
      </c>
      <c r="E42" s="81"/>
      <c r="F42" s="49"/>
      <c r="G42" s="68">
        <f t="shared" si="9"/>
        <v>-0.025855229595241242</v>
      </c>
      <c r="H42" s="68">
        <f t="shared" si="9"/>
        <v>-0.026474860684331938</v>
      </c>
      <c r="I42" s="68">
        <f t="shared" si="9"/>
        <v>-0.026432279579989882</v>
      </c>
      <c r="J42" s="68">
        <f t="shared" si="9"/>
        <v>-0.026398665650936667</v>
      </c>
      <c r="K42" s="68"/>
      <c r="L42" s="68">
        <f t="shared" si="10"/>
        <v>-0.028487029758542014</v>
      </c>
      <c r="M42" s="68">
        <f t="shared" si="10"/>
        <v>0.0684785354622006</v>
      </c>
      <c r="N42" s="68">
        <f t="shared" si="10"/>
        <v>-0.010499426759656172</v>
      </c>
    </row>
    <row r="43" spans="1:14" ht="12.75">
      <c r="A43" s="32" t="s">
        <v>85</v>
      </c>
      <c r="B43" s="68">
        <f t="shared" si="8"/>
        <v>-0.024493582734151503</v>
      </c>
      <c r="F43" s="80"/>
      <c r="G43" s="68">
        <f t="shared" si="9"/>
        <v>-0.022810720611249346</v>
      </c>
      <c r="H43" s="68">
        <f t="shared" si="9"/>
        <v>-0.025568305038412495</v>
      </c>
      <c r="I43" s="68">
        <f t="shared" si="9"/>
        <v>-0.02227900914551374</v>
      </c>
      <c r="J43" s="68">
        <f t="shared" si="9"/>
        <v>-0.02096419692042061</v>
      </c>
      <c r="K43" s="68"/>
      <c r="L43" s="68">
        <f t="shared" si="10"/>
        <v>0.025942014837953924</v>
      </c>
      <c r="M43" s="68">
        <f t="shared" si="10"/>
        <v>-0.031012617407021846</v>
      </c>
      <c r="N43" s="68">
        <f t="shared" si="10"/>
        <v>0.023300204298609517</v>
      </c>
    </row>
    <row r="44" spans="1:14" ht="12.75">
      <c r="A44" s="32" t="s">
        <v>86</v>
      </c>
      <c r="B44" s="68">
        <f t="shared" si="8"/>
        <v>0.039370898764180054</v>
      </c>
      <c r="G44" s="68">
        <f t="shared" si="9"/>
        <v>0.027487140347958378</v>
      </c>
      <c r="H44" s="68">
        <f t="shared" si="9"/>
        <v>0.028227332108750957</v>
      </c>
      <c r="I44" s="68">
        <f t="shared" si="9"/>
        <v>0.011370190253569284</v>
      </c>
      <c r="J44" s="68">
        <f t="shared" si="9"/>
        <v>0.030513366625130465</v>
      </c>
      <c r="K44" s="68"/>
      <c r="L44" s="68">
        <f t="shared" si="10"/>
        <v>-0.0024769576864393755</v>
      </c>
      <c r="M44" s="68">
        <f t="shared" si="10"/>
        <v>0.013393115579617077</v>
      </c>
      <c r="N44" s="68">
        <f t="shared" si="10"/>
        <v>-0.004409498861907858</v>
      </c>
    </row>
    <row r="45" spans="1:14" ht="12.75">
      <c r="A45" s="32" t="s">
        <v>87</v>
      </c>
      <c r="B45" s="68">
        <f t="shared" si="8"/>
        <v>0.0012627555872104978</v>
      </c>
      <c r="G45" s="68">
        <f t="shared" si="9"/>
        <v>0.03291141272775034</v>
      </c>
      <c r="H45" s="68">
        <f t="shared" si="9"/>
        <v>-0.07199276027511291</v>
      </c>
      <c r="I45" s="68">
        <f t="shared" si="9"/>
        <v>0.06914002401817432</v>
      </c>
      <c r="J45" s="68">
        <f t="shared" si="9"/>
        <v>0.10483773749470375</v>
      </c>
      <c r="K45" s="68"/>
      <c r="L45" s="68">
        <f t="shared" si="10"/>
        <v>-0.16131170245336568</v>
      </c>
      <c r="M45" s="68">
        <f t="shared" si="10"/>
        <v>-0.010050372812990453</v>
      </c>
      <c r="N45" s="68">
        <f t="shared" si="10"/>
        <v>-0.2333797252813085</v>
      </c>
    </row>
    <row r="46" spans="1:14" ht="12.75">
      <c r="A46" s="32" t="s">
        <v>88</v>
      </c>
      <c r="B46" s="68">
        <f t="shared" si="8"/>
        <v>-0.004360862880654353</v>
      </c>
      <c r="G46" s="68">
        <f t="shared" si="9"/>
        <v>-0.015396213138283753</v>
      </c>
      <c r="H46" s="68">
        <f t="shared" si="9"/>
        <v>-0.010165201626832786</v>
      </c>
      <c r="I46" s="68">
        <f t="shared" si="9"/>
        <v>-0.03250307604990421</v>
      </c>
      <c r="J46" s="68">
        <f t="shared" si="9"/>
        <v>-0.01634158086000513</v>
      </c>
      <c r="K46" s="68"/>
      <c r="L46" s="68">
        <f t="shared" si="10"/>
        <v>0.08628737023967475</v>
      </c>
      <c r="M46" s="68">
        <f t="shared" si="10"/>
        <v>0.004754183711824718</v>
      </c>
      <c r="N46" s="68">
        <f t="shared" si="10"/>
        <v>0.25910629722473694</v>
      </c>
    </row>
    <row r="47" spans="1:14" ht="12.75">
      <c r="A47" s="32" t="s">
        <v>89</v>
      </c>
      <c r="B47" s="68">
        <f t="shared" si="8"/>
        <v>-0.008471776787448738</v>
      </c>
      <c r="G47" s="68">
        <f t="shared" si="9"/>
        <v>-0.009645717910395162</v>
      </c>
      <c r="H47" s="68">
        <f t="shared" si="9"/>
        <v>-0.005533048608433061</v>
      </c>
      <c r="I47" s="68">
        <f t="shared" si="9"/>
        <v>-0.010249733439517832</v>
      </c>
      <c r="J47" s="68">
        <f t="shared" si="9"/>
        <v>-0.012237915227175265</v>
      </c>
      <c r="K47" s="68"/>
      <c r="L47" s="68">
        <f t="shared" si="10"/>
        <v>-0.006791401598729645</v>
      </c>
      <c r="M47" s="68">
        <f t="shared" si="10"/>
        <v>0.0020822648798645587</v>
      </c>
      <c r="N47" s="68">
        <f t="shared" si="10"/>
        <v>-0.007240299416456776</v>
      </c>
    </row>
    <row r="48" spans="1:14" ht="12.75">
      <c r="A48" s="32" t="s">
        <v>206</v>
      </c>
      <c r="B48" s="68">
        <f aca="true" t="shared" si="11" ref="B48:B53">(B25-B24)/B24</f>
        <v>-0.011002433061350658</v>
      </c>
      <c r="G48" s="68">
        <f t="shared" si="9"/>
        <v>-0.005747606869208877</v>
      </c>
      <c r="H48" s="68">
        <f t="shared" si="9"/>
        <v>0.010397256619150856</v>
      </c>
      <c r="I48" s="68">
        <f t="shared" si="9"/>
        <v>0.04662236615497491</v>
      </c>
      <c r="J48" s="68">
        <f t="shared" si="9"/>
        <v>-0.025405737091415498</v>
      </c>
      <c r="K48" s="68"/>
      <c r="L48" s="68">
        <f t="shared" si="10"/>
        <v>-0.03586716311709629</v>
      </c>
      <c r="M48" s="68">
        <f t="shared" si="10"/>
        <v>0.011551603785054994</v>
      </c>
      <c r="N48" s="68">
        <f t="shared" si="10"/>
        <v>-0.17645805353228847</v>
      </c>
    </row>
    <row r="49" spans="1:14" ht="12.75">
      <c r="A49" s="32" t="s">
        <v>207</v>
      </c>
      <c r="B49" s="68">
        <f t="shared" si="11"/>
        <v>0.005779282105875563</v>
      </c>
      <c r="G49" s="68">
        <f t="shared" si="9"/>
        <v>0.00021883969250291978</v>
      </c>
      <c r="H49" s="68">
        <f t="shared" si="9"/>
        <v>-0.0020067145914710875</v>
      </c>
      <c r="I49" s="68">
        <f t="shared" si="9"/>
        <v>-0.029508891482883052</v>
      </c>
      <c r="J49" s="68">
        <f t="shared" si="9"/>
        <v>0.00902746737100642</v>
      </c>
      <c r="K49" s="68"/>
      <c r="L49" s="68">
        <f t="shared" si="10"/>
        <v>-0.1265235660176397</v>
      </c>
      <c r="M49" s="68">
        <f t="shared" si="10"/>
        <v>-0.07136356339799275</v>
      </c>
      <c r="N49" s="68">
        <f t="shared" si="10"/>
        <v>-0.14901661586483478</v>
      </c>
    </row>
    <row r="50" spans="1:14" ht="12.75">
      <c r="A50" s="32" t="s">
        <v>208</v>
      </c>
      <c r="B50" s="68">
        <f t="shared" si="11"/>
        <v>0.011525526425336857</v>
      </c>
      <c r="G50" s="68">
        <f t="shared" si="9"/>
        <v>0.014290383768382035</v>
      </c>
      <c r="H50" s="68">
        <f t="shared" si="9"/>
        <v>0.04222833029166922</v>
      </c>
      <c r="I50" s="68">
        <f t="shared" si="9"/>
        <v>0.03325228260195353</v>
      </c>
      <c r="J50" s="68">
        <f t="shared" si="9"/>
        <v>-0.0041733654620806256</v>
      </c>
      <c r="K50" s="68"/>
      <c r="L50" s="68">
        <f t="shared" si="10"/>
        <v>-0.04434977549760624</v>
      </c>
      <c r="M50" s="68">
        <f t="shared" si="10"/>
        <v>-0.28251656475972964</v>
      </c>
      <c r="N50" s="68">
        <f t="shared" si="10"/>
        <v>-0.008249650380016354</v>
      </c>
    </row>
    <row r="51" spans="1:14" ht="12.75">
      <c r="A51" s="32" t="s">
        <v>209</v>
      </c>
      <c r="B51" s="68">
        <f t="shared" si="11"/>
        <v>-0.03627680277367956</v>
      </c>
      <c r="G51" s="68">
        <f t="shared" si="9"/>
        <v>-0.036885680165328984</v>
      </c>
      <c r="H51" s="68">
        <f t="shared" si="9"/>
        <v>-0.052331383958655</v>
      </c>
      <c r="I51" s="68">
        <f t="shared" si="9"/>
        <v>-0.025132527194751557</v>
      </c>
      <c r="J51" s="68">
        <f t="shared" si="9"/>
        <v>-0.02845833252534715</v>
      </c>
      <c r="K51" s="68"/>
      <c r="L51" s="68">
        <f t="shared" si="10"/>
        <v>-0.015349076359128827</v>
      </c>
      <c r="M51" s="68">
        <f t="shared" si="10"/>
        <v>-0.09476772756435087</v>
      </c>
      <c r="N51" s="68">
        <f t="shared" si="10"/>
        <v>-0.018144070100055254</v>
      </c>
    </row>
    <row r="52" spans="1:14" ht="12.75">
      <c r="A52" s="32" t="s">
        <v>210</v>
      </c>
      <c r="B52" s="68">
        <f t="shared" si="11"/>
        <v>0.04835937291927082</v>
      </c>
      <c r="G52" s="68">
        <f t="shared" si="9"/>
        <v>0.04824196249188982</v>
      </c>
      <c r="H52" s="68">
        <f t="shared" si="9"/>
        <v>0.09842751949069549</v>
      </c>
      <c r="I52" s="68">
        <f t="shared" si="9"/>
        <v>0.033076226982620936</v>
      </c>
      <c r="J52" s="68">
        <f t="shared" si="9"/>
        <v>0.018770579189549202</v>
      </c>
      <c r="K52" s="68"/>
      <c r="L52" s="68">
        <f t="shared" si="10"/>
        <v>0.047676720610713076</v>
      </c>
      <c r="M52" s="68">
        <f t="shared" si="10"/>
        <v>0.0030490223790498898</v>
      </c>
      <c r="N52" s="68">
        <f t="shared" si="10"/>
        <v>-0.007218410479167448</v>
      </c>
    </row>
    <row r="53" spans="1:14" ht="12.75">
      <c r="A53" s="32" t="s">
        <v>284</v>
      </c>
      <c r="B53" s="68">
        <f t="shared" si="11"/>
        <v>-0.014522695950591342</v>
      </c>
      <c r="G53" s="68">
        <f t="shared" si="9"/>
        <v>-0.01170985766603715</v>
      </c>
      <c r="H53" s="68">
        <f t="shared" si="9"/>
        <v>-0.036111815224550446</v>
      </c>
      <c r="I53" s="68">
        <f t="shared" si="9"/>
        <v>-0.03439092753671449</v>
      </c>
      <c r="J53" s="68">
        <f t="shared" si="9"/>
        <v>0.010287898909020982</v>
      </c>
      <c r="K53" s="68"/>
      <c r="L53" s="68">
        <f t="shared" si="10"/>
        <v>-0.010599767949515823</v>
      </c>
      <c r="M53" s="68">
        <f t="shared" si="10"/>
        <v>-0.025682776476217632</v>
      </c>
      <c r="N53" s="68">
        <f t="shared" si="10"/>
        <v>0.027346185630759953</v>
      </c>
    </row>
    <row r="54" spans="2:14" ht="12.75">
      <c r="B54" s="68"/>
      <c r="G54" s="68"/>
      <c r="H54" s="68"/>
      <c r="I54" s="68"/>
      <c r="J54" s="68"/>
      <c r="K54" s="68"/>
      <c r="L54" s="68"/>
      <c r="M54" s="68"/>
      <c r="N54" s="68"/>
    </row>
    <row r="55" spans="2:14" ht="12.75">
      <c r="B55" s="22" t="s">
        <v>81</v>
      </c>
      <c r="G55" s="22"/>
      <c r="H55" s="78"/>
      <c r="I55" s="78"/>
      <c r="J55" s="78"/>
      <c r="K55" s="78"/>
      <c r="L55" s="78"/>
      <c r="M55" s="78"/>
      <c r="N55" s="78"/>
    </row>
    <row r="58" spans="1:4" ht="12.75">
      <c r="A58" s="82" t="s">
        <v>17</v>
      </c>
      <c r="D58" s="26"/>
    </row>
    <row r="59" spans="1:14" ht="12.75">
      <c r="A59" s="32">
        <f aca="true" t="shared" si="12" ref="A59:A67">A14</f>
        <v>2003</v>
      </c>
      <c r="H59" s="26">
        <f>H14/'Rate Class Customer Model '!B6</f>
        <v>9853.389135287123</v>
      </c>
      <c r="I59" s="26">
        <f>I14/'Rate Class Customer Model '!C6</f>
        <v>31734.54173217903</v>
      </c>
      <c r="J59" s="26">
        <f>J14/'Rate Class Customer Model '!D6</f>
        <v>640868.8480426382</v>
      </c>
      <c r="K59" s="26">
        <v>0</v>
      </c>
      <c r="L59" s="26">
        <f>L14/'Rate Class Customer Model '!F6</f>
        <v>513.2037407017091</v>
      </c>
      <c r="M59" s="26">
        <f>M14/'Rate Class Customer Model '!G6</f>
        <v>591.091948491146</v>
      </c>
      <c r="N59" s="26">
        <f>N14/'Rate Class Customer Model '!H6</f>
        <v>5733.344603170244</v>
      </c>
    </row>
    <row r="60" spans="1:14" ht="12.75">
      <c r="A60" s="32">
        <f t="shared" si="12"/>
        <v>2004</v>
      </c>
      <c r="H60" s="26">
        <f>H15/'Rate Class Customer Model '!B7</f>
        <v>9432.926668822112</v>
      </c>
      <c r="I60" s="26">
        <f>I15/'Rate Class Customer Model '!C7</f>
        <v>30482.92411766633</v>
      </c>
      <c r="J60" s="26">
        <f>J15/'Rate Class Customer Model '!D7</f>
        <v>730684.982660231</v>
      </c>
      <c r="K60" s="26">
        <v>0</v>
      </c>
      <c r="L60" s="26">
        <f>L15/'Rate Class Customer Model '!F7</f>
        <v>497.0460832297003</v>
      </c>
      <c r="M60" s="26">
        <f>M15/'Rate Class Customer Model '!G7</f>
        <v>606.4081772965505</v>
      </c>
      <c r="N60" s="26">
        <f>N15/'Rate Class Customer Model '!H7</f>
        <v>5746.65057512393</v>
      </c>
    </row>
    <row r="61" spans="1:14" ht="12.75">
      <c r="A61" s="32">
        <f t="shared" si="12"/>
        <v>2005</v>
      </c>
      <c r="H61" s="26">
        <f>H16/'Rate Class Customer Model '!B8</f>
        <v>10763.49499598337</v>
      </c>
      <c r="I61" s="26">
        <f>I16/'Rate Class Customer Model '!C8</f>
        <v>28216.120405416692</v>
      </c>
      <c r="J61" s="26">
        <f>J16/'Rate Class Customer Model '!D8</f>
        <v>760536.1622529828</v>
      </c>
      <c r="K61" s="26">
        <v>0</v>
      </c>
      <c r="L61" s="26">
        <f>L16/'Rate Class Customer Model '!F8</f>
        <v>645.1006772823642</v>
      </c>
      <c r="M61" s="26">
        <f>M16/'Rate Class Customer Model '!G8</f>
        <v>634.6533653551966</v>
      </c>
      <c r="N61" s="26">
        <f>N16/'Rate Class Customer Model '!H8</f>
        <v>5668.079845110228</v>
      </c>
    </row>
    <row r="62" spans="1:14" ht="12.75">
      <c r="A62" s="32">
        <f t="shared" si="12"/>
        <v>2006</v>
      </c>
      <c r="H62" s="26">
        <f>H17/'Rate Class Customer Model '!B9</f>
        <v>10292.240859177278</v>
      </c>
      <c r="I62" s="26">
        <f>I17/'Rate Class Customer Model '!C9</f>
        <v>27494.526457111042</v>
      </c>
      <c r="J62" s="26">
        <f>J17/'Rate Class Customer Model '!D9</f>
        <v>690260.084209286</v>
      </c>
      <c r="K62" s="26">
        <v>0</v>
      </c>
      <c r="L62" s="26">
        <f>L17/'Rate Class Customer Model '!F9</f>
        <v>533.9923519063223</v>
      </c>
      <c r="M62" s="26">
        <f>M17/'Rate Class Customer Model '!G9</f>
        <v>697.6161398837305</v>
      </c>
      <c r="N62" s="26">
        <f>N17/'Rate Class Customer Model '!H9</f>
        <v>5629.195412576208</v>
      </c>
    </row>
    <row r="63" spans="1:14" ht="12.75">
      <c r="A63" s="32">
        <f t="shared" si="12"/>
        <v>2007</v>
      </c>
      <c r="H63" s="26">
        <f>H18/'Rate Class Customer Model '!B10</f>
        <v>10439.28184900987</v>
      </c>
      <c r="I63" s="26">
        <f>I18/'Rate Class Customer Model '!C10</f>
        <v>29037.592804289794</v>
      </c>
      <c r="J63" s="26">
        <f>J18/'Rate Class Customer Model '!D10</f>
        <v>729299.0143926787</v>
      </c>
      <c r="K63" s="26">
        <v>0</v>
      </c>
      <c r="L63" s="26">
        <f>L18/'Rate Class Customer Model '!F10</f>
        <v>518.8797614841853</v>
      </c>
      <c r="M63" s="26">
        <f>M18/'Rate Class Customer Model '!G10</f>
        <v>588.5604037377101</v>
      </c>
      <c r="N63" s="26">
        <f>N18/'Rate Class Customer Model '!H10</f>
        <v>5288.508121875295</v>
      </c>
    </row>
    <row r="64" spans="1:14" ht="12.75">
      <c r="A64" s="32">
        <f t="shared" si="12"/>
        <v>2008</v>
      </c>
      <c r="H64" s="26">
        <f>H19/'Rate Class Customer Model '!B11</f>
        <v>10020.480246913581</v>
      </c>
      <c r="I64" s="26">
        <f>I19/'Rate Class Customer Model '!C11</f>
        <v>28794.320070422535</v>
      </c>
      <c r="J64" s="26">
        <f>J19/'Rate Class Customer Model '!D11</f>
        <v>715076.3388429752</v>
      </c>
      <c r="K64" s="26">
        <v>0</v>
      </c>
      <c r="L64" s="26">
        <f>L19/'Rate Class Customer Model '!F11</f>
        <v>508.3354226389868</v>
      </c>
      <c r="M64" s="26">
        <f>M19/'Rate Class Customer Model '!G11</f>
        <v>626.083430669114</v>
      </c>
      <c r="N64" s="26">
        <f>N19/'Rate Class Customer Model '!H11</f>
        <v>5174.7596031474495</v>
      </c>
    </row>
    <row r="65" spans="1:14" ht="12.75">
      <c r="A65" s="32">
        <f t="shared" si="12"/>
        <v>2009</v>
      </c>
      <c r="H65" s="26">
        <f>H20/'Rate Class Customer Model '!B12</f>
        <v>9592.335483057866</v>
      </c>
      <c r="I65" s="26">
        <f>I20/'Rate Class Customer Model '!C12</f>
        <v>28175.146409409175</v>
      </c>
      <c r="J65" s="26">
        <f>J20/'Rate Class Customer Model '!D12</f>
        <v>695793.1930064153</v>
      </c>
      <c r="K65" s="26">
        <v>0</v>
      </c>
      <c r="L65" s="26">
        <f>L20/'Rate Class Customer Model '!F12</f>
        <v>520.3604066015597</v>
      </c>
      <c r="M65" s="26">
        <f>M20/'Rate Class Customer Model '!G12</f>
        <v>599.1439259694229</v>
      </c>
      <c r="N65" s="26">
        <f>N20/'Rate Class Customer Model '!H12</f>
        <v>5189.781938325991</v>
      </c>
    </row>
    <row r="66" spans="1:14" ht="12.75">
      <c r="A66" s="32">
        <f t="shared" si="12"/>
        <v>2010</v>
      </c>
      <c r="H66" s="26">
        <f>H21/'Rate Class Customer Model '!B13</f>
        <v>9846.103519172739</v>
      </c>
      <c r="I66" s="26">
        <f>I21/'Rate Class Customer Model '!C13</f>
        <v>27840.390602337862</v>
      </c>
      <c r="J66" s="26">
        <f>J21/'Rate Class Customer Model '!D13</f>
        <v>718056.2416083348</v>
      </c>
      <c r="K66" s="62">
        <v>0</v>
      </c>
      <c r="L66" s="26">
        <f>L21/'Rate Class Customer Model '!F13</f>
        <v>703.9426816084855</v>
      </c>
      <c r="M66" s="26">
        <f>M21/'Rate Class Customer Model '!G13</f>
        <v>597.4236362029546</v>
      </c>
      <c r="N66" s="26">
        <f>N21/'Rate Class Customer Model '!H13</f>
        <v>5044.669915595759</v>
      </c>
    </row>
    <row r="67" spans="1:14" ht="12.75">
      <c r="A67" s="32">
        <f t="shared" si="12"/>
        <v>2011</v>
      </c>
      <c r="H67" s="26">
        <f>H22/'Rate Class Customer Model '!B14</f>
        <v>9106.133660190168</v>
      </c>
      <c r="I67" s="26">
        <f>I22/'Rate Class Customer Model '!C14</f>
        <v>30111.250845427017</v>
      </c>
      <c r="J67" s="26">
        <f>J22/'Rate Class Customer Model '!D14</f>
        <v>786393.6814181559</v>
      </c>
      <c r="K67" s="62">
        <v>0</v>
      </c>
      <c r="L67" s="26">
        <f>L22/'Rate Class Customer Model '!F14</f>
        <v>667.0589980361018</v>
      </c>
      <c r="M67" s="26">
        <f>M22/'Rate Class Customer Model '!G14</f>
        <v>581.7409819506101</v>
      </c>
      <c r="N67" s="26">
        <f>N22/'Rate Class Customer Model '!H14</f>
        <v>4240.755958597776</v>
      </c>
    </row>
    <row r="68" spans="1:14" ht="12.75">
      <c r="A68" s="32">
        <v>2012</v>
      </c>
      <c r="H68" s="26">
        <f>H23/'Rate Class Customer Model '!B15</f>
        <v>9038.2208870369</v>
      </c>
      <c r="I68" s="26">
        <f>I23/'Rate Class Customer Model '!C15</f>
        <v>29452.85027861092</v>
      </c>
      <c r="J68" s="26">
        <f>J23/'Rate Class Customer Model '!D15</f>
        <v>776552.8618731939</v>
      </c>
      <c r="K68" s="62">
        <v>0</v>
      </c>
      <c r="L68" s="26">
        <f>L23/'Rate Class Customer Model '!F15</f>
        <v>779.2031265863268</v>
      </c>
      <c r="M68" s="26">
        <f>M23/'Rate Class Customer Model '!G15</f>
        <v>586.0255320283038</v>
      </c>
      <c r="N68" s="26">
        <f>N23/'Rate Class Customer Model '!H15</f>
        <v>5903.58845370752</v>
      </c>
    </row>
    <row r="69" spans="1:14" ht="12.75">
      <c r="A69" s="32">
        <v>2013</v>
      </c>
      <c r="H69" s="26">
        <f>H24/'Rate Class Customer Model '!B16</f>
        <v>8909.931620635438</v>
      </c>
      <c r="I69" s="26">
        <f>I24/'Rate Class Customer Model '!C16</f>
        <v>28775.61966437766</v>
      </c>
      <c r="J69" s="26">
        <f>J24/'Rate Class Customer Model '!D16</f>
        <v>760337.3159551221</v>
      </c>
      <c r="K69" s="62">
        <v>0</v>
      </c>
      <c r="L69" s="26">
        <f>L24/'Rate Class Customer Model '!F16</f>
        <v>787.1161124691407</v>
      </c>
      <c r="M69" s="26">
        <f>M24/'Rate Class Customer Model '!G16</f>
        <v>578.2381514722091</v>
      </c>
      <c r="N69" s="26">
        <f>N24/'Rate Class Customer Model '!H16</f>
        <v>5331.703024878426</v>
      </c>
    </row>
    <row r="70" spans="1:14" ht="12.75">
      <c r="A70" s="32">
        <v>2014</v>
      </c>
      <c r="H70" s="26">
        <f>H25/'Rate Class Customer Model '!B17</f>
        <v>8906.45460142461</v>
      </c>
      <c r="I70" s="26">
        <f>I25/'Rate Class Customer Model '!C17</f>
        <v>29692.474523270317</v>
      </c>
      <c r="J70" s="26">
        <f>J25/'Rate Class Customer Model '!D17</f>
        <v>777087.1936152736</v>
      </c>
      <c r="K70" s="62">
        <v>0</v>
      </c>
      <c r="L70" s="26">
        <f>L25/'Rate Class Customer Model '!F17</f>
        <v>776.4041557550036</v>
      </c>
      <c r="M70" s="26">
        <f>M25/'Rate Class Customer Model '!G17</f>
        <v>582.9292515262663</v>
      </c>
      <c r="N70" s="26">
        <f>N25/'Rate Class Customer Model '!H17</f>
        <v>4399.636633138713</v>
      </c>
    </row>
    <row r="71" spans="1:14" ht="12.75">
      <c r="A71" s="32">
        <v>2015</v>
      </c>
      <c r="H71" s="26">
        <f>H26/'Rate Class Customer Model '!B18</f>
        <v>8742.489363969782</v>
      </c>
      <c r="I71" s="26">
        <f>I26/'Rate Class Customer Model '!C18</f>
        <v>28447.04806759534</v>
      </c>
      <c r="J71" s="26">
        <f>J26/'Rate Class Customer Model '!D18</f>
        <v>825959.955045592</v>
      </c>
      <c r="K71" s="62">
        <v>0</v>
      </c>
      <c r="L71" s="26">
        <f>L26/'Rate Class Customer Model '!F18</f>
        <v>669.6829863535575</v>
      </c>
      <c r="M71" s="26">
        <f>M26/'Rate Class Customer Model '!G18</f>
        <v>534.9442964994112</v>
      </c>
      <c r="N71" s="26">
        <f>N26/'Rate Class Customer Model '!H18</f>
        <v>4395.016334261517</v>
      </c>
    </row>
    <row r="72" spans="1:14" ht="12.75">
      <c r="A72" s="32">
        <v>2016</v>
      </c>
      <c r="H72" s="26">
        <f>H27/'Rate Class Customer Model '!B19</f>
        <v>8952.407413983598</v>
      </c>
      <c r="I72" s="26">
        <f>I27/'Rate Class Customer Model '!C19</f>
        <v>29241.29718780437</v>
      </c>
      <c r="J72" s="26">
        <f>J27/'Rate Class Customer Model '!D19</f>
        <v>846353.8765655964</v>
      </c>
      <c r="K72" s="62">
        <v>0</v>
      </c>
      <c r="L72" s="26">
        <f>L27/'Rate Class Customer Model '!F19</f>
        <v>688.3526399614108</v>
      </c>
      <c r="M72" s="26">
        <f>M27/'Rate Class Customer Model '!G19</f>
        <v>375.6736144104815</v>
      </c>
      <c r="N72" s="26">
        <f>N27/'Rate Class Customer Model '!H19</f>
        <v>4020.5233789412737</v>
      </c>
    </row>
    <row r="73" spans="1:14" ht="12.75">
      <c r="A73" s="32">
        <v>2017</v>
      </c>
      <c r="H73" s="26">
        <f>H28/'Rate Class Customer Model '!B20</f>
        <v>8277.829219391864</v>
      </c>
      <c r="I73" s="26">
        <f>I28/'Rate Class Customer Model '!C20</f>
        <v>28202.658814980103</v>
      </c>
      <c r="J73" s="26">
        <f>J28/'Rate Class Customer Model '!D20</f>
        <v>772402.7907088387</v>
      </c>
      <c r="K73" s="62">
        <v>0</v>
      </c>
      <c r="L73" s="26">
        <f>L28/'Rate Class Customer Model '!F20</f>
        <v>649.6501437669094</v>
      </c>
      <c r="M73" s="26">
        <f>M28/'Rate Class Customer Model '!G20</f>
        <v>336.7279812212798</v>
      </c>
      <c r="N73" s="26">
        <f>N28/'Rate Class Customer Model '!H20</f>
        <v>4113.982550062398</v>
      </c>
    </row>
    <row r="74" spans="1:14" ht="12.75">
      <c r="A74" s="32">
        <v>2018</v>
      </c>
      <c r="H74" s="26">
        <f>H29/'Rate Class Customer Model '!B21</f>
        <v>8962.866390136276</v>
      </c>
      <c r="I74" s="26">
        <f>I29/'Rate Class Customer Model '!C21</f>
        <v>29304.62404540241</v>
      </c>
      <c r="J74" s="26">
        <f>J29/'Rate Class Customer Model '!D21</f>
        <v>804830.6337647073</v>
      </c>
      <c r="K74" s="62">
        <v>0</v>
      </c>
      <c r="L74" s="26">
        <f>L29/'Rate Class Customer Model '!F21</f>
        <v>707.6594797060094</v>
      </c>
      <c r="M74" s="26">
        <f>M29/'Rate Class Customer Model '!G21</f>
        <v>337.7005022016525</v>
      </c>
      <c r="N74" s="26">
        <f>N29/'Rate Class Customer Model '!H21</f>
        <v>4274.563588680739</v>
      </c>
    </row>
    <row r="75" spans="1:14" ht="12.75">
      <c r="A75" s="32">
        <v>2019</v>
      </c>
      <c r="H75" s="26">
        <f>H30/'Rate Class Customer Model '!B22</f>
        <v>8559.598989753962</v>
      </c>
      <c r="I75" s="26">
        <f>I30/'Rate Class Customer Model '!C22</f>
        <v>28322.104082108985</v>
      </c>
      <c r="J75" s="26">
        <f>J30/'Rate Class Customer Model '!D22</f>
        <v>802946.7668392148</v>
      </c>
      <c r="K75" s="62">
        <v>1</v>
      </c>
      <c r="L75" s="26">
        <f>L30/'Rate Class Customer Model '!F22</f>
        <v>737.1163660383068</v>
      </c>
      <c r="M75" s="26">
        <f>M30/'Rate Class Customer Model '!G22</f>
        <v>327.7936996461623</v>
      </c>
      <c r="N75" s="26">
        <f>N30/'Rate Class Customer Model '!H22</f>
        <v>4670.412057185205</v>
      </c>
    </row>
    <row r="76" spans="1:14" ht="12.75">
      <c r="A76" s="32">
        <v>2020</v>
      </c>
      <c r="H76" s="26">
        <f>H75*H101</f>
        <v>8484.625059036485</v>
      </c>
      <c r="I76" s="26">
        <f aca="true" t="shared" si="13" ref="I76:N76">I75*I101</f>
        <v>28121.442528807725</v>
      </c>
      <c r="J76" s="26">
        <f t="shared" si="13"/>
        <v>814341.5667459754</v>
      </c>
      <c r="K76" s="26">
        <f t="shared" si="13"/>
        <v>0</v>
      </c>
      <c r="L76" s="26">
        <f t="shared" si="13"/>
        <v>753.9871491732089</v>
      </c>
      <c r="M76" s="26">
        <f t="shared" si="13"/>
        <v>327.7936996461623</v>
      </c>
      <c r="N76" s="26">
        <f t="shared" si="13"/>
        <v>4610.939202644197</v>
      </c>
    </row>
    <row r="77" spans="1:14" ht="12.75">
      <c r="A77" s="32">
        <v>2021</v>
      </c>
      <c r="H77" s="26">
        <f>H76*H101</f>
        <v>8410.307828509514</v>
      </c>
      <c r="I77" s="26">
        <f aca="true" t="shared" si="14" ref="I77:N77">I76*I101</f>
        <v>27922.202658685674</v>
      </c>
      <c r="J77" s="26">
        <f t="shared" si="14"/>
        <v>825898.0728458205</v>
      </c>
      <c r="K77" s="26">
        <f t="shared" si="14"/>
        <v>0</v>
      </c>
      <c r="L77" s="26">
        <f t="shared" si="14"/>
        <v>771.2440630965435</v>
      </c>
      <c r="M77" s="26">
        <f t="shared" si="14"/>
        <v>327.7936996461623</v>
      </c>
      <c r="N77" s="26">
        <f t="shared" si="14"/>
        <v>4552.223673235094</v>
      </c>
    </row>
    <row r="79" spans="1:14" ht="12.75">
      <c r="A79" s="66">
        <v>1999</v>
      </c>
      <c r="D79" s="26"/>
      <c r="H79" s="83"/>
      <c r="I79" s="83"/>
      <c r="J79" s="83"/>
      <c r="K79" s="83"/>
      <c r="L79" s="83"/>
      <c r="M79" s="83"/>
      <c r="N79" s="83"/>
    </row>
    <row r="80" spans="1:14" ht="12.75">
      <c r="A80" s="66">
        <v>2000</v>
      </c>
      <c r="D80" s="26"/>
      <c r="H80" s="83"/>
      <c r="I80" s="83"/>
      <c r="J80" s="83"/>
      <c r="K80" s="83"/>
      <c r="L80" s="83"/>
      <c r="M80" s="83"/>
      <c r="N80" s="83"/>
    </row>
    <row r="81" spans="1:14" ht="12.75">
      <c r="A81" s="66">
        <v>2001</v>
      </c>
      <c r="D81" s="26"/>
      <c r="H81" s="83"/>
      <c r="I81" s="83"/>
      <c r="J81" s="83"/>
      <c r="K81" s="83"/>
      <c r="L81" s="83"/>
      <c r="M81" s="83"/>
      <c r="N81" s="83"/>
    </row>
    <row r="82" spans="1:14" ht="12.75">
      <c r="A82" s="66">
        <v>2002</v>
      </c>
      <c r="D82" s="26"/>
      <c r="H82" s="83"/>
      <c r="I82" s="83"/>
      <c r="J82" s="83"/>
      <c r="K82" s="83"/>
      <c r="L82" s="83"/>
      <c r="M82" s="83"/>
      <c r="N82" s="83"/>
    </row>
    <row r="83" spans="1:14" ht="12.75">
      <c r="A83" s="66">
        <v>2003</v>
      </c>
      <c r="D83" s="26"/>
      <c r="H83" s="83"/>
      <c r="I83" s="83"/>
      <c r="J83" s="83"/>
      <c r="K83" s="83"/>
      <c r="L83" s="83"/>
      <c r="M83" s="83"/>
      <c r="N83" s="83"/>
    </row>
    <row r="84" spans="1:14" ht="12.75">
      <c r="A84" s="66">
        <v>2004</v>
      </c>
      <c r="D84" s="26"/>
      <c r="H84" s="83">
        <f aca="true" t="shared" si="15" ref="H84:J99">H60/H59</f>
        <v>0.9573281374873095</v>
      </c>
      <c r="I84" s="83">
        <f t="shared" si="15"/>
        <v>0.9605597703261128</v>
      </c>
      <c r="J84" s="83">
        <f t="shared" si="15"/>
        <v>1.1401474496566841</v>
      </c>
      <c r="K84" s="83">
        <v>0</v>
      </c>
      <c r="L84" s="83">
        <f aca="true" t="shared" si="16" ref="L84:N99">L60/L59</f>
        <v>0.9685160956739788</v>
      </c>
      <c r="M84" s="83">
        <f t="shared" si="16"/>
        <v>1.025911753398945</v>
      </c>
      <c r="N84" s="83">
        <f t="shared" si="16"/>
        <v>1.0023208044997554</v>
      </c>
    </row>
    <row r="85" spans="1:14" ht="12.75">
      <c r="A85" s="66">
        <v>2005</v>
      </c>
      <c r="D85" s="26"/>
      <c r="H85" s="83">
        <f t="shared" si="15"/>
        <v>1.1410557268041823</v>
      </c>
      <c r="I85" s="83">
        <f t="shared" si="15"/>
        <v>0.9256369335336856</v>
      </c>
      <c r="J85" s="83">
        <f t="shared" si="15"/>
        <v>1.0408536924955973</v>
      </c>
      <c r="K85" s="83">
        <v>0</v>
      </c>
      <c r="L85" s="83">
        <f t="shared" si="16"/>
        <v>1.2978689482686123</v>
      </c>
      <c r="M85" s="83">
        <f t="shared" si="16"/>
        <v>1.0465778482482986</v>
      </c>
      <c r="N85" s="83">
        <f t="shared" si="16"/>
        <v>0.9863275609006369</v>
      </c>
    </row>
    <row r="86" spans="1:14" ht="12.75">
      <c r="A86" s="66">
        <v>2006</v>
      </c>
      <c r="D86" s="26"/>
      <c r="H86" s="83">
        <f t="shared" si="15"/>
        <v>0.9562173683378912</v>
      </c>
      <c r="I86" s="83">
        <f t="shared" si="15"/>
        <v>0.9744261812773125</v>
      </c>
      <c r="J86" s="83">
        <f t="shared" si="15"/>
        <v>0.907596664653639</v>
      </c>
      <c r="K86" s="83">
        <v>0</v>
      </c>
      <c r="L86" s="83">
        <f t="shared" si="16"/>
        <v>0.8277659142382062</v>
      </c>
      <c r="M86" s="83">
        <f t="shared" si="16"/>
        <v>1.0992081315022975</v>
      </c>
      <c r="N86" s="83">
        <f t="shared" si="16"/>
        <v>0.9931397521565323</v>
      </c>
    </row>
    <row r="87" spans="1:14" ht="12.75">
      <c r="A87" s="66">
        <v>2007</v>
      </c>
      <c r="D87" s="26"/>
      <c r="H87" s="83">
        <f t="shared" si="15"/>
        <v>1.0142865865504382</v>
      </c>
      <c r="I87" s="83">
        <f t="shared" si="15"/>
        <v>1.0561226740742669</v>
      </c>
      <c r="J87" s="83">
        <f t="shared" si="15"/>
        <v>1.0565568415101287</v>
      </c>
      <c r="K87" s="83">
        <v>0</v>
      </c>
      <c r="L87" s="83">
        <f t="shared" si="16"/>
        <v>0.9716988635358057</v>
      </c>
      <c r="M87" s="83">
        <f t="shared" si="16"/>
        <v>0.8436737198135977</v>
      </c>
      <c r="N87" s="83">
        <f t="shared" si="16"/>
        <v>0.9394785105630226</v>
      </c>
    </row>
    <row r="88" spans="1:14" ht="12.75">
      <c r="A88" s="66">
        <v>2008</v>
      </c>
      <c r="D88" s="26"/>
      <c r="H88" s="83">
        <f t="shared" si="15"/>
        <v>0.9598821443703035</v>
      </c>
      <c r="I88" s="83">
        <f t="shared" si="15"/>
        <v>0.9916221452822591</v>
      </c>
      <c r="J88" s="83">
        <f t="shared" si="15"/>
        <v>0.9804981560799895</v>
      </c>
      <c r="K88" s="83">
        <v>0</v>
      </c>
      <c r="L88" s="83">
        <f t="shared" si="16"/>
        <v>0.9796786469084131</v>
      </c>
      <c r="M88" s="83">
        <f t="shared" si="16"/>
        <v>1.063753909867382</v>
      </c>
      <c r="N88" s="83">
        <f t="shared" si="16"/>
        <v>0.9784913786446998</v>
      </c>
    </row>
    <row r="89" spans="1:14" ht="12.75">
      <c r="A89" s="66">
        <v>2009</v>
      </c>
      <c r="D89" s="26"/>
      <c r="H89" s="83">
        <f t="shared" si="15"/>
        <v>0.9572730295049893</v>
      </c>
      <c r="I89" s="83">
        <f t="shared" si="15"/>
        <v>0.9784966736669232</v>
      </c>
      <c r="J89" s="83">
        <f t="shared" si="15"/>
        <v>0.9730334444183107</v>
      </c>
      <c r="K89" s="83">
        <v>0</v>
      </c>
      <c r="L89" s="83">
        <f t="shared" si="16"/>
        <v>1.0236556089287385</v>
      </c>
      <c r="M89" s="83">
        <f t="shared" si="16"/>
        <v>0.9569713821193125</v>
      </c>
      <c r="N89" s="83">
        <f t="shared" si="16"/>
        <v>1.0029030015557447</v>
      </c>
    </row>
    <row r="90" spans="1:14" ht="12.75">
      <c r="A90" s="66">
        <v>2010</v>
      </c>
      <c r="D90" s="26"/>
      <c r="H90" s="83">
        <f t="shared" si="15"/>
        <v>1.0264552919946432</v>
      </c>
      <c r="I90" s="83">
        <f t="shared" si="15"/>
        <v>0.9881187553666262</v>
      </c>
      <c r="J90" s="83">
        <f t="shared" si="15"/>
        <v>1.0319966461668364</v>
      </c>
      <c r="K90" s="83">
        <v>0</v>
      </c>
      <c r="L90" s="83">
        <f t="shared" si="16"/>
        <v>1.352798315701784</v>
      </c>
      <c r="M90" s="83">
        <f t="shared" si="16"/>
        <v>0.9971287537235985</v>
      </c>
      <c r="N90" s="83">
        <f t="shared" si="16"/>
        <v>0.972038897885363</v>
      </c>
    </row>
    <row r="91" spans="1:14" ht="12.75">
      <c r="A91" s="66">
        <v>2011</v>
      </c>
      <c r="D91" s="26"/>
      <c r="H91" s="83">
        <f t="shared" si="15"/>
        <v>0.9248464270620687</v>
      </c>
      <c r="I91" s="83">
        <f t="shared" si="15"/>
        <v>1.081567111450601</v>
      </c>
      <c r="J91" s="83">
        <f t="shared" si="15"/>
        <v>1.095170038013674</v>
      </c>
      <c r="K91" s="83">
        <v>0</v>
      </c>
      <c r="L91" s="83">
        <f t="shared" si="16"/>
        <v>0.9476041380413165</v>
      </c>
      <c r="M91" s="83">
        <f t="shared" si="16"/>
        <v>0.9737495249568318</v>
      </c>
      <c r="N91" s="83">
        <f t="shared" si="16"/>
        <v>0.8406409199316178</v>
      </c>
    </row>
    <row r="92" spans="1:14" ht="12.75">
      <c r="A92" s="66">
        <v>2012</v>
      </c>
      <c r="D92" s="26"/>
      <c r="H92" s="83">
        <f t="shared" si="15"/>
        <v>0.9925420847433674</v>
      </c>
      <c r="I92" s="83">
        <f t="shared" si="15"/>
        <v>0.9781343999890297</v>
      </c>
      <c r="J92" s="83">
        <f t="shared" si="15"/>
        <v>0.9874861411307179</v>
      </c>
      <c r="K92" s="83">
        <v>0</v>
      </c>
      <c r="L92" s="83">
        <f t="shared" si="16"/>
        <v>1.1681172563152438</v>
      </c>
      <c r="M92" s="83">
        <f t="shared" si="16"/>
        <v>1.0073650476941256</v>
      </c>
      <c r="N92" s="83">
        <f t="shared" si="16"/>
        <v>1.392107565571768</v>
      </c>
    </row>
    <row r="93" spans="1:14" ht="12.75">
      <c r="A93" s="66">
        <v>2013</v>
      </c>
      <c r="D93" s="26"/>
      <c r="H93" s="83">
        <f t="shared" si="15"/>
        <v>0.9858059160088175</v>
      </c>
      <c r="I93" s="83">
        <f t="shared" si="15"/>
        <v>0.9770062792623818</v>
      </c>
      <c r="J93" s="83">
        <f t="shared" si="15"/>
        <v>0.9791185549442741</v>
      </c>
      <c r="K93" s="83">
        <v>0</v>
      </c>
      <c r="L93" s="83">
        <f t="shared" si="16"/>
        <v>1.0101552286083355</v>
      </c>
      <c r="M93" s="83">
        <f t="shared" si="16"/>
        <v>0.9867115336610989</v>
      </c>
      <c r="N93" s="83">
        <f t="shared" si="16"/>
        <v>0.9031291843404254</v>
      </c>
    </row>
    <row r="94" spans="1:14" ht="12.75">
      <c r="A94" s="66">
        <v>2014</v>
      </c>
      <c r="D94" s="26"/>
      <c r="H94" s="83">
        <f t="shared" si="15"/>
        <v>0.9996097591587824</v>
      </c>
      <c r="I94" s="83">
        <f t="shared" si="15"/>
        <v>1.0318622107737845</v>
      </c>
      <c r="J94" s="83">
        <f t="shared" si="15"/>
        <v>1.0220295351926936</v>
      </c>
      <c r="K94" s="83">
        <v>0</v>
      </c>
      <c r="L94" s="83">
        <f t="shared" si="16"/>
        <v>0.986390881161695</v>
      </c>
      <c r="M94" s="83">
        <f t="shared" si="16"/>
        <v>1.0081127473898315</v>
      </c>
      <c r="N94" s="83">
        <f t="shared" si="16"/>
        <v>0.8251841133329127</v>
      </c>
    </row>
    <row r="95" spans="1:14" ht="12.75">
      <c r="A95" s="66">
        <v>2015</v>
      </c>
      <c r="D95" s="26"/>
      <c r="H95" s="83">
        <f t="shared" si="15"/>
        <v>0.9815902909976545</v>
      </c>
      <c r="I95" s="83">
        <f t="shared" si="15"/>
        <v>0.9580558213597549</v>
      </c>
      <c r="J95" s="83">
        <f t="shared" si="15"/>
        <v>1.0628922491991482</v>
      </c>
      <c r="K95" s="83">
        <v>0</v>
      </c>
      <c r="L95" s="83">
        <f t="shared" si="16"/>
        <v>0.8625443094161873</v>
      </c>
      <c r="M95" s="83">
        <f t="shared" si="16"/>
        <v>0.9176830551885713</v>
      </c>
      <c r="N95" s="83">
        <f t="shared" si="16"/>
        <v>0.9989498453480465</v>
      </c>
    </row>
    <row r="96" spans="1:14" ht="12.75">
      <c r="A96" s="66">
        <v>2016</v>
      </c>
      <c r="D96" s="26"/>
      <c r="H96" s="83">
        <f t="shared" si="15"/>
        <v>1.0240112445408223</v>
      </c>
      <c r="I96" s="83">
        <f t="shared" si="15"/>
        <v>1.0279202649892443</v>
      </c>
      <c r="J96" s="83">
        <f t="shared" si="15"/>
        <v>1.0246911746694531</v>
      </c>
      <c r="K96" s="83">
        <v>0</v>
      </c>
      <c r="L96" s="83">
        <f t="shared" si="16"/>
        <v>1.0278783454086389</v>
      </c>
      <c r="M96" s="83">
        <f t="shared" si="16"/>
        <v>0.7022667908954797</v>
      </c>
      <c r="N96" s="83">
        <f t="shared" si="16"/>
        <v>0.9147914531282013</v>
      </c>
    </row>
    <row r="97" spans="1:14" ht="12.75">
      <c r="A97" s="66">
        <v>2017</v>
      </c>
      <c r="D97" s="26"/>
      <c r="H97" s="83">
        <f t="shared" si="15"/>
        <v>0.9246484031169039</v>
      </c>
      <c r="I97" s="83">
        <f t="shared" si="15"/>
        <v>0.9644804275900095</v>
      </c>
      <c r="J97" s="83">
        <f t="shared" si="15"/>
        <v>0.912623917838195</v>
      </c>
      <c r="K97" s="83">
        <v>0</v>
      </c>
      <c r="L97" s="83">
        <f t="shared" si="16"/>
        <v>0.9437751902910243</v>
      </c>
      <c r="M97" s="83">
        <f t="shared" si="16"/>
        <v>0.896331198957594</v>
      </c>
      <c r="N97" s="83">
        <f t="shared" si="16"/>
        <v>1.0232455236078581</v>
      </c>
    </row>
    <row r="98" spans="1:14" ht="12.75">
      <c r="A98" s="66">
        <v>2018</v>
      </c>
      <c r="D98" s="26"/>
      <c r="H98" s="83">
        <f t="shared" si="15"/>
        <v>1.082755653999194</v>
      </c>
      <c r="I98" s="83">
        <f t="shared" si="15"/>
        <v>1.0390730972441855</v>
      </c>
      <c r="J98" s="83">
        <f t="shared" si="15"/>
        <v>1.0419830733989313</v>
      </c>
      <c r="K98" s="83">
        <v>0</v>
      </c>
      <c r="L98" s="83">
        <f t="shared" si="16"/>
        <v>1.0892931934144439</v>
      </c>
      <c r="M98" s="83">
        <f t="shared" si="16"/>
        <v>1.0028881501823683</v>
      </c>
      <c r="N98" s="83">
        <f t="shared" si="16"/>
        <v>1.0390329897281418</v>
      </c>
    </row>
    <row r="99" spans="1:14" ht="12.75">
      <c r="A99" s="66">
        <v>2019</v>
      </c>
      <c r="D99" s="26"/>
      <c r="H99" s="83">
        <f t="shared" si="15"/>
        <v>0.9550068713702891</v>
      </c>
      <c r="I99" s="83">
        <f t="shared" si="15"/>
        <v>0.9664721867180012</v>
      </c>
      <c r="J99" s="83">
        <f t="shared" si="15"/>
        <v>0.9976593001726582</v>
      </c>
      <c r="K99" s="83">
        <v>1</v>
      </c>
      <c r="L99" s="83">
        <f t="shared" si="16"/>
        <v>1.041625792032822</v>
      </c>
      <c r="M99" s="83">
        <f t="shared" si="16"/>
        <v>0.9706639389313833</v>
      </c>
      <c r="N99" s="83">
        <f t="shared" si="16"/>
        <v>1.0926055865802753</v>
      </c>
    </row>
    <row r="100" spans="1:6" ht="12.75">
      <c r="A100" s="31"/>
      <c r="D100" s="26"/>
      <c r="E100" s="26"/>
      <c r="F100" s="26"/>
    </row>
    <row r="101" spans="1:14" ht="12.75">
      <c r="A101" s="32" t="s">
        <v>19</v>
      </c>
      <c r="D101" s="26"/>
      <c r="H101" s="83">
        <f aca="true" t="shared" si="17" ref="H101:N101">H103</f>
        <v>0.9912409528989357</v>
      </c>
      <c r="I101" s="83">
        <f t="shared" si="17"/>
        <v>0.9929150195649477</v>
      </c>
      <c r="J101" s="83">
        <f t="shared" si="17"/>
        <v>1.014191227086717</v>
      </c>
      <c r="K101" s="83">
        <v>0</v>
      </c>
      <c r="L101" s="83">
        <f t="shared" si="17"/>
        <v>1.0228875438291725</v>
      </c>
      <c r="M101" s="83">
        <v>1</v>
      </c>
      <c r="N101" s="83">
        <f t="shared" si="17"/>
        <v>0.9872660369550238</v>
      </c>
    </row>
    <row r="102" spans="1:14" ht="12.75">
      <c r="A102" s="31"/>
      <c r="D102" s="26"/>
      <c r="H102" s="84"/>
      <c r="I102" s="84"/>
      <c r="M102" s="62"/>
      <c r="N102" s="62"/>
    </row>
    <row r="103" spans="1:14" ht="12.75">
      <c r="A103" s="32" t="s">
        <v>16</v>
      </c>
      <c r="D103" s="26"/>
      <c r="H103" s="83">
        <f>GEOMEAN(H84:H99)</f>
        <v>0.9912409528989357</v>
      </c>
      <c r="I103" s="83">
        <f>GEOMEAN(I84:I99)</f>
        <v>0.9929150195649477</v>
      </c>
      <c r="J103" s="83">
        <f>GEOMEAN(J84:J99)</f>
        <v>1.014191227086717</v>
      </c>
      <c r="K103" s="83">
        <v>0</v>
      </c>
      <c r="L103" s="83">
        <f>GEOMEAN(L84:L99)</f>
        <v>1.0228875438291725</v>
      </c>
      <c r="M103" s="83">
        <f>GEOMEAN(M84:M99)</f>
        <v>0.9638214722524344</v>
      </c>
      <c r="N103" s="83">
        <f>GEOMEAN(N84:N99)</f>
        <v>0.9872660369550238</v>
      </c>
    </row>
    <row r="104" spans="4:14" ht="12.75">
      <c r="D104" s="26"/>
      <c r="H104" s="83"/>
      <c r="I104" s="83"/>
      <c r="J104" s="83"/>
      <c r="K104" s="83"/>
      <c r="L104" s="83"/>
      <c r="M104" s="83"/>
      <c r="N104" s="83"/>
    </row>
    <row r="105" spans="1:15" ht="12.75">
      <c r="A105" s="79" t="s">
        <v>48</v>
      </c>
      <c r="O105" s="26" t="s">
        <v>11</v>
      </c>
    </row>
    <row r="106" spans="1:15" ht="12.75">
      <c r="A106" s="32">
        <v>2019</v>
      </c>
      <c r="G106" s="76">
        <f>SUM(H106:N106)</f>
        <v>1210020079.43717</v>
      </c>
      <c r="H106" s="76">
        <f>H75*'Rate Class Customer Model '!B22</f>
        <v>434759151.88758326</v>
      </c>
      <c r="I106" s="76">
        <f>I75*'Rate Class Customer Model '!C22</f>
        <v>126741415.76743771</v>
      </c>
      <c r="J106" s="76">
        <f>J75*'Rate Class Customer Model '!D22</f>
        <v>642357413.4713719</v>
      </c>
      <c r="K106" s="76">
        <f>K75*'Rate Class Customer Model '!E22</f>
        <v>0</v>
      </c>
      <c r="L106" s="76">
        <f>L75*'Rate Class Customer Model '!F22</f>
        <v>218186.4443473388</v>
      </c>
      <c r="M106" s="76">
        <f>M75*'Rate Class Customer Model '!G22</f>
        <v>4379323.827272728</v>
      </c>
      <c r="N106" s="76">
        <f>N75*'Rate Class Customer Model '!H22</f>
        <v>1564588.039157044</v>
      </c>
      <c r="O106" s="76">
        <f>SUM(H106:N106)</f>
        <v>1210020079.43717</v>
      </c>
    </row>
    <row r="107" spans="1:15" ht="12.75">
      <c r="A107" s="32">
        <v>2020</v>
      </c>
      <c r="G107" s="76">
        <f>SUM(H107:N107)</f>
        <v>1225877504.8034348</v>
      </c>
      <c r="H107" s="76">
        <f>H76*'Rate Class Customer Model '!B23</f>
        <v>435774083.41212136</v>
      </c>
      <c r="I107" s="76">
        <f>I76*'Rate Class Customer Model '!C23</f>
        <v>126764856.99043362</v>
      </c>
      <c r="J107" s="76">
        <f>J76*('Rate Class Customer Model '!D23+2)-K107</f>
        <v>657173644.3640021</v>
      </c>
      <c r="K107" s="76"/>
      <c r="L107" s="76">
        <f>L76*'Rate Class Customer Model '!F23</f>
        <v>218399.86473544672</v>
      </c>
      <c r="M107" s="76">
        <f>M76*'Rate Class Customer Model '!G23</f>
        <v>4423984.505328791</v>
      </c>
      <c r="N107" s="76">
        <f>N76*'Rate Class Customer Model '!H23</f>
        <v>1522535.666813397</v>
      </c>
      <c r="O107" s="76">
        <f>SUM(H107:N107)</f>
        <v>1225877504.8034348</v>
      </c>
    </row>
    <row r="108" spans="1:15" ht="12.75">
      <c r="A108" s="32">
        <v>2021</v>
      </c>
      <c r="G108" s="76">
        <f>SUM(H108:N108)</f>
        <v>1238726453.5079567</v>
      </c>
      <c r="H108" s="76">
        <f>H77*'Rate Class Customer Model '!B24</f>
        <v>436791384.262285</v>
      </c>
      <c r="I108" s="76">
        <f>I77*'Rate Class Customer Model '!C24</f>
        <v>126788302.54895738</v>
      </c>
      <c r="J108" s="76">
        <f>J77*('Rate Class Customer Model '!D24+2)-K108</f>
        <v>666169106.4251145</v>
      </c>
      <c r="K108" s="76">
        <f>K113</f>
        <v>2808332.58</v>
      </c>
      <c r="L108" s="76">
        <f>L77*'Rate Class Customer Model '!F24</f>
        <v>218613.49388199602</v>
      </c>
      <c r="M108" s="76">
        <f>M77*'Rate Class Customer Model '!G24</f>
        <v>4469100.636382417</v>
      </c>
      <c r="N108" s="76">
        <f>N77*'Rate Class Customer Model '!H24</f>
        <v>1481613.5613358333</v>
      </c>
      <c r="O108" s="76">
        <f>SUM(H108:N108)</f>
        <v>1238726453.5079567</v>
      </c>
    </row>
    <row r="109" spans="7:15" ht="12.75">
      <c r="G109" s="76"/>
      <c r="H109" s="76"/>
      <c r="I109" s="76"/>
      <c r="J109" s="76"/>
      <c r="K109" s="76"/>
      <c r="L109" s="76"/>
      <c r="M109" s="76"/>
      <c r="N109" s="76"/>
      <c r="O109" s="76"/>
    </row>
    <row r="110" spans="1:15" ht="12.75">
      <c r="A110" s="79" t="s">
        <v>47</v>
      </c>
      <c r="G110" s="76"/>
      <c r="H110" s="76"/>
      <c r="I110" s="76"/>
      <c r="J110" s="76"/>
      <c r="K110" s="76"/>
      <c r="L110" s="76"/>
      <c r="M110" s="76"/>
      <c r="N110" s="76"/>
      <c r="O110" s="76" t="s">
        <v>18</v>
      </c>
    </row>
    <row r="111" spans="1:15" ht="12.75">
      <c r="A111" s="32">
        <v>2019</v>
      </c>
      <c r="G111" s="76">
        <f>G30</f>
        <v>1210020079.43717</v>
      </c>
      <c r="H111" s="76">
        <f>H106+H121</f>
        <v>434759151.88758326</v>
      </c>
      <c r="I111" s="76">
        <f aca="true" t="shared" si="18" ref="I111:N111">I106+I121</f>
        <v>126741415.76743771</v>
      </c>
      <c r="J111" s="76">
        <f t="shared" si="18"/>
        <v>642357413.4713719</v>
      </c>
      <c r="K111" s="76">
        <f t="shared" si="18"/>
        <v>0</v>
      </c>
      <c r="L111" s="76">
        <f t="shared" si="18"/>
        <v>218186.4443473388</v>
      </c>
      <c r="M111" s="76">
        <f t="shared" si="18"/>
        <v>4379323.827272728</v>
      </c>
      <c r="N111" s="76">
        <f t="shared" si="18"/>
        <v>1564588.039157044</v>
      </c>
      <c r="O111" s="76">
        <f>SUM(H111:N111)</f>
        <v>1210020079.43717</v>
      </c>
    </row>
    <row r="112" spans="1:15" ht="12.75">
      <c r="A112" s="32">
        <v>2020</v>
      </c>
      <c r="G112" s="76">
        <f>G31</f>
        <v>1241549745.2111354</v>
      </c>
      <c r="H112" s="76">
        <v>442258807</v>
      </c>
      <c r="I112" s="76">
        <v>128651236</v>
      </c>
      <c r="J112" s="76">
        <f>664474782-K112</f>
        <v>664474782</v>
      </c>
      <c r="K112" s="76"/>
      <c r="L112" s="76">
        <f aca="true" t="shared" si="19" ref="L112:N113">L107+L122</f>
        <v>218399.86473544672</v>
      </c>
      <c r="M112" s="76">
        <f t="shared" si="19"/>
        <v>4423984.505328791</v>
      </c>
      <c r="N112" s="76">
        <f t="shared" si="19"/>
        <v>1522535.666813397</v>
      </c>
      <c r="O112" s="76">
        <f>SUM(H112:N112)</f>
        <v>1241549745.0368776</v>
      </c>
    </row>
    <row r="113" spans="1:15" ht="13.5" thickBot="1">
      <c r="A113" s="32">
        <v>2021</v>
      </c>
      <c r="G113" s="76">
        <f>G32</f>
        <v>1284303928.8645144</v>
      </c>
      <c r="H113" s="76">
        <v>453679525</v>
      </c>
      <c r="I113" s="76">
        <v>131690457</v>
      </c>
      <c r="J113" s="76">
        <f>692764619-K113</f>
        <v>689956286.42</v>
      </c>
      <c r="K113" s="76">
        <v>2808332.58</v>
      </c>
      <c r="L113" s="76">
        <f t="shared" si="19"/>
        <v>218613.49388199602</v>
      </c>
      <c r="M113" s="76">
        <f t="shared" si="19"/>
        <v>4469100.636382417</v>
      </c>
      <c r="N113" s="76">
        <f t="shared" si="19"/>
        <v>1481613.5613358333</v>
      </c>
      <c r="O113" s="76">
        <f>SUM(H113:N113)</f>
        <v>1284303928.6916</v>
      </c>
    </row>
    <row r="114" spans="7:15" ht="13.5" thickBot="1">
      <c r="G114" s="76"/>
      <c r="H114" s="310" t="s">
        <v>105</v>
      </c>
      <c r="I114" s="311"/>
      <c r="J114" s="311"/>
      <c r="K114" s="311"/>
      <c r="L114" s="311"/>
      <c r="M114" s="312"/>
      <c r="N114" s="76"/>
      <c r="O114" s="76"/>
    </row>
    <row r="115" spans="1:15" ht="12.75">
      <c r="A115" s="47" t="s">
        <v>49</v>
      </c>
      <c r="G115" s="76"/>
      <c r="H115" s="90">
        <v>0.935</v>
      </c>
      <c r="I115" s="90">
        <v>0.935</v>
      </c>
      <c r="J115" s="90">
        <v>0.87</v>
      </c>
      <c r="K115" s="85">
        <f>J115</f>
        <v>0.87</v>
      </c>
      <c r="L115" s="85">
        <v>0</v>
      </c>
      <c r="M115" s="85">
        <v>0</v>
      </c>
      <c r="N115" s="85">
        <v>0</v>
      </c>
      <c r="O115" s="76" t="s">
        <v>18</v>
      </c>
    </row>
    <row r="116" spans="1:15" ht="12.75">
      <c r="A116" s="32">
        <v>2019</v>
      </c>
      <c r="G116" s="76">
        <f>G111-G106</f>
        <v>0</v>
      </c>
      <c r="H116" s="76">
        <f>H106*H115</f>
        <v>406499807.0148904</v>
      </c>
      <c r="I116" s="76">
        <f aca="true" t="shared" si="20" ref="I116:N117">I106*I115</f>
        <v>118503223.74255426</v>
      </c>
      <c r="J116" s="76">
        <f t="shared" si="20"/>
        <v>558850949.7200935</v>
      </c>
      <c r="K116" s="76">
        <f t="shared" si="20"/>
        <v>0</v>
      </c>
      <c r="L116" s="76">
        <f t="shared" si="20"/>
        <v>0</v>
      </c>
      <c r="M116" s="76">
        <f t="shared" si="20"/>
        <v>0</v>
      </c>
      <c r="N116" s="76">
        <f t="shared" si="20"/>
        <v>0</v>
      </c>
      <c r="O116" s="76">
        <f>SUM(H116:N116)</f>
        <v>1083853980.477538</v>
      </c>
    </row>
    <row r="117" spans="1:15" ht="12.75">
      <c r="A117" s="32">
        <v>2020</v>
      </c>
      <c r="G117" s="76">
        <f>G112-G107</f>
        <v>15672240.407700539</v>
      </c>
      <c r="H117" s="76">
        <f aca="true" t="shared" si="21" ref="H117:N117">H107*H115</f>
        <v>407448767.9903335</v>
      </c>
      <c r="I117" s="76">
        <f t="shared" si="21"/>
        <v>118525141.28605545</v>
      </c>
      <c r="J117" s="76">
        <f t="shared" si="21"/>
        <v>571741070.5966818</v>
      </c>
      <c r="K117" s="76">
        <f t="shared" si="20"/>
        <v>0</v>
      </c>
      <c r="L117" s="76">
        <f t="shared" si="21"/>
        <v>0</v>
      </c>
      <c r="M117" s="76">
        <f t="shared" si="21"/>
        <v>0</v>
      </c>
      <c r="N117" s="76">
        <f t="shared" si="21"/>
        <v>0</v>
      </c>
      <c r="O117" s="76">
        <f>SUM(H117:N117)</f>
        <v>1097714979.8730707</v>
      </c>
    </row>
    <row r="118" spans="1:15" ht="12.75">
      <c r="A118" s="32">
        <v>2021</v>
      </c>
      <c r="G118" s="76">
        <f>G113-G108</f>
        <v>45577475.35655761</v>
      </c>
      <c r="H118" s="76">
        <f>H108*H115</f>
        <v>408399944.2852365</v>
      </c>
      <c r="I118" s="76">
        <f aca="true" t="shared" si="22" ref="I118:N118">I108*I115</f>
        <v>118547062.88327515</v>
      </c>
      <c r="J118" s="76">
        <f t="shared" si="22"/>
        <v>579567122.5898496</v>
      </c>
      <c r="K118" s="76"/>
      <c r="L118" s="76">
        <f t="shared" si="22"/>
        <v>0</v>
      </c>
      <c r="M118" s="76">
        <f t="shared" si="22"/>
        <v>0</v>
      </c>
      <c r="N118" s="76">
        <f t="shared" si="22"/>
        <v>0</v>
      </c>
      <c r="O118" s="76">
        <f>SUM(H118:N118)</f>
        <v>1106514129.7583613</v>
      </c>
    </row>
    <row r="119" spans="7:15" ht="12" customHeight="1">
      <c r="G119" s="76"/>
      <c r="H119" s="76"/>
      <c r="I119" s="76"/>
      <c r="J119" s="76"/>
      <c r="K119" s="76"/>
      <c r="L119" s="76"/>
      <c r="M119" s="76"/>
      <c r="N119" s="76"/>
      <c r="O119" s="76"/>
    </row>
    <row r="120" spans="1:15" ht="12.75">
      <c r="A120" s="32" t="s">
        <v>50</v>
      </c>
      <c r="G120" s="76"/>
      <c r="H120" s="76"/>
      <c r="I120" s="76"/>
      <c r="J120" s="76"/>
      <c r="K120" s="76"/>
      <c r="L120" s="76"/>
      <c r="M120" s="76"/>
      <c r="N120" s="76"/>
      <c r="O120" s="76" t="s">
        <v>18</v>
      </c>
    </row>
    <row r="121" spans="1:15" ht="12.75">
      <c r="A121" s="32">
        <v>2019</v>
      </c>
      <c r="G121" s="76"/>
      <c r="H121" s="76">
        <f>H116/$O$116*$G$116</f>
        <v>0</v>
      </c>
      <c r="I121" s="76">
        <f aca="true" t="shared" si="23" ref="I121:N121">I116/$O$116*$G$116</f>
        <v>0</v>
      </c>
      <c r="J121" s="76">
        <f t="shared" si="23"/>
        <v>0</v>
      </c>
      <c r="K121" s="76">
        <f t="shared" si="23"/>
        <v>0</v>
      </c>
      <c r="L121" s="76">
        <f t="shared" si="23"/>
        <v>0</v>
      </c>
      <c r="M121" s="76">
        <f t="shared" si="23"/>
        <v>0</v>
      </c>
      <c r="N121" s="76">
        <f t="shared" si="23"/>
        <v>0</v>
      </c>
      <c r="O121" s="76">
        <f>SUM(H121:N121)</f>
        <v>0</v>
      </c>
    </row>
    <row r="122" spans="1:15" ht="12.75">
      <c r="A122" s="32">
        <v>2020</v>
      </c>
      <c r="G122" s="76"/>
      <c r="H122" s="76">
        <f aca="true" t="shared" si="24" ref="H122:N122">H117/$O$117*$G$117</f>
        <v>5817206.800352019</v>
      </c>
      <c r="I122" s="76">
        <f t="shared" si="24"/>
        <v>1692201.1110812419</v>
      </c>
      <c r="J122" s="76">
        <f t="shared" si="24"/>
        <v>8162832.496267279</v>
      </c>
      <c r="K122" s="76">
        <f t="shared" si="24"/>
        <v>0</v>
      </c>
      <c r="L122" s="76">
        <f t="shared" si="24"/>
        <v>0</v>
      </c>
      <c r="M122" s="76">
        <f t="shared" si="24"/>
        <v>0</v>
      </c>
      <c r="N122" s="76">
        <f t="shared" si="24"/>
        <v>0</v>
      </c>
      <c r="O122" s="76">
        <f>SUM(H122:N122)</f>
        <v>15672240.407700539</v>
      </c>
    </row>
    <row r="123" spans="1:15" ht="12.75">
      <c r="A123" s="32">
        <v>2021</v>
      </c>
      <c r="G123" s="76"/>
      <c r="H123" s="76">
        <f aca="true" t="shared" si="25" ref="H123:N123">H118/$O$118*$G$118</f>
        <v>16822052.15069845</v>
      </c>
      <c r="I123" s="76">
        <f t="shared" si="25"/>
        <v>4882970.485279454</v>
      </c>
      <c r="J123" s="76">
        <f t="shared" si="25"/>
        <v>23872452.720579702</v>
      </c>
      <c r="K123" s="76">
        <f t="shared" si="25"/>
        <v>0</v>
      </c>
      <c r="L123" s="76">
        <f t="shared" si="25"/>
        <v>0</v>
      </c>
      <c r="M123" s="76">
        <f t="shared" si="25"/>
        <v>0</v>
      </c>
      <c r="N123" s="76">
        <f t="shared" si="25"/>
        <v>0</v>
      </c>
      <c r="O123" s="76">
        <f>SUM(H123:N123)</f>
        <v>45577475.35655761</v>
      </c>
    </row>
    <row r="124" spans="1:17" ht="12.75">
      <c r="A124" t="s">
        <v>103</v>
      </c>
      <c r="B124" s="309" t="s">
        <v>250</v>
      </c>
      <c r="C124" s="309"/>
      <c r="D124" s="309"/>
      <c r="E124" s="309"/>
      <c r="F124" s="309"/>
      <c r="G124" s="5"/>
      <c r="M124" s="89"/>
      <c r="N124" s="5"/>
      <c r="O124" s="76" t="s">
        <v>18</v>
      </c>
      <c r="P124" s="5"/>
      <c r="Q124" s="5"/>
    </row>
    <row r="125" spans="1:18" ht="12.75">
      <c r="A125" s="32">
        <v>2020</v>
      </c>
      <c r="B125" s="1"/>
      <c r="C125" s="1"/>
      <c r="D125" s="1"/>
      <c r="E125" s="1"/>
      <c r="G125" s="86">
        <v>0</v>
      </c>
      <c r="H125" s="86">
        <v>0</v>
      </c>
      <c r="I125" s="86">
        <v>0</v>
      </c>
      <c r="J125" s="86">
        <v>0</v>
      </c>
      <c r="K125" s="86">
        <v>0</v>
      </c>
      <c r="L125" s="86">
        <v>0</v>
      </c>
      <c r="M125" s="86">
        <v>0</v>
      </c>
      <c r="N125" s="86">
        <v>0</v>
      </c>
      <c r="O125" s="87">
        <f>SUM(H125:N125)</f>
        <v>0</v>
      </c>
      <c r="P125" s="76"/>
      <c r="Q125" s="5"/>
      <c r="R125" s="5"/>
    </row>
    <row r="126" spans="1:18" ht="12.75">
      <c r="A126" s="32">
        <v>2021</v>
      </c>
      <c r="B126" s="1"/>
      <c r="C126" s="1"/>
      <c r="D126" s="1"/>
      <c r="E126" s="1"/>
      <c r="G126" s="86">
        <v>0</v>
      </c>
      <c r="H126" s="86">
        <v>0</v>
      </c>
      <c r="I126" s="86">
        <v>0</v>
      </c>
      <c r="J126" s="86">
        <v>0</v>
      </c>
      <c r="K126" s="86">
        <v>0</v>
      </c>
      <c r="L126" s="86">
        <v>0</v>
      </c>
      <c r="M126" s="86">
        <v>0</v>
      </c>
      <c r="N126" s="86">
        <v>0</v>
      </c>
      <c r="O126" s="87">
        <f>SUM(H126:N126)</f>
        <v>0</v>
      </c>
      <c r="P126" s="76"/>
      <c r="Q126" s="5"/>
      <c r="R126" s="5"/>
    </row>
    <row r="127" spans="1:18" ht="12.75">
      <c r="A127" s="1"/>
      <c r="B127" s="1"/>
      <c r="C127" s="1"/>
      <c r="D127" s="1"/>
      <c r="E127" s="1"/>
      <c r="G127" s="5"/>
      <c r="H127" s="5"/>
      <c r="I127" s="5"/>
      <c r="J127" s="5"/>
      <c r="K127" s="5"/>
      <c r="L127" s="5"/>
      <c r="M127" s="5"/>
      <c r="N127" s="5"/>
      <c r="O127" s="5"/>
      <c r="P127" s="5"/>
      <c r="Q127" s="5"/>
      <c r="R127" s="5"/>
    </row>
    <row r="128" spans="1:18" ht="12.75">
      <c r="A128" s="20" t="s">
        <v>249</v>
      </c>
      <c r="B128" s="1"/>
      <c r="C128" s="1"/>
      <c r="D128" s="1"/>
      <c r="E128" s="1"/>
      <c r="G128" s="20"/>
      <c r="H128" s="20"/>
      <c r="I128" s="20"/>
      <c r="J128" s="37"/>
      <c r="K128" s="37"/>
      <c r="L128" s="37"/>
      <c r="M128" s="5"/>
      <c r="N128" s="5"/>
      <c r="O128" s="37" t="s">
        <v>104</v>
      </c>
      <c r="Q128" s="5"/>
      <c r="R128" s="5"/>
    </row>
    <row r="129" spans="1:18" ht="12.75">
      <c r="A129" s="32">
        <v>2019</v>
      </c>
      <c r="B129" s="1"/>
      <c r="C129" s="1"/>
      <c r="D129" s="1"/>
      <c r="E129" s="1"/>
      <c r="G129" s="88">
        <f>+G111+G124</f>
        <v>1210020079.43717</v>
      </c>
      <c r="H129" s="88">
        <f aca="true" t="shared" si="26" ref="H129:N129">+H111+H124</f>
        <v>434759151.88758326</v>
      </c>
      <c r="I129" s="88">
        <f t="shared" si="26"/>
        <v>126741415.76743771</v>
      </c>
      <c r="J129" s="88">
        <f t="shared" si="26"/>
        <v>642357413.4713719</v>
      </c>
      <c r="K129" s="88">
        <f t="shared" si="26"/>
        <v>0</v>
      </c>
      <c r="L129" s="88">
        <f t="shared" si="26"/>
        <v>218186.4443473388</v>
      </c>
      <c r="M129" s="88">
        <f t="shared" si="26"/>
        <v>4379323.827272728</v>
      </c>
      <c r="N129" s="88">
        <f t="shared" si="26"/>
        <v>1564588.039157044</v>
      </c>
      <c r="O129" s="88">
        <f>SUM(H129:N129)</f>
        <v>1210020079.43717</v>
      </c>
      <c r="P129" s="76"/>
      <c r="Q129" s="5"/>
      <c r="R129" s="5"/>
    </row>
    <row r="130" spans="1:18" ht="12.75">
      <c r="A130" s="32">
        <v>2020</v>
      </c>
      <c r="B130" s="1"/>
      <c r="C130" s="1"/>
      <c r="D130" s="1"/>
      <c r="E130" s="1"/>
      <c r="G130" s="88">
        <f>+G112+G125</f>
        <v>1241549745.2111354</v>
      </c>
      <c r="H130" s="88">
        <f aca="true" t="shared" si="27" ref="H130:N130">+H112+H125</f>
        <v>442258807</v>
      </c>
      <c r="I130" s="88">
        <f t="shared" si="27"/>
        <v>128651236</v>
      </c>
      <c r="J130" s="88">
        <f>+J112+J125</f>
        <v>664474782</v>
      </c>
      <c r="K130" s="88"/>
      <c r="L130" s="88">
        <f t="shared" si="27"/>
        <v>218399.86473544672</v>
      </c>
      <c r="M130" s="88">
        <f t="shared" si="27"/>
        <v>4423984.505328791</v>
      </c>
      <c r="N130" s="88">
        <f t="shared" si="27"/>
        <v>1522535.666813397</v>
      </c>
      <c r="O130" s="88">
        <f>SUM(H130:N130)</f>
        <v>1241549745.0368776</v>
      </c>
      <c r="P130" s="76"/>
      <c r="Q130" s="5"/>
      <c r="R130" s="5"/>
    </row>
    <row r="131" spans="1:18" ht="12.75">
      <c r="A131" s="32">
        <v>2021</v>
      </c>
      <c r="B131" s="1"/>
      <c r="C131" s="1"/>
      <c r="D131" s="1"/>
      <c r="E131" s="1"/>
      <c r="G131" s="88">
        <f>+G113+G126</f>
        <v>1284303928.8645144</v>
      </c>
      <c r="H131" s="88">
        <f aca="true" t="shared" si="28" ref="H131:N131">+H113+H126</f>
        <v>453679525</v>
      </c>
      <c r="I131" s="88">
        <f t="shared" si="28"/>
        <v>131690457</v>
      </c>
      <c r="J131" s="88">
        <f>+J113+J126</f>
        <v>689956286.42</v>
      </c>
      <c r="K131" s="88">
        <v>2808332.58</v>
      </c>
      <c r="L131" s="88">
        <f t="shared" si="28"/>
        <v>218613.49388199602</v>
      </c>
      <c r="M131" s="88">
        <f t="shared" si="28"/>
        <v>4469100.636382417</v>
      </c>
      <c r="N131" s="88">
        <f t="shared" si="28"/>
        <v>1481613.5613358333</v>
      </c>
      <c r="O131" s="88">
        <f>SUM(H131:N131)</f>
        <v>1284303928.6916</v>
      </c>
      <c r="P131" s="76"/>
      <c r="Q131" s="5"/>
      <c r="R131" s="5"/>
    </row>
    <row r="132" spans="2:17" ht="12.75">
      <c r="B132" s="1"/>
      <c r="C132" s="1"/>
      <c r="D132" s="1"/>
      <c r="E132" s="1"/>
      <c r="F132" s="5"/>
      <c r="G132" s="5"/>
      <c r="H132" s="5"/>
      <c r="I132" s="5"/>
      <c r="J132" s="5"/>
      <c r="K132" s="5"/>
      <c r="L132" s="5"/>
      <c r="M132" s="5"/>
      <c r="N132" s="5"/>
      <c r="O132" s="5"/>
      <c r="P132" s="5"/>
      <c r="Q132" s="5"/>
    </row>
    <row r="133" spans="2:17" ht="12.75">
      <c r="B133" s="1"/>
      <c r="C133" s="1"/>
      <c r="D133" s="1"/>
      <c r="E133" s="1"/>
      <c r="F133" s="5"/>
      <c r="G133" s="5"/>
      <c r="H133" s="5"/>
      <c r="I133" s="5"/>
      <c r="J133" s="5"/>
      <c r="K133" s="5"/>
      <c r="L133" s="5"/>
      <c r="M133" s="5"/>
      <c r="N133" s="5"/>
      <c r="O133" s="5"/>
      <c r="P133" s="5"/>
      <c r="Q133" s="5"/>
    </row>
    <row r="134" spans="2:17" ht="12.75">
      <c r="B134" s="1"/>
      <c r="C134" s="1"/>
      <c r="D134" s="1"/>
      <c r="E134" s="1"/>
      <c r="F134" s="5"/>
      <c r="G134" s="64">
        <f aca="true" t="shared" si="29" ref="G134:O135">(G111-G106)/G106</f>
        <v>0</v>
      </c>
      <c r="H134" s="64">
        <f t="shared" si="29"/>
        <v>0</v>
      </c>
      <c r="I134" s="64">
        <f t="shared" si="29"/>
        <v>0</v>
      </c>
      <c r="J134" s="64">
        <f t="shared" si="29"/>
        <v>0</v>
      </c>
      <c r="K134" s="64" t="e">
        <f t="shared" si="29"/>
        <v>#DIV/0!</v>
      </c>
      <c r="L134" s="64">
        <f t="shared" si="29"/>
        <v>0</v>
      </c>
      <c r="M134" s="64">
        <f t="shared" si="29"/>
        <v>0</v>
      </c>
      <c r="N134" s="64">
        <f t="shared" si="29"/>
        <v>0</v>
      </c>
      <c r="O134" s="64">
        <f t="shared" si="29"/>
        <v>0</v>
      </c>
      <c r="P134" s="5"/>
      <c r="Q134" s="5"/>
    </row>
    <row r="135" spans="2:21" ht="12.75">
      <c r="B135" s="1"/>
      <c r="C135" s="1"/>
      <c r="D135" s="1"/>
      <c r="E135" s="1"/>
      <c r="F135" s="5"/>
      <c r="G135" s="64">
        <f t="shared" si="29"/>
        <v>0.012784507706757804</v>
      </c>
      <c r="H135" s="64">
        <f t="shared" si="29"/>
        <v>0.01488092990088604</v>
      </c>
      <c r="I135" s="64">
        <f t="shared" si="29"/>
        <v>0.014880930364704614</v>
      </c>
      <c r="J135" s="64">
        <f t="shared" si="29"/>
        <v>0.011109906336952646</v>
      </c>
      <c r="K135" s="64" t="e">
        <f t="shared" si="29"/>
        <v>#DIV/0!</v>
      </c>
      <c r="L135" s="64">
        <f t="shared" si="29"/>
        <v>0</v>
      </c>
      <c r="M135" s="64">
        <f t="shared" si="29"/>
        <v>0</v>
      </c>
      <c r="N135" s="64">
        <f t="shared" si="29"/>
        <v>0</v>
      </c>
      <c r="O135" s="64">
        <f t="shared" si="29"/>
        <v>0.0127845075646084</v>
      </c>
      <c r="P135" s="64"/>
      <c r="Q135" s="64"/>
      <c r="R135" s="5"/>
      <c r="S135" s="5"/>
      <c r="T135" s="5"/>
      <c r="U135" s="5"/>
    </row>
    <row r="136" spans="2:21" ht="12.75">
      <c r="B136" s="1"/>
      <c r="C136" s="1"/>
      <c r="D136" s="1"/>
      <c r="E136" s="1"/>
      <c r="F136" s="5"/>
      <c r="G136" s="64">
        <f aca="true" t="shared" si="30" ref="G136:O136">(G113-G108)/G108</f>
        <v>0.0367938177371497</v>
      </c>
      <c r="H136" s="64">
        <f t="shared" si="30"/>
        <v>0.03866408850128325</v>
      </c>
      <c r="I136" s="64">
        <f t="shared" si="30"/>
        <v>0.03866409087028931</v>
      </c>
      <c r="J136" s="64">
        <f t="shared" si="30"/>
        <v>0.035707419881019976</v>
      </c>
      <c r="K136" s="64">
        <f t="shared" si="30"/>
        <v>0</v>
      </c>
      <c r="L136" s="64">
        <f t="shared" si="30"/>
        <v>0</v>
      </c>
      <c r="M136" s="64">
        <f t="shared" si="30"/>
        <v>0</v>
      </c>
      <c r="N136" s="64">
        <f t="shared" si="30"/>
        <v>0</v>
      </c>
      <c r="O136" s="64">
        <f t="shared" si="30"/>
        <v>0.03679381759755935</v>
      </c>
      <c r="P136" s="64"/>
      <c r="Q136" s="64"/>
      <c r="R136" s="5"/>
      <c r="S136" s="5"/>
      <c r="T136" s="5"/>
      <c r="U136" s="5"/>
    </row>
    <row r="137" spans="1:17" ht="12.75">
      <c r="A137" s="1" t="s">
        <v>106</v>
      </c>
      <c r="B137" s="1"/>
      <c r="C137" s="1"/>
      <c r="D137" s="1"/>
      <c r="E137" s="1"/>
      <c r="F137" s="5"/>
      <c r="G137" s="5"/>
      <c r="H137" s="5"/>
      <c r="I137" s="5"/>
      <c r="J137" s="5"/>
      <c r="K137" s="5"/>
      <c r="L137" s="5"/>
      <c r="M137" s="5"/>
      <c r="N137" s="5"/>
      <c r="O137" s="5"/>
      <c r="P137" s="5"/>
      <c r="Q137" s="5"/>
    </row>
    <row r="138" spans="1:17" ht="12.75">
      <c r="A138" s="32">
        <v>2020</v>
      </c>
      <c r="B138" s="1"/>
      <c r="C138" s="1"/>
      <c r="D138" s="1"/>
      <c r="F138" s="5"/>
      <c r="G138" s="5"/>
      <c r="H138" s="64" t="e">
        <f>H125/$G$125</f>
        <v>#DIV/0!</v>
      </c>
      <c r="I138" s="64" t="e">
        <f>I125/$G$125</f>
        <v>#DIV/0!</v>
      </c>
      <c r="J138" s="64" t="e">
        <f>J125/$G$125</f>
        <v>#DIV/0!</v>
      </c>
      <c r="K138" s="5"/>
      <c r="L138" s="5"/>
      <c r="M138" s="5"/>
      <c r="N138" s="5"/>
      <c r="O138" s="5"/>
      <c r="P138" s="5"/>
      <c r="Q138" s="5"/>
    </row>
    <row r="139" spans="1:17" ht="12.75">
      <c r="A139" s="32">
        <v>2021</v>
      </c>
      <c r="B139" s="1"/>
      <c r="C139" s="1"/>
      <c r="D139" s="1"/>
      <c r="E139" s="1"/>
      <c r="F139" s="5"/>
      <c r="G139" s="5"/>
      <c r="H139" s="64" t="e">
        <f>H126/$G$126</f>
        <v>#DIV/0!</v>
      </c>
      <c r="I139" s="64" t="e">
        <f>I126/$G$126</f>
        <v>#DIV/0!</v>
      </c>
      <c r="J139" s="64" t="e">
        <f>J126/$G$126</f>
        <v>#DIV/0!</v>
      </c>
      <c r="K139" s="5"/>
      <c r="L139" s="5"/>
      <c r="M139" s="5"/>
      <c r="N139" s="5"/>
      <c r="O139" s="5"/>
      <c r="P139" s="5"/>
      <c r="Q139" s="5"/>
    </row>
    <row r="140" ht="12.75">
      <c r="T140" s="32"/>
    </row>
  </sheetData>
  <sheetProtection/>
  <mergeCells count="2">
    <mergeCell ref="B124:F124"/>
    <mergeCell ref="H114:M114"/>
  </mergeCells>
  <printOptions/>
  <pageMargins left="0.2" right="0.2" top="0.49" bottom="0.31" header="0.28" footer="0.22"/>
  <pageSetup fitToHeight="2" fitToWidth="2" orientation="landscape" scale="6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0">
      <selection activeCell="D25" sqref="D25"/>
    </sheetView>
  </sheetViews>
  <sheetFormatPr defaultColWidth="9.140625" defaultRowHeight="12.75"/>
  <cols>
    <col min="1" max="1" width="11.00390625" style="0" customWidth="1"/>
    <col min="2" max="2" width="10.140625" style="5" bestFit="1" customWidth="1"/>
    <col min="3" max="4" width="14.140625" style="5" bestFit="1" customWidth="1"/>
    <col min="5" max="6" width="14.140625" style="5" customWidth="1"/>
    <col min="7" max="7" width="17.57421875" style="5" customWidth="1"/>
    <col min="8" max="8" width="12.57421875" style="5" customWidth="1"/>
    <col min="9" max="9" width="12.7109375" style="5" bestFit="1" customWidth="1"/>
    <col min="11" max="11" width="13.7109375" style="0" customWidth="1"/>
    <col min="12" max="12" width="12.421875" style="0" customWidth="1"/>
  </cols>
  <sheetData>
    <row r="1" spans="1:10" ht="12.75">
      <c r="A1" s="313" t="s">
        <v>101</v>
      </c>
      <c r="B1" s="313"/>
      <c r="C1" s="313"/>
      <c r="D1" s="313"/>
      <c r="E1" s="313"/>
      <c r="F1" s="313"/>
      <c r="G1" s="313"/>
      <c r="H1" s="313"/>
      <c r="I1" s="313"/>
      <c r="J1" s="313"/>
    </row>
    <row r="2" spans="1:10" ht="12.75">
      <c r="A2" s="73"/>
      <c r="B2" s="73"/>
      <c r="C2" s="73"/>
      <c r="D2" s="73"/>
      <c r="E2" s="73"/>
      <c r="F2" s="73"/>
      <c r="G2" s="73"/>
      <c r="H2" s="73"/>
      <c r="I2" s="73"/>
      <c r="J2" s="73"/>
    </row>
    <row r="3" ht="12.75">
      <c r="K3" t="s">
        <v>258</v>
      </c>
    </row>
    <row r="4" spans="1:16" ht="25.5">
      <c r="A4" s="199"/>
      <c r="B4" s="8" t="str">
        <f>'Rate Class Energy Model'!H2</f>
        <v>Residential</v>
      </c>
      <c r="C4" s="8" t="str">
        <f>'Rate Class Energy Model'!I2</f>
        <v>GS&lt;50</v>
      </c>
      <c r="D4" s="8" t="str">
        <f>'Rate Class Energy Model'!J2</f>
        <v>GS&gt;50</v>
      </c>
      <c r="E4" s="8" t="str">
        <f>'Rate Class Energy Model'!K2</f>
        <v>Embedded Distributir</v>
      </c>
      <c r="F4" s="8" t="str">
        <f>'Rate Class Energy Model'!L2</f>
        <v>Sentinels</v>
      </c>
      <c r="G4" s="8" t="str">
        <f>'Rate Class Energy Model'!M2</f>
        <v>Streetlights</v>
      </c>
      <c r="H4" s="8" t="str">
        <f>'Rate Class Energy Model'!N2</f>
        <v>USL</v>
      </c>
      <c r="I4" s="5" t="s">
        <v>11</v>
      </c>
      <c r="L4" t="s">
        <v>67</v>
      </c>
      <c r="N4" t="s">
        <v>68</v>
      </c>
      <c r="P4" t="s">
        <v>69</v>
      </c>
    </row>
    <row r="5" spans="1:16" ht="12.75">
      <c r="A5" s="3">
        <v>2002</v>
      </c>
      <c r="B5" s="62">
        <v>40624</v>
      </c>
      <c r="C5" s="62">
        <v>4171</v>
      </c>
      <c r="D5" s="62">
        <v>796</v>
      </c>
      <c r="E5" s="62">
        <v>0</v>
      </c>
      <c r="F5" s="62">
        <v>582</v>
      </c>
      <c r="G5" s="62">
        <v>11157</v>
      </c>
      <c r="H5" s="62">
        <v>419</v>
      </c>
      <c r="I5" s="26">
        <f aca="true" t="shared" si="0" ref="I5:I12">SUM(B5:H5)</f>
        <v>57749</v>
      </c>
      <c r="K5" s="3">
        <v>2002</v>
      </c>
      <c r="L5" s="48">
        <f>B5</f>
        <v>40624</v>
      </c>
      <c r="M5">
        <v>2002</v>
      </c>
      <c r="N5" s="48">
        <f>C5</f>
        <v>4171</v>
      </c>
      <c r="O5">
        <v>2002</v>
      </c>
      <c r="P5" s="48">
        <f>D5</f>
        <v>796</v>
      </c>
    </row>
    <row r="6" spans="1:16" ht="12.75">
      <c r="A6" s="3">
        <v>2003</v>
      </c>
      <c r="B6" s="62">
        <v>42507</v>
      </c>
      <c r="C6" s="62">
        <v>3982</v>
      </c>
      <c r="D6" s="62">
        <v>864</v>
      </c>
      <c r="E6" s="62">
        <v>2E-07</v>
      </c>
      <c r="F6" s="62">
        <v>582</v>
      </c>
      <c r="G6" s="62">
        <v>11358</v>
      </c>
      <c r="H6" s="62">
        <v>422</v>
      </c>
      <c r="I6" s="26">
        <f t="shared" si="0"/>
        <v>59715.0000002</v>
      </c>
      <c r="K6" s="3">
        <v>2003</v>
      </c>
      <c r="L6" s="48">
        <f aca="true" t="shared" si="1" ref="L6:L24">B6</f>
        <v>42507</v>
      </c>
      <c r="M6">
        <v>2003</v>
      </c>
      <c r="N6" s="48">
        <f aca="true" t="shared" si="2" ref="N6:N24">C6</f>
        <v>3982</v>
      </c>
      <c r="O6">
        <v>2003</v>
      </c>
      <c r="P6" s="48">
        <f aca="true" t="shared" si="3" ref="P6:P24">D6</f>
        <v>864</v>
      </c>
    </row>
    <row r="7" spans="1:16" ht="12.75">
      <c r="A7" s="3">
        <v>2004</v>
      </c>
      <c r="B7" s="62">
        <v>42859</v>
      </c>
      <c r="C7" s="62">
        <v>4033</v>
      </c>
      <c r="D7" s="62">
        <v>819</v>
      </c>
      <c r="E7" s="62">
        <v>2E-07</v>
      </c>
      <c r="F7" s="62">
        <v>602</v>
      </c>
      <c r="G7" s="62">
        <v>11588</v>
      </c>
      <c r="H7" s="62">
        <v>422</v>
      </c>
      <c r="I7" s="26">
        <f t="shared" si="0"/>
        <v>60323.0000002</v>
      </c>
      <c r="K7" s="3">
        <v>2004</v>
      </c>
      <c r="L7" s="48">
        <f t="shared" si="1"/>
        <v>42859</v>
      </c>
      <c r="M7">
        <v>2004</v>
      </c>
      <c r="N7" s="48">
        <f t="shared" si="2"/>
        <v>4033</v>
      </c>
      <c r="O7">
        <v>2004</v>
      </c>
      <c r="P7" s="48">
        <f t="shared" si="3"/>
        <v>819</v>
      </c>
    </row>
    <row r="8" spans="1:16" ht="12.75">
      <c r="A8" s="3">
        <v>2005</v>
      </c>
      <c r="B8" s="62">
        <v>43068</v>
      </c>
      <c r="C8" s="62">
        <v>4437</v>
      </c>
      <c r="D8" s="62">
        <v>802</v>
      </c>
      <c r="E8" s="62">
        <v>2E-07</v>
      </c>
      <c r="F8" s="62">
        <v>522</v>
      </c>
      <c r="G8" s="62">
        <v>11752</v>
      </c>
      <c r="H8" s="62">
        <v>422</v>
      </c>
      <c r="I8" s="26">
        <f t="shared" si="0"/>
        <v>61003.0000002</v>
      </c>
      <c r="K8" s="3">
        <v>2005</v>
      </c>
      <c r="L8" s="48">
        <f t="shared" si="1"/>
        <v>43068</v>
      </c>
      <c r="M8">
        <v>2005</v>
      </c>
      <c r="N8" s="48">
        <f t="shared" si="2"/>
        <v>4437</v>
      </c>
      <c r="O8">
        <v>2005</v>
      </c>
      <c r="P8" s="48">
        <f t="shared" si="3"/>
        <v>802</v>
      </c>
    </row>
    <row r="9" spans="1:16" ht="12.75">
      <c r="A9" s="3">
        <v>2006</v>
      </c>
      <c r="B9" s="62">
        <v>43724</v>
      </c>
      <c r="C9" s="62">
        <v>4438</v>
      </c>
      <c r="D9" s="62">
        <v>871</v>
      </c>
      <c r="E9" s="62">
        <v>2E-07</v>
      </c>
      <c r="F9" s="62">
        <v>594</v>
      </c>
      <c r="G9" s="62">
        <v>11807</v>
      </c>
      <c r="H9" s="62">
        <v>422</v>
      </c>
      <c r="I9" s="26">
        <f t="shared" si="0"/>
        <v>61856.0000002</v>
      </c>
      <c r="K9" s="3">
        <v>2006</v>
      </c>
      <c r="L9" s="48">
        <f t="shared" si="1"/>
        <v>43724</v>
      </c>
      <c r="M9">
        <v>2006</v>
      </c>
      <c r="N9" s="48">
        <f t="shared" si="2"/>
        <v>4438</v>
      </c>
      <c r="O9">
        <v>2006</v>
      </c>
      <c r="P9" s="48">
        <f t="shared" si="3"/>
        <v>871</v>
      </c>
    </row>
    <row r="10" spans="1:16" ht="12.75">
      <c r="A10" s="3">
        <v>2007</v>
      </c>
      <c r="B10" s="62">
        <v>44325</v>
      </c>
      <c r="C10" s="62">
        <v>4339</v>
      </c>
      <c r="D10" s="62">
        <v>853</v>
      </c>
      <c r="E10" s="62">
        <v>2E-07</v>
      </c>
      <c r="F10" s="62">
        <v>569</v>
      </c>
      <c r="G10" s="62">
        <v>11933</v>
      </c>
      <c r="H10" s="62">
        <v>440</v>
      </c>
      <c r="I10" s="26">
        <f t="shared" si="0"/>
        <v>62459.0000002</v>
      </c>
      <c r="K10" s="3">
        <v>2007</v>
      </c>
      <c r="L10" s="48">
        <f t="shared" si="1"/>
        <v>44325</v>
      </c>
      <c r="M10">
        <v>2007</v>
      </c>
      <c r="N10" s="48">
        <f t="shared" si="2"/>
        <v>4339</v>
      </c>
      <c r="O10">
        <v>2007</v>
      </c>
      <c r="P10" s="48">
        <f t="shared" si="3"/>
        <v>853</v>
      </c>
    </row>
    <row r="11" spans="1:16" ht="12.75">
      <c r="A11" s="3">
        <v>2008</v>
      </c>
      <c r="B11" s="62">
        <v>44955</v>
      </c>
      <c r="C11" s="62">
        <v>4260</v>
      </c>
      <c r="D11" s="62">
        <v>847</v>
      </c>
      <c r="E11" s="62">
        <v>0</v>
      </c>
      <c r="F11" s="62">
        <v>564.2573529716507</v>
      </c>
      <c r="G11" s="62">
        <v>11986</v>
      </c>
      <c r="H11" s="62">
        <v>444.9505245808019</v>
      </c>
      <c r="I11" s="26">
        <f t="shared" si="0"/>
        <v>63057.20787755246</v>
      </c>
      <c r="K11" s="3">
        <v>2008</v>
      </c>
      <c r="L11" s="48">
        <f t="shared" si="1"/>
        <v>44955</v>
      </c>
      <c r="M11">
        <v>2008</v>
      </c>
      <c r="N11" s="48">
        <f t="shared" si="2"/>
        <v>4260</v>
      </c>
      <c r="O11">
        <v>2008</v>
      </c>
      <c r="P11" s="48">
        <f t="shared" si="3"/>
        <v>847</v>
      </c>
    </row>
    <row r="12" spans="1:16" ht="12.75">
      <c r="A12" s="3">
        <v>2009</v>
      </c>
      <c r="B12" s="62">
        <v>45760.79707338067</v>
      </c>
      <c r="C12" s="62">
        <v>4256.622973925299</v>
      </c>
      <c r="D12" s="62">
        <v>852.2248952132718</v>
      </c>
      <c r="E12" s="62">
        <v>0</v>
      </c>
      <c r="F12" s="62">
        <v>565.5176609647879</v>
      </c>
      <c r="G12" s="62">
        <v>12136.49957017356</v>
      </c>
      <c r="H12" s="62">
        <v>454</v>
      </c>
      <c r="I12" s="26">
        <f t="shared" si="0"/>
        <v>64025.6621736576</v>
      </c>
      <c r="K12" s="3">
        <v>2009</v>
      </c>
      <c r="L12" s="48">
        <f t="shared" si="1"/>
        <v>45760.79707338067</v>
      </c>
      <c r="M12">
        <v>2009</v>
      </c>
      <c r="N12" s="48">
        <f t="shared" si="2"/>
        <v>4256.622973925299</v>
      </c>
      <c r="O12">
        <v>2009</v>
      </c>
      <c r="P12" s="48">
        <f t="shared" si="3"/>
        <v>852.2248952132718</v>
      </c>
    </row>
    <row r="13" spans="1:16" ht="12.75">
      <c r="A13" s="3">
        <v>2010</v>
      </c>
      <c r="B13" s="26">
        <v>45839.79707338067</v>
      </c>
      <c r="C13" s="26">
        <v>4356.78562277591</v>
      </c>
      <c r="D13" s="26">
        <v>851</v>
      </c>
      <c r="E13" s="26">
        <v>0</v>
      </c>
      <c r="F13" s="26">
        <v>417</v>
      </c>
      <c r="G13" s="26">
        <v>12334.46038510101</v>
      </c>
      <c r="H13" s="26">
        <v>465</v>
      </c>
      <c r="I13" s="26">
        <f aca="true" t="shared" si="4" ref="I13:I24">SUM(B13:H13)</f>
        <v>64264.043081257594</v>
      </c>
      <c r="K13" s="3">
        <v>2010</v>
      </c>
      <c r="L13" s="48">
        <f t="shared" si="1"/>
        <v>45839.79707338067</v>
      </c>
      <c r="M13">
        <v>2010</v>
      </c>
      <c r="N13" s="48">
        <f t="shared" si="2"/>
        <v>4356.78562277591</v>
      </c>
      <c r="O13">
        <v>2010</v>
      </c>
      <c r="P13" s="48">
        <f t="shared" si="3"/>
        <v>851</v>
      </c>
    </row>
    <row r="14" spans="1:16" ht="12.75">
      <c r="A14" s="3">
        <v>2011</v>
      </c>
      <c r="B14" s="26">
        <v>45996.46201451132</v>
      </c>
      <c r="C14" s="26">
        <v>4306.726634031365</v>
      </c>
      <c r="D14" s="26">
        <v>858.5122693032016</v>
      </c>
      <c r="E14" s="26">
        <v>0</v>
      </c>
      <c r="F14" s="26">
        <v>369.070802919708</v>
      </c>
      <c r="G14" s="26">
        <v>12539.666666666666</v>
      </c>
      <c r="H14" s="26">
        <v>424.05552631578945</v>
      </c>
      <c r="I14" s="26">
        <f>SUM(B14:H14)</f>
        <v>64494.49391374805</v>
      </c>
      <c r="K14" s="3">
        <v>2011</v>
      </c>
      <c r="L14" s="48">
        <f t="shared" si="1"/>
        <v>45996.46201451132</v>
      </c>
      <c r="M14">
        <v>2011</v>
      </c>
      <c r="N14" s="48">
        <f t="shared" si="2"/>
        <v>4306.726634031365</v>
      </c>
      <c r="O14">
        <v>2011</v>
      </c>
      <c r="P14" s="48">
        <f t="shared" si="3"/>
        <v>858.5122693032016</v>
      </c>
    </row>
    <row r="15" spans="1:16" ht="12.75">
      <c r="A15" s="3">
        <v>2012</v>
      </c>
      <c r="B15" s="26">
        <v>45871.000740270734</v>
      </c>
      <c r="C15" s="26">
        <v>4259.889817560887</v>
      </c>
      <c r="D15" s="26">
        <v>855.1844795189778</v>
      </c>
      <c r="E15" s="26">
        <v>0</v>
      </c>
      <c r="F15" s="26">
        <v>343.21635928961746</v>
      </c>
      <c r="G15" s="26">
        <v>12507.166666666666</v>
      </c>
      <c r="H15" s="26">
        <v>383.5414710485133</v>
      </c>
      <c r="I15" s="26">
        <f t="shared" si="4"/>
        <v>64219.99953435539</v>
      </c>
      <c r="K15" s="3">
        <v>2012</v>
      </c>
      <c r="L15" s="48">
        <f t="shared" si="1"/>
        <v>45871.000740270734</v>
      </c>
      <c r="M15">
        <v>2012</v>
      </c>
      <c r="N15" s="48">
        <f t="shared" si="2"/>
        <v>4259.889817560887</v>
      </c>
      <c r="O15">
        <v>2012</v>
      </c>
      <c r="P15" s="48">
        <f t="shared" si="3"/>
        <v>855.1844795189778</v>
      </c>
    </row>
    <row r="16" spans="1:16" ht="12.75">
      <c r="A16" s="3">
        <v>2013</v>
      </c>
      <c r="B16" s="26">
        <v>46274.01146885522</v>
      </c>
      <c r="C16" s="26">
        <v>4315.45546015562</v>
      </c>
      <c r="D16" s="26">
        <v>862.7339356295879</v>
      </c>
      <c r="E16" s="26">
        <v>0</v>
      </c>
      <c r="F16" s="26">
        <v>337.45847123719466</v>
      </c>
      <c r="G16" s="26">
        <v>12702</v>
      </c>
      <c r="H16" s="26">
        <v>421.60581516095533</v>
      </c>
      <c r="I16" s="26">
        <f t="shared" si="4"/>
        <v>64913.26515103858</v>
      </c>
      <c r="K16" s="3">
        <v>2013</v>
      </c>
      <c r="L16" s="48">
        <f t="shared" si="1"/>
        <v>46274.01146885522</v>
      </c>
      <c r="M16">
        <v>2013</v>
      </c>
      <c r="N16" s="48">
        <f t="shared" si="2"/>
        <v>4315.45546015562</v>
      </c>
      <c r="O16">
        <v>2013</v>
      </c>
      <c r="P16" s="48">
        <f t="shared" si="3"/>
        <v>862.7339356295879</v>
      </c>
    </row>
    <row r="17" spans="1:16" ht="12.75">
      <c r="A17" s="3">
        <v>2014</v>
      </c>
      <c r="B17" s="26">
        <v>46773.387126833404</v>
      </c>
      <c r="C17" s="26">
        <v>4377.185400904917</v>
      </c>
      <c r="D17" s="26">
        <v>822.6920212463459</v>
      </c>
      <c r="E17" s="26">
        <v>0</v>
      </c>
      <c r="F17" s="26">
        <v>329.8436749748806</v>
      </c>
      <c r="G17" s="26">
        <v>12745.32883801462</v>
      </c>
      <c r="H17" s="26">
        <v>420.76679379754455</v>
      </c>
      <c r="I17" s="26">
        <f t="shared" si="4"/>
        <v>65469.2038557717</v>
      </c>
      <c r="K17" s="3">
        <v>2014</v>
      </c>
      <c r="L17" s="48">
        <f t="shared" si="1"/>
        <v>46773.387126833404</v>
      </c>
      <c r="M17">
        <v>2014</v>
      </c>
      <c r="N17" s="48">
        <f t="shared" si="2"/>
        <v>4377.185400904917</v>
      </c>
      <c r="O17">
        <v>2014</v>
      </c>
      <c r="P17" s="48">
        <f t="shared" si="3"/>
        <v>822.6920212463459</v>
      </c>
    </row>
    <row r="18" spans="1:16" ht="12.75">
      <c r="A18" s="3">
        <v>2015</v>
      </c>
      <c r="B18" s="26">
        <v>47555</v>
      </c>
      <c r="C18" s="26">
        <v>4434</v>
      </c>
      <c r="D18" s="26">
        <v>781</v>
      </c>
      <c r="E18" s="26">
        <v>0</v>
      </c>
      <c r="F18" s="26">
        <v>334.02420472022243</v>
      </c>
      <c r="G18" s="26">
        <v>12897.455922865012</v>
      </c>
      <c r="H18" s="26">
        <v>358.4419696193889</v>
      </c>
      <c r="I18" s="26">
        <f t="shared" si="4"/>
        <v>66359.92209720463</v>
      </c>
      <c r="K18" s="3">
        <v>2015</v>
      </c>
      <c r="L18" s="48">
        <f t="shared" si="1"/>
        <v>47555</v>
      </c>
      <c r="M18">
        <v>2015</v>
      </c>
      <c r="N18" s="48">
        <f t="shared" si="2"/>
        <v>4434</v>
      </c>
      <c r="O18">
        <v>2015</v>
      </c>
      <c r="P18" s="48">
        <f t="shared" si="3"/>
        <v>781</v>
      </c>
    </row>
    <row r="19" spans="1:16" ht="12.75">
      <c r="A19" s="3">
        <v>2016</v>
      </c>
      <c r="B19" s="26">
        <v>48401</v>
      </c>
      <c r="C19" s="26">
        <v>4457</v>
      </c>
      <c r="D19" s="26">
        <v>759</v>
      </c>
      <c r="E19" s="26">
        <v>0</v>
      </c>
      <c r="F19" s="26">
        <v>310.55261321144985</v>
      </c>
      <c r="G19" s="26">
        <v>13176.916666666666</v>
      </c>
      <c r="H19" s="26">
        <v>388.5967096357271</v>
      </c>
      <c r="I19" s="26">
        <f t="shared" si="4"/>
        <v>67493.06598951384</v>
      </c>
      <c r="K19" s="3">
        <v>2016</v>
      </c>
      <c r="L19" s="48">
        <f t="shared" si="1"/>
        <v>48401</v>
      </c>
      <c r="M19">
        <v>2016</v>
      </c>
      <c r="N19" s="48">
        <f t="shared" si="2"/>
        <v>4457</v>
      </c>
      <c r="O19">
        <v>2016</v>
      </c>
      <c r="P19" s="48">
        <f t="shared" si="3"/>
        <v>759</v>
      </c>
    </row>
    <row r="20" spans="1:16" ht="12.75">
      <c r="A20" s="3">
        <v>2017</v>
      </c>
      <c r="B20" s="26">
        <v>49606</v>
      </c>
      <c r="C20" s="26">
        <v>4505</v>
      </c>
      <c r="D20" s="26">
        <v>808</v>
      </c>
      <c r="E20" s="26">
        <v>0</v>
      </c>
      <c r="F20" s="26">
        <v>324.0029199575034</v>
      </c>
      <c r="G20" s="26">
        <v>13307.770868328518</v>
      </c>
      <c r="H20" s="26">
        <v>372.87823390631985</v>
      </c>
      <c r="I20" s="26">
        <f t="shared" si="4"/>
        <v>68923.65202219234</v>
      </c>
      <c r="K20" s="3">
        <v>2017</v>
      </c>
      <c r="L20" s="48">
        <f t="shared" si="1"/>
        <v>49606</v>
      </c>
      <c r="M20">
        <v>2017</v>
      </c>
      <c r="N20" s="48">
        <f t="shared" si="2"/>
        <v>4505</v>
      </c>
      <c r="O20">
        <v>2017</v>
      </c>
      <c r="P20" s="48">
        <f t="shared" si="3"/>
        <v>808</v>
      </c>
    </row>
    <row r="21" spans="1:16" ht="12.75">
      <c r="A21" s="3">
        <v>2018</v>
      </c>
      <c r="B21" s="26">
        <v>50324</v>
      </c>
      <c r="C21" s="26">
        <v>4479</v>
      </c>
      <c r="D21" s="26">
        <v>790</v>
      </c>
      <c r="E21" s="26">
        <v>0</v>
      </c>
      <c r="F21" s="26">
        <v>311.62438056309577</v>
      </c>
      <c r="G21" s="26">
        <v>13309.90555337005</v>
      </c>
      <c r="H21" s="26">
        <v>356.2799732201907</v>
      </c>
      <c r="I21" s="26">
        <f t="shared" si="4"/>
        <v>69570.80990715334</v>
      </c>
      <c r="K21" s="3">
        <v>2018</v>
      </c>
      <c r="L21" s="48">
        <f t="shared" si="1"/>
        <v>50324</v>
      </c>
      <c r="M21">
        <v>2018</v>
      </c>
      <c r="N21" s="48">
        <f t="shared" si="2"/>
        <v>4479</v>
      </c>
      <c r="O21">
        <v>2018</v>
      </c>
      <c r="P21" s="48">
        <f t="shared" si="3"/>
        <v>790</v>
      </c>
    </row>
    <row r="22" spans="1:16" ht="12.75">
      <c r="A22" s="3">
        <v>2019</v>
      </c>
      <c r="B22" s="26">
        <v>50792</v>
      </c>
      <c r="C22" s="26">
        <v>4475</v>
      </c>
      <c r="D22" s="26">
        <v>800</v>
      </c>
      <c r="E22" s="26">
        <f>E21*E49</f>
        <v>0</v>
      </c>
      <c r="F22" s="26">
        <v>296</v>
      </c>
      <c r="G22" s="26">
        <v>13360</v>
      </c>
      <c r="H22" s="26">
        <v>335</v>
      </c>
      <c r="I22" s="26">
        <f t="shared" si="4"/>
        <v>70058</v>
      </c>
      <c r="K22" s="3">
        <v>2019</v>
      </c>
      <c r="L22" s="48">
        <f t="shared" si="1"/>
        <v>50792</v>
      </c>
      <c r="M22">
        <v>2019</v>
      </c>
      <c r="N22" s="48">
        <f t="shared" si="2"/>
        <v>4475</v>
      </c>
      <c r="O22">
        <v>2019</v>
      </c>
      <c r="P22" s="48">
        <f t="shared" si="3"/>
        <v>800</v>
      </c>
    </row>
    <row r="23" spans="1:16" ht="12.75">
      <c r="A23" s="3">
        <v>2020</v>
      </c>
      <c r="B23" s="26">
        <f>B22*B49</f>
        <v>51360.44084210928</v>
      </c>
      <c r="C23" s="26">
        <f aca="true" t="shared" si="5" ref="C23:H23">C22*C49</f>
        <v>4507.765092796188</v>
      </c>
      <c r="D23" s="26">
        <v>805</v>
      </c>
      <c r="E23" s="26">
        <v>2</v>
      </c>
      <c r="F23" s="26">
        <f t="shared" si="5"/>
        <v>289.65992984752455</v>
      </c>
      <c r="G23" s="26">
        <f t="shared" si="5"/>
        <v>13496.246297913207</v>
      </c>
      <c r="H23" s="26">
        <f t="shared" si="5"/>
        <v>330.2007681949658</v>
      </c>
      <c r="I23" s="26">
        <f t="shared" si="4"/>
        <v>70791.31293086117</v>
      </c>
      <c r="K23" s="3">
        <v>2020</v>
      </c>
      <c r="L23" s="48">
        <f t="shared" si="1"/>
        <v>51360.44084210928</v>
      </c>
      <c r="M23">
        <v>2020</v>
      </c>
      <c r="N23" s="48">
        <f t="shared" si="2"/>
        <v>4507.765092796188</v>
      </c>
      <c r="O23">
        <v>2020</v>
      </c>
      <c r="P23" s="48">
        <f t="shared" si="3"/>
        <v>805</v>
      </c>
    </row>
    <row r="24" spans="1:16" ht="12.75">
      <c r="A24" s="3">
        <v>2021</v>
      </c>
      <c r="B24" s="26">
        <f>B23*B49</f>
        <v>51935.24341423466</v>
      </c>
      <c r="C24" s="26">
        <f aca="true" t="shared" si="6" ref="C24:H24">C23*C49</f>
        <v>4540.770085325547</v>
      </c>
      <c r="D24" s="26">
        <v>808</v>
      </c>
      <c r="E24" s="26">
        <v>2</v>
      </c>
      <c r="F24" s="26">
        <f t="shared" si="6"/>
        <v>283.45565864619203</v>
      </c>
      <c r="G24" s="26">
        <f t="shared" si="6"/>
        <v>13633.882045953289</v>
      </c>
      <c r="H24" s="26">
        <f t="shared" si="6"/>
        <v>325.47029049715087</v>
      </c>
      <c r="I24" s="26">
        <f t="shared" si="4"/>
        <v>71528.82149465683</v>
      </c>
      <c r="K24">
        <v>2021</v>
      </c>
      <c r="L24" s="48">
        <f t="shared" si="1"/>
        <v>51935.24341423466</v>
      </c>
      <c r="M24">
        <v>2021</v>
      </c>
      <c r="N24" s="48">
        <f t="shared" si="2"/>
        <v>4540.770085325547</v>
      </c>
      <c r="O24">
        <v>2021</v>
      </c>
      <c r="P24" s="48">
        <f t="shared" si="3"/>
        <v>808</v>
      </c>
    </row>
    <row r="25" spans="1:12" ht="12.75">
      <c r="A25" s="20"/>
      <c r="I25" s="26"/>
      <c r="L25" s="48"/>
    </row>
    <row r="26" spans="1:8" ht="12.75">
      <c r="A26" s="19" t="s">
        <v>46</v>
      </c>
      <c r="B26" s="4"/>
      <c r="C26" s="4"/>
      <c r="D26" s="4"/>
      <c r="E26" s="4"/>
      <c r="F26" s="4"/>
      <c r="G26" s="4"/>
      <c r="H26" s="4"/>
    </row>
    <row r="27" spans="1:8" ht="12.75">
      <c r="A27" s="3">
        <v>1999</v>
      </c>
      <c r="B27" s="23"/>
      <c r="C27" s="23"/>
      <c r="D27" s="23"/>
      <c r="E27" s="23"/>
      <c r="F27" s="23"/>
      <c r="G27" s="23"/>
      <c r="H27" s="23"/>
    </row>
    <row r="28" spans="1:8" ht="12.75">
      <c r="A28" s="3">
        <v>2000</v>
      </c>
      <c r="B28" s="23"/>
      <c r="C28" s="23"/>
      <c r="D28" s="23"/>
      <c r="E28" s="23"/>
      <c r="F28" s="23"/>
      <c r="G28" s="23"/>
      <c r="H28" s="23"/>
    </row>
    <row r="29" spans="1:8" ht="12.75">
      <c r="A29" s="3">
        <v>2001</v>
      </c>
      <c r="B29" s="23"/>
      <c r="C29" s="23"/>
      <c r="D29" s="23"/>
      <c r="E29" s="23"/>
      <c r="F29" s="23"/>
      <c r="G29" s="23"/>
      <c r="H29" s="23"/>
    </row>
    <row r="30" spans="1:8" ht="12.75">
      <c r="A30" s="3">
        <v>2002</v>
      </c>
      <c r="B30" s="23"/>
      <c r="C30" s="23"/>
      <c r="D30" s="23"/>
      <c r="E30" s="23"/>
      <c r="F30" s="23"/>
      <c r="G30" s="23"/>
      <c r="H30" s="23"/>
    </row>
    <row r="31" spans="1:8" ht="12.75">
      <c r="A31" s="3">
        <v>2003</v>
      </c>
      <c r="B31" s="23"/>
      <c r="C31" s="23"/>
      <c r="D31" s="23"/>
      <c r="E31" s="23"/>
      <c r="F31" s="23"/>
      <c r="G31" s="23"/>
      <c r="H31" s="23"/>
    </row>
    <row r="32" spans="1:8" ht="12.75">
      <c r="A32" s="3">
        <v>2004</v>
      </c>
      <c r="B32" s="23">
        <f aca="true" t="shared" si="7" ref="B32:D41">B7/B6</f>
        <v>1.0082809890135742</v>
      </c>
      <c r="C32" s="23">
        <f t="shared" si="7"/>
        <v>1.0128076343545958</v>
      </c>
      <c r="D32" s="23">
        <f t="shared" si="7"/>
        <v>0.9479166666666666</v>
      </c>
      <c r="E32" s="23">
        <v>0</v>
      </c>
      <c r="F32" s="23">
        <f aca="true" t="shared" si="8" ref="F32:H41">F7/F6</f>
        <v>1.034364261168385</v>
      </c>
      <c r="G32" s="23">
        <f t="shared" si="8"/>
        <v>1.0202500440218347</v>
      </c>
      <c r="H32" s="23">
        <f t="shared" si="8"/>
        <v>1</v>
      </c>
    </row>
    <row r="33" spans="1:8" ht="12.75">
      <c r="A33" s="3">
        <v>2005</v>
      </c>
      <c r="B33" s="23">
        <f t="shared" si="7"/>
        <v>1.0048764553536014</v>
      </c>
      <c r="C33" s="23">
        <f t="shared" si="7"/>
        <v>1.1001735680634763</v>
      </c>
      <c r="D33" s="23">
        <f t="shared" si="7"/>
        <v>0.9792429792429792</v>
      </c>
      <c r="E33" s="23">
        <v>0</v>
      </c>
      <c r="F33" s="23">
        <f t="shared" si="8"/>
        <v>0.867109634551495</v>
      </c>
      <c r="G33" s="23">
        <f t="shared" si="8"/>
        <v>1.0141525716258197</v>
      </c>
      <c r="H33" s="23">
        <f t="shared" si="8"/>
        <v>1</v>
      </c>
    </row>
    <row r="34" spans="1:8" ht="12.75">
      <c r="A34" s="3">
        <v>2006</v>
      </c>
      <c r="B34" s="23">
        <f t="shared" si="7"/>
        <v>1.0152317265719328</v>
      </c>
      <c r="C34" s="23">
        <f t="shared" si="7"/>
        <v>1.0002253775073249</v>
      </c>
      <c r="D34" s="23">
        <f t="shared" si="7"/>
        <v>1.0860349127182045</v>
      </c>
      <c r="E34" s="23">
        <v>0</v>
      </c>
      <c r="F34" s="23">
        <f t="shared" si="8"/>
        <v>1.1379310344827587</v>
      </c>
      <c r="G34" s="23">
        <f t="shared" si="8"/>
        <v>1.0046800544588155</v>
      </c>
      <c r="H34" s="23">
        <f t="shared" si="8"/>
        <v>1</v>
      </c>
    </row>
    <row r="35" spans="1:8" ht="12.75">
      <c r="A35" s="3">
        <v>2007</v>
      </c>
      <c r="B35" s="23">
        <f t="shared" si="7"/>
        <v>1.0137453114994053</v>
      </c>
      <c r="C35" s="23">
        <f t="shared" si="7"/>
        <v>0.9776926543488058</v>
      </c>
      <c r="D35" s="23">
        <f t="shared" si="7"/>
        <v>0.9793340987370838</v>
      </c>
      <c r="E35" s="23">
        <v>0</v>
      </c>
      <c r="F35" s="23">
        <f t="shared" si="8"/>
        <v>0.9579124579124579</v>
      </c>
      <c r="G35" s="23">
        <f t="shared" si="8"/>
        <v>1.0106716354704837</v>
      </c>
      <c r="H35" s="23">
        <f t="shared" si="8"/>
        <v>1.042654028436019</v>
      </c>
    </row>
    <row r="36" spans="1:8" ht="12.75">
      <c r="A36" s="3">
        <v>2008</v>
      </c>
      <c r="B36" s="23">
        <f t="shared" si="7"/>
        <v>1.0142131979695432</v>
      </c>
      <c r="C36" s="23">
        <f t="shared" si="7"/>
        <v>0.981793039870938</v>
      </c>
      <c r="D36" s="23">
        <f t="shared" si="7"/>
        <v>0.9929660023446659</v>
      </c>
      <c r="E36" s="23">
        <v>0</v>
      </c>
      <c r="F36" s="23">
        <f t="shared" si="8"/>
        <v>0.9916649437111611</v>
      </c>
      <c r="G36" s="23">
        <f t="shared" si="8"/>
        <v>1.0044414648453868</v>
      </c>
      <c r="H36" s="23">
        <f t="shared" si="8"/>
        <v>1.0112511922290952</v>
      </c>
    </row>
    <row r="37" spans="1:8" ht="12.75">
      <c r="A37" s="3">
        <v>2009</v>
      </c>
      <c r="B37" s="23">
        <f t="shared" si="7"/>
        <v>1.0179245261568384</v>
      </c>
      <c r="C37" s="23">
        <f t="shared" si="7"/>
        <v>0.9992072708744835</v>
      </c>
      <c r="D37" s="23">
        <f t="shared" si="7"/>
        <v>1.0061687074536858</v>
      </c>
      <c r="E37" s="23">
        <v>0</v>
      </c>
      <c r="F37" s="23">
        <f t="shared" si="8"/>
        <v>1.0022335694634723</v>
      </c>
      <c r="G37" s="23">
        <f t="shared" si="8"/>
        <v>1.0125562798409444</v>
      </c>
      <c r="H37" s="23">
        <f t="shared" si="8"/>
        <v>1.0203381610297544</v>
      </c>
    </row>
    <row r="38" spans="1:8" ht="12.75">
      <c r="A38" s="3">
        <v>2010</v>
      </c>
      <c r="B38" s="23">
        <f t="shared" si="7"/>
        <v>1.001726368530542</v>
      </c>
      <c r="C38" s="23">
        <f t="shared" si="7"/>
        <v>1.0235310126041641</v>
      </c>
      <c r="D38" s="23">
        <f t="shared" si="7"/>
        <v>0.9985627089514144</v>
      </c>
      <c r="E38" s="23">
        <v>0</v>
      </c>
      <c r="F38" s="23">
        <f t="shared" si="8"/>
        <v>0.7373775016833022</v>
      </c>
      <c r="G38" s="23">
        <f t="shared" si="8"/>
        <v>1.0163111953148298</v>
      </c>
      <c r="H38" s="23">
        <f t="shared" si="8"/>
        <v>1.024229074889868</v>
      </c>
    </row>
    <row r="39" spans="1:8" ht="12.75">
      <c r="A39" s="3">
        <v>2011</v>
      </c>
      <c r="B39" s="23">
        <f t="shared" si="7"/>
        <v>1.0034176621872881</v>
      </c>
      <c r="C39" s="23">
        <f t="shared" si="7"/>
        <v>0.988510109727949</v>
      </c>
      <c r="D39" s="23">
        <f t="shared" si="7"/>
        <v>1.0088275784996494</v>
      </c>
      <c r="E39" s="23">
        <v>0</v>
      </c>
      <c r="F39" s="23">
        <f t="shared" si="8"/>
        <v>0.885061877505295</v>
      </c>
      <c r="G39" s="23">
        <f t="shared" si="8"/>
        <v>1.0166368268378831</v>
      </c>
      <c r="H39" s="23">
        <f t="shared" si="8"/>
        <v>0.9119473684210526</v>
      </c>
    </row>
    <row r="40" spans="1:8" ht="12.75">
      <c r="A40" s="3">
        <v>2012</v>
      </c>
      <c r="B40" s="23">
        <f t="shared" si="7"/>
        <v>0.9972723712053982</v>
      </c>
      <c r="C40" s="23">
        <f t="shared" si="7"/>
        <v>0.9891247296495724</v>
      </c>
      <c r="D40" s="23">
        <f t="shared" si="7"/>
        <v>0.9961237714320323</v>
      </c>
      <c r="E40" s="23">
        <v>0</v>
      </c>
      <c r="F40" s="23">
        <f t="shared" si="8"/>
        <v>0.9299471986796115</v>
      </c>
      <c r="G40" s="23">
        <f t="shared" si="8"/>
        <v>0.9974082245673729</v>
      </c>
      <c r="H40" s="23">
        <f t="shared" si="8"/>
        <v>0.9044604945506457</v>
      </c>
    </row>
    <row r="41" spans="1:8" ht="12.75">
      <c r="A41" s="3">
        <v>2013</v>
      </c>
      <c r="B41" s="23">
        <f t="shared" si="7"/>
        <v>1.0087857409273977</v>
      </c>
      <c r="C41" s="23">
        <f t="shared" si="7"/>
        <v>1.0130439154472188</v>
      </c>
      <c r="D41" s="23">
        <f t="shared" si="7"/>
        <v>1.0088278684791572</v>
      </c>
      <c r="E41" s="23">
        <v>0</v>
      </c>
      <c r="F41" s="23">
        <f t="shared" si="8"/>
        <v>0.9832237365831269</v>
      </c>
      <c r="G41" s="23">
        <f t="shared" si="8"/>
        <v>1.015577735431686</v>
      </c>
      <c r="H41" s="23">
        <f t="shared" si="8"/>
        <v>1.0992444024589647</v>
      </c>
    </row>
    <row r="42" spans="1:8" ht="12.75">
      <c r="A42" s="3">
        <v>2014</v>
      </c>
      <c r="B42" s="23">
        <f aca="true" t="shared" si="9" ref="B42:D47">B17/B16</f>
        <v>1.0107917088258986</v>
      </c>
      <c r="C42" s="23">
        <f t="shared" si="9"/>
        <v>1.0143043860188676</v>
      </c>
      <c r="D42" s="23">
        <f t="shared" si="9"/>
        <v>0.9535871805552415</v>
      </c>
      <c r="E42" s="23">
        <v>0</v>
      </c>
      <c r="F42" s="23">
        <f aca="true" t="shared" si="10" ref="F42:H47">F17/F16</f>
        <v>0.977434864105214</v>
      </c>
      <c r="G42" s="23">
        <f t="shared" si="10"/>
        <v>1.0034111823346419</v>
      </c>
      <c r="H42" s="23">
        <f t="shared" si="10"/>
        <v>0.9980099388261747</v>
      </c>
    </row>
    <row r="43" spans="1:8" ht="12.75">
      <c r="A43" s="3">
        <v>2015</v>
      </c>
      <c r="B43" s="23">
        <f t="shared" si="9"/>
        <v>1.0167106322885517</v>
      </c>
      <c r="C43" s="23">
        <f t="shared" si="9"/>
        <v>1.0129797104512268</v>
      </c>
      <c r="D43" s="23">
        <f t="shared" si="9"/>
        <v>0.9493224436731693</v>
      </c>
      <c r="E43" s="23">
        <v>0</v>
      </c>
      <c r="F43" s="279">
        <f t="shared" si="10"/>
        <v>1.0126742759146743</v>
      </c>
      <c r="G43" s="23">
        <f t="shared" si="10"/>
        <v>1.0119359089736981</v>
      </c>
      <c r="H43" s="23">
        <f t="shared" si="10"/>
        <v>0.8518779877669155</v>
      </c>
    </row>
    <row r="44" spans="1:8" ht="12.75">
      <c r="A44" s="3">
        <v>2016</v>
      </c>
      <c r="B44" s="23">
        <f t="shared" si="9"/>
        <v>1.0177899274524236</v>
      </c>
      <c r="C44" s="23">
        <f t="shared" si="9"/>
        <v>1.005187189896256</v>
      </c>
      <c r="D44" s="279">
        <f t="shared" si="9"/>
        <v>0.971830985915493</v>
      </c>
      <c r="E44" s="23">
        <v>0</v>
      </c>
      <c r="F44" s="279">
        <f t="shared" si="10"/>
        <v>0.9297308662752979</v>
      </c>
      <c r="G44" s="23">
        <f t="shared" si="10"/>
        <v>1.021667896790887</v>
      </c>
      <c r="H44" s="23">
        <f t="shared" si="10"/>
        <v>1.0841272578887957</v>
      </c>
    </row>
    <row r="45" spans="1:8" ht="12.75">
      <c r="A45" s="3">
        <v>2017</v>
      </c>
      <c r="B45" s="23">
        <f t="shared" si="9"/>
        <v>1.0248961798309952</v>
      </c>
      <c r="C45" s="23">
        <f t="shared" si="9"/>
        <v>1.0107695759479471</v>
      </c>
      <c r="D45" s="279">
        <f t="shared" si="9"/>
        <v>1.064558629776021</v>
      </c>
      <c r="E45" s="23">
        <v>0</v>
      </c>
      <c r="F45" s="279">
        <f t="shared" si="10"/>
        <v>1.0433108792966281</v>
      </c>
      <c r="G45" s="23">
        <f t="shared" si="10"/>
        <v>1.0099305630423292</v>
      </c>
      <c r="H45" s="23">
        <f t="shared" si="10"/>
        <v>0.9595506720987373</v>
      </c>
    </row>
    <row r="46" spans="1:8" ht="12.75">
      <c r="A46" s="3">
        <v>2018</v>
      </c>
      <c r="B46" s="23">
        <f t="shared" si="9"/>
        <v>1.0144740555577954</v>
      </c>
      <c r="C46" s="23">
        <f t="shared" si="9"/>
        <v>0.9942286348501664</v>
      </c>
      <c r="D46" s="279">
        <f t="shared" si="9"/>
        <v>0.9777227722772277</v>
      </c>
      <c r="E46" s="23">
        <v>0</v>
      </c>
      <c r="F46" s="279">
        <f t="shared" si="10"/>
        <v>0.9617949758106155</v>
      </c>
      <c r="G46" s="23">
        <f t="shared" si="10"/>
        <v>1.0001604089116543</v>
      </c>
      <c r="H46" s="23">
        <f t="shared" si="10"/>
        <v>0.9554861100036769</v>
      </c>
    </row>
    <row r="47" spans="1:8" ht="12.75">
      <c r="A47" s="3">
        <v>2019</v>
      </c>
      <c r="B47" s="23">
        <f t="shared" si="9"/>
        <v>1.009299737699706</v>
      </c>
      <c r="C47" s="23">
        <f t="shared" si="9"/>
        <v>0.9991069435141773</v>
      </c>
      <c r="D47" s="279">
        <f t="shared" si="9"/>
        <v>1.0126582278481013</v>
      </c>
      <c r="E47" s="23">
        <v>0</v>
      </c>
      <c r="F47" s="279">
        <f t="shared" si="10"/>
        <v>0.9498614949996436</v>
      </c>
      <c r="G47" s="23">
        <f t="shared" si="10"/>
        <v>1.0037636966264774</v>
      </c>
      <c r="H47" s="23">
        <f t="shared" si="10"/>
        <v>0.9402717670941355</v>
      </c>
    </row>
    <row r="48" ht="12.75">
      <c r="A48" s="3"/>
    </row>
    <row r="49" spans="1:8" ht="12.75">
      <c r="A49" t="s">
        <v>64</v>
      </c>
      <c r="B49" s="24">
        <f aca="true" t="shared" si="11" ref="B49:H49">B51</f>
        <v>1.0111915428041676</v>
      </c>
      <c r="C49" s="24">
        <f t="shared" si="11"/>
        <v>1.0073218084460756</v>
      </c>
      <c r="D49" s="280">
        <f>GEOMEAN(D44:D47)</f>
        <v>1.0060272355848598</v>
      </c>
      <c r="E49" s="24">
        <v>0</v>
      </c>
      <c r="F49" s="280">
        <f>GEOMEAN(F43:F47)</f>
        <v>0.9785808440794749</v>
      </c>
      <c r="G49" s="24">
        <f t="shared" si="11"/>
        <v>1.0101980761911082</v>
      </c>
      <c r="H49" s="24">
        <f t="shared" si="11"/>
        <v>0.9856739349103457</v>
      </c>
    </row>
    <row r="50" spans="2:8" ht="12.75">
      <c r="B50" s="24"/>
      <c r="C50" s="24"/>
      <c r="D50" s="24"/>
      <c r="E50" s="24"/>
      <c r="F50" s="24"/>
      <c r="G50" s="24"/>
      <c r="H50" s="24"/>
    </row>
    <row r="51" spans="1:8" ht="12.75">
      <c r="A51" t="s">
        <v>16</v>
      </c>
      <c r="B51" s="24">
        <f>GEOMEAN(B32:B47)</f>
        <v>1.0111915428041676</v>
      </c>
      <c r="C51" s="24">
        <f>GEOMEAN(C32:C47)</f>
        <v>1.0073218084460756</v>
      </c>
      <c r="D51" s="83">
        <f>GEOMEAN(D32:D47)</f>
        <v>0.9952014847660758</v>
      </c>
      <c r="E51" s="24">
        <v>0</v>
      </c>
      <c r="F51" s="83">
        <f>GEOMEAN(F32:F47)</f>
        <v>0.9586234430113134</v>
      </c>
      <c r="G51" s="24">
        <f>GEOMEAN(G32:G47)</f>
        <v>1.0101980761911082</v>
      </c>
      <c r="H51" s="24">
        <f>GEOMEAN(H32:H47)</f>
        <v>0.9856739349103457</v>
      </c>
    </row>
    <row r="52" spans="1:8" ht="12.75">
      <c r="A52" s="3"/>
      <c r="B52" s="24"/>
      <c r="C52" s="24"/>
      <c r="D52" s="24"/>
      <c r="E52" s="24"/>
      <c r="F52" s="24"/>
      <c r="G52" s="24"/>
      <c r="H52" s="24"/>
    </row>
    <row r="53" spans="1:8" ht="12.75">
      <c r="A53" s="3"/>
      <c r="B53" s="24"/>
      <c r="C53" s="24"/>
      <c r="D53" s="24"/>
      <c r="E53" s="24"/>
      <c r="F53" s="24"/>
      <c r="G53" s="24"/>
      <c r="H53" s="24"/>
    </row>
    <row r="57" spans="4:6" ht="12.75">
      <c r="D57" s="15"/>
      <c r="E57" s="15"/>
      <c r="F57" s="15"/>
    </row>
    <row r="58" spans="2:8" ht="12.75">
      <c r="B58" s="15"/>
      <c r="C58" s="15"/>
      <c r="D58" s="15"/>
      <c r="E58" s="15"/>
      <c r="F58" s="15"/>
      <c r="G58" s="15"/>
      <c r="H58" s="15"/>
    </row>
    <row r="59" spans="2:8" ht="12.75">
      <c r="B59" s="15"/>
      <c r="C59" s="15"/>
      <c r="G59" s="15"/>
      <c r="H59" s="15"/>
    </row>
  </sheetData>
  <sheetProtection/>
  <mergeCells count="1">
    <mergeCell ref="A1:J1"/>
  </mergeCells>
  <printOptions/>
  <pageMargins left="0.38" right="0.4" top="0.73" bottom="0.37" header="0.5" footer="0.2"/>
  <pageSetup fitToHeight="1" fitToWidth="1" horizontalDpi="600" verticalDpi="600" orientation="landscape" scale="6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O18" sqref="O18"/>
    </sheetView>
  </sheetViews>
  <sheetFormatPr defaultColWidth="9.140625" defaultRowHeight="12.75"/>
  <sheetData/>
  <sheetProtection/>
  <printOptions/>
  <pageMargins left="0.7" right="0.7" top="0.75" bottom="0.75" header="0.3" footer="0.3"/>
  <pageSetup fitToHeight="1" fitToWidth="1" horizontalDpi="600" verticalDpi="600" orientation="portrait" scale="9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pane xSplit="1" ySplit="4" topLeftCell="B23" activePane="bottomRight" state="frozen"/>
      <selection pane="topLeft" activeCell="A1" sqref="A1"/>
      <selection pane="topRight" activeCell="B1" sqref="B1"/>
      <selection pane="bottomLeft" activeCell="A3" sqref="A3"/>
      <selection pane="bottomRight" activeCell="F29" sqref="F29"/>
    </sheetView>
  </sheetViews>
  <sheetFormatPr defaultColWidth="9.140625" defaultRowHeight="12.75"/>
  <cols>
    <col min="1" max="1" width="11.00390625" style="0" customWidth="1"/>
    <col min="2" max="2" width="14.140625" style="5" bestFit="1" customWidth="1"/>
    <col min="3" max="4" width="14.140625" style="5" customWidth="1"/>
    <col min="5" max="5" width="17.7109375" style="5" customWidth="1"/>
    <col min="6" max="7" width="12.7109375" style="5" bestFit="1" customWidth="1"/>
    <col min="8" max="8" width="11.7109375" style="5" bestFit="1" customWidth="1"/>
    <col min="9" max="9" width="10.7109375" style="5" bestFit="1" customWidth="1"/>
    <col min="10" max="10" width="12.00390625" style="5" customWidth="1"/>
    <col min="11" max="11" width="21.00390625" style="5" customWidth="1"/>
    <col min="12" max="12" width="10.00390625" style="0" customWidth="1"/>
  </cols>
  <sheetData>
    <row r="1" ht="12.75">
      <c r="A1" s="19" t="s">
        <v>145</v>
      </c>
    </row>
    <row r="2" ht="12.75"/>
    <row r="3" ht="12.75"/>
    <row r="4" spans="2:13" ht="64.5" customHeight="1">
      <c r="B4" s="7" t="str">
        <f>'Rate Class Customer Model '!D4</f>
        <v>GS&gt;50</v>
      </c>
      <c r="C4" s="7" t="str">
        <f>'Rate Class Customer Model '!E4</f>
        <v>Embedded Distributir</v>
      </c>
      <c r="D4" s="7" t="str">
        <f>'Rate Class Customer Model '!F4</f>
        <v>Sentinels</v>
      </c>
      <c r="E4" s="7" t="str">
        <f>'Rate Class Customer Model '!G4</f>
        <v>Streetlights</v>
      </c>
      <c r="F4" s="5" t="s">
        <v>11</v>
      </c>
      <c r="H4" s="275" t="s">
        <v>271</v>
      </c>
      <c r="I4" s="275" t="s">
        <v>272</v>
      </c>
      <c r="J4" s="275" t="s">
        <v>273</v>
      </c>
      <c r="K4" s="275" t="s">
        <v>274</v>
      </c>
      <c r="L4" s="275" t="s">
        <v>318</v>
      </c>
      <c r="M4" s="275" t="s">
        <v>11</v>
      </c>
    </row>
    <row r="5" spans="1:5" ht="12.75">
      <c r="A5" s="29">
        <v>1999</v>
      </c>
      <c r="B5" s="21"/>
      <c r="C5" s="21"/>
      <c r="D5" s="21"/>
      <c r="E5" s="21"/>
    </row>
    <row r="6" spans="1:5" ht="12.75">
      <c r="A6" s="29">
        <v>2000</v>
      </c>
      <c r="B6" s="60"/>
      <c r="C6" s="60"/>
      <c r="D6" s="60"/>
      <c r="E6" s="60"/>
    </row>
    <row r="7" spans="1:5" ht="12.75">
      <c r="A7" s="29">
        <v>2001</v>
      </c>
      <c r="B7" s="61"/>
      <c r="C7" s="61"/>
      <c r="D7" s="61"/>
      <c r="E7" s="61"/>
    </row>
    <row r="8" spans="1:6" ht="12.75">
      <c r="A8" s="29">
        <v>2002</v>
      </c>
      <c r="B8" s="61">
        <v>1529263</v>
      </c>
      <c r="C8" s="61">
        <v>0</v>
      </c>
      <c r="D8" s="61">
        <v>956</v>
      </c>
      <c r="E8" s="61">
        <v>17456</v>
      </c>
      <c r="F8" s="5">
        <f aca="true" t="shared" si="0" ref="F8:F27">SUM(B8:E8)</f>
        <v>1547675</v>
      </c>
    </row>
    <row r="9" spans="1:6" ht="12.75">
      <c r="A9" s="29">
        <v>2003</v>
      </c>
      <c r="B9" s="61">
        <v>1573551</v>
      </c>
      <c r="C9" s="61">
        <v>0</v>
      </c>
      <c r="D9" s="61">
        <v>968</v>
      </c>
      <c r="E9" s="61">
        <v>17588</v>
      </c>
      <c r="F9" s="5">
        <f t="shared" si="0"/>
        <v>1592107</v>
      </c>
    </row>
    <row r="10" spans="1:6" ht="12.75">
      <c r="A10" s="29">
        <v>2004</v>
      </c>
      <c r="B10" s="61">
        <v>1673046</v>
      </c>
      <c r="C10" s="61">
        <v>0</v>
      </c>
      <c r="D10" s="61">
        <v>933</v>
      </c>
      <c r="E10" s="61">
        <v>19480</v>
      </c>
      <c r="F10" s="5">
        <f t="shared" si="0"/>
        <v>1693459</v>
      </c>
    </row>
    <row r="11" spans="1:6" ht="12.75">
      <c r="A11" s="29">
        <v>2005</v>
      </c>
      <c r="B11" s="61">
        <v>1719941</v>
      </c>
      <c r="C11" s="61">
        <v>0</v>
      </c>
      <c r="D11" s="61">
        <v>892</v>
      </c>
      <c r="E11" s="61">
        <v>19789</v>
      </c>
      <c r="F11" s="5">
        <f t="shared" si="0"/>
        <v>1740622</v>
      </c>
    </row>
    <row r="12" spans="1:6" ht="12.75">
      <c r="A12" s="29">
        <v>2006</v>
      </c>
      <c r="B12" s="61">
        <v>1777691</v>
      </c>
      <c r="C12" s="61">
        <v>0</v>
      </c>
      <c r="D12" s="61">
        <v>831</v>
      </c>
      <c r="E12" s="61">
        <v>19932</v>
      </c>
      <c r="F12" s="5">
        <f t="shared" si="0"/>
        <v>1798454</v>
      </c>
    </row>
    <row r="13" spans="1:6" ht="12.75">
      <c r="A13" s="29">
        <v>2007</v>
      </c>
      <c r="B13" s="61">
        <v>1884479</v>
      </c>
      <c r="C13" s="61">
        <v>0</v>
      </c>
      <c r="D13" s="61">
        <v>825</v>
      </c>
      <c r="E13" s="61">
        <v>20188</v>
      </c>
      <c r="F13" s="5">
        <f t="shared" si="0"/>
        <v>1905492</v>
      </c>
    </row>
    <row r="14" spans="1:6" ht="12.75">
      <c r="A14" s="29">
        <v>2008</v>
      </c>
      <c r="B14" s="67">
        <f>49592+4289+35363+8826+3328+51654+4291+37399+8230+3087+54700+3921+32038+7758+2966+56751+3555+32697+8254+2638+53441+3224+30860+8064+2404+66371+3472+36595+9382+2542+67179+2978+37314+8214+2825+63819+3127+36715+8680+2661+64407+3518+35419+7914+3177+69530+2811+19895+10898+9985+61048+3146+20772+3601+7456+72002+3085+21883+3577+7246+165+131+8068+442+27414-44+155+8640+28057+7846+27553+7326+28620+462+7034+217+27079+155+8376+29478+8237+28424+8152+29394+8246+26550+7943+33169+8212+26505+8618+32618</f>
        <v>1735816</v>
      </c>
      <c r="C14" s="67">
        <v>0</v>
      </c>
      <c r="D14" s="67">
        <f>6+3+3+4+3+3+3+3+2+3+3+1+12+40+59+54+65+16+41+1+66+51+65+60+59+57+50</f>
        <v>733</v>
      </c>
      <c r="E14" s="67">
        <f>1292+1292+1292+1292+1292+1292+1292+1292+1292+1292+1292+1292+401+404+404+404+404+404+404+408+405+405+405+419</f>
        <v>20371</v>
      </c>
      <c r="F14" s="5">
        <f t="shared" si="0"/>
        <v>1756920</v>
      </c>
    </row>
    <row r="15" spans="1:6" ht="12.75">
      <c r="A15" s="29">
        <v>2009</v>
      </c>
      <c r="B15" s="67">
        <f>64079+3511+22914+3652+7589+73236+3318+23195+3340+7338+64491+3254+22111+3301+7321+68137+3826+18018+3267+7038+70709+3588+20795+2938+6670+76703+2390+20504+2877+6668+78157+2061+22905+2844+6793+79251+2264+23245+2857+7135+73762+2531+21986+3075+6649+63604+2632+21295+2934+6515+61060+1490+21143+2262+7476+69461+1586+21954+2476+8884+8112+27353+9323+31641+8182+25194+7821+37717+8048+75098+8245+25917+8360+25917+37687+441+1876+50545+703+15402+3784+157+26382+1073+3520+1882+200+851+33958+963+7362+1995+417</f>
        <v>1753191</v>
      </c>
      <c r="C15" s="67">
        <v>0</v>
      </c>
      <c r="D15" s="67">
        <f>3+3+3+3+3+3+3+3+3+3+3+3+58+65+50+57+64+58+49+49+24+1+76+6+42+5+50+5</f>
        <v>695</v>
      </c>
      <c r="E15" s="67">
        <f>1292+1292+1257+1262+1278+1278+1278+1278+1279+1281+1279+1279+419+419+419+419+419+377+461+377+42+377+377+42+339+38+42+339+38+42</f>
        <v>20319</v>
      </c>
      <c r="F15" s="5">
        <f t="shared" si="0"/>
        <v>1774205</v>
      </c>
    </row>
    <row r="16" spans="1:6" ht="12.75">
      <c r="A16" s="29">
        <v>2010</v>
      </c>
      <c r="B16" s="61">
        <v>1769836</v>
      </c>
      <c r="C16" s="61">
        <v>0</v>
      </c>
      <c r="D16" s="61">
        <v>653</v>
      </c>
      <c r="E16" s="61">
        <v>19656</v>
      </c>
      <c r="F16" s="5">
        <f t="shared" si="0"/>
        <v>1790145</v>
      </c>
    </row>
    <row r="17" spans="1:10" ht="12.75">
      <c r="A17" s="29">
        <v>2011</v>
      </c>
      <c r="B17" s="61">
        <v>1793543.418758744</v>
      </c>
      <c r="C17" s="61">
        <v>0</v>
      </c>
      <c r="D17" s="61">
        <v>679.4790862967899</v>
      </c>
      <c r="E17" s="61">
        <v>20391.457990632443</v>
      </c>
      <c r="F17" s="5">
        <f t="shared" si="0"/>
        <v>1814614.3558356732</v>
      </c>
      <c r="H17" s="276"/>
      <c r="I17" s="276"/>
      <c r="J17" s="276"/>
    </row>
    <row r="18" spans="1:10" ht="12.75">
      <c r="A18" s="29">
        <v>2012</v>
      </c>
      <c r="B18" s="61">
        <v>1761221.4536881603</v>
      </c>
      <c r="C18" s="61">
        <v>0</v>
      </c>
      <c r="D18" s="61">
        <v>720.8667013447761</v>
      </c>
      <c r="E18" s="61">
        <v>21037.358958435376</v>
      </c>
      <c r="F18" s="5">
        <f t="shared" si="0"/>
        <v>1782979.6793479405</v>
      </c>
      <c r="H18" s="276"/>
      <c r="I18" s="276"/>
      <c r="J18" s="276"/>
    </row>
    <row r="19" spans="1:10" ht="12.75">
      <c r="A19" s="29">
        <v>2013</v>
      </c>
      <c r="B19" s="61">
        <v>1721553.9692533722</v>
      </c>
      <c r="C19" s="61">
        <v>0</v>
      </c>
      <c r="D19" s="61">
        <v>716.2304064927831</v>
      </c>
      <c r="E19" s="61">
        <v>20808.575811577328</v>
      </c>
      <c r="F19" s="5">
        <f t="shared" si="0"/>
        <v>1743078.7754714421</v>
      </c>
      <c r="H19" s="276"/>
      <c r="I19" s="276"/>
      <c r="J19" s="276"/>
    </row>
    <row r="20" spans="1:10" ht="12.75">
      <c r="A20" s="29">
        <v>2014</v>
      </c>
      <c r="B20" s="61">
        <v>1662695</v>
      </c>
      <c r="C20" s="61">
        <v>0</v>
      </c>
      <c r="D20" s="61">
        <v>676</v>
      </c>
      <c r="E20" s="61">
        <v>20750</v>
      </c>
      <c r="F20" s="5">
        <f t="shared" si="0"/>
        <v>1684121</v>
      </c>
      <c r="H20" s="276"/>
      <c r="I20" s="276"/>
      <c r="J20" s="276"/>
    </row>
    <row r="21" spans="1:11" ht="12.75">
      <c r="A21" s="29">
        <v>2015</v>
      </c>
      <c r="B21" s="61">
        <f>1640396+3460</f>
        <v>1643856</v>
      </c>
      <c r="C21" s="61">
        <v>0</v>
      </c>
      <c r="D21" s="61">
        <v>672</v>
      </c>
      <c r="E21" s="61">
        <v>20270</v>
      </c>
      <c r="F21" s="5">
        <f t="shared" si="0"/>
        <v>1664798</v>
      </c>
      <c r="H21" s="276">
        <v>437273.77</v>
      </c>
      <c r="I21" s="276">
        <v>0.6</v>
      </c>
      <c r="J21" s="223">
        <f>H21/I21</f>
        <v>728789.6166666667</v>
      </c>
      <c r="K21" s="277">
        <f>J21/F21</f>
        <v>0.4377645916601694</v>
      </c>
    </row>
    <row r="22" spans="1:11" ht="12.75">
      <c r="A22" s="29">
        <v>2016</v>
      </c>
      <c r="B22" s="61">
        <f>1612467.3+3571</f>
        <v>1616038.3</v>
      </c>
      <c r="C22" s="61">
        <v>0</v>
      </c>
      <c r="D22" s="61">
        <v>642.6</v>
      </c>
      <c r="E22" s="61">
        <v>13925</v>
      </c>
      <c r="F22" s="5">
        <f t="shared" si="0"/>
        <v>1630605.9000000001</v>
      </c>
      <c r="H22" s="276">
        <v>441866.19</v>
      </c>
      <c r="I22" s="276">
        <v>0.6</v>
      </c>
      <c r="J22" s="223">
        <f>H22/I22</f>
        <v>736443.65</v>
      </c>
      <c r="K22" s="277">
        <f>J22/F22</f>
        <v>0.4516380383512656</v>
      </c>
    </row>
    <row r="23" spans="1:11" ht="12.75">
      <c r="A23" s="29">
        <v>2017</v>
      </c>
      <c r="B23" s="61">
        <f>1600330.5+3024</f>
        <v>1603354.5</v>
      </c>
      <c r="C23" s="61">
        <v>0</v>
      </c>
      <c r="D23" s="61">
        <v>645.5</v>
      </c>
      <c r="E23" s="61">
        <v>12517</v>
      </c>
      <c r="F23" s="5">
        <f t="shared" si="0"/>
        <v>1616517</v>
      </c>
      <c r="H23" s="276">
        <v>425381.64</v>
      </c>
      <c r="I23" s="276">
        <v>0.6</v>
      </c>
      <c r="J23" s="223">
        <f>H23/I23</f>
        <v>708969.4</v>
      </c>
      <c r="K23" s="277">
        <f>J23/F23</f>
        <v>0.438578375606319</v>
      </c>
    </row>
    <row r="24" spans="1:11" ht="12.75">
      <c r="A24" s="29">
        <v>2018</v>
      </c>
      <c r="B24" s="61">
        <f>1618431+3424</f>
        <v>1621855</v>
      </c>
      <c r="C24" s="61">
        <v>0</v>
      </c>
      <c r="D24" s="61">
        <v>650</v>
      </c>
      <c r="E24" s="61">
        <v>12519</v>
      </c>
      <c r="F24" s="5">
        <f t="shared" si="0"/>
        <v>1635024</v>
      </c>
      <c r="H24" s="276">
        <v>412865.65</v>
      </c>
      <c r="I24" s="276">
        <v>0.6</v>
      </c>
      <c r="J24" s="223">
        <f>H24/I24</f>
        <v>688109.4166666667</v>
      </c>
      <c r="K24" s="277">
        <f>J24/F24</f>
        <v>0.420855850841741</v>
      </c>
    </row>
    <row r="25" spans="1:11" ht="12.75">
      <c r="A25" s="29">
        <v>2019</v>
      </c>
      <c r="B25" s="259">
        <v>1639986.5553022167</v>
      </c>
      <c r="C25" s="259">
        <v>0</v>
      </c>
      <c r="D25" s="259">
        <v>643</v>
      </c>
      <c r="E25" s="259">
        <v>12447.416456305193</v>
      </c>
      <c r="F25" s="5">
        <f t="shared" si="0"/>
        <v>1653076.9717585219</v>
      </c>
      <c r="H25" s="5">
        <v>429135.31</v>
      </c>
      <c r="I25" s="276">
        <v>0.6</v>
      </c>
      <c r="J25" s="223">
        <f>H25/I25</f>
        <v>715225.5166666667</v>
      </c>
      <c r="K25" s="277">
        <f>J25/F25</f>
        <v>0.4326631662564503</v>
      </c>
    </row>
    <row r="26" spans="1:13" ht="12.75">
      <c r="A26" s="29">
        <v>2020</v>
      </c>
      <c r="B26" s="259">
        <f>1699495.96</f>
        <v>1699495.96</v>
      </c>
      <c r="C26" s="259"/>
      <c r="D26" s="259">
        <f>'Rate Class Energy Model'!L130*$D$53</f>
        <v>652.3765399724094</v>
      </c>
      <c r="E26" s="259">
        <f>'Rate Class Energy Model'!M130*$E$53</f>
        <v>12417.895849764438</v>
      </c>
      <c r="F26" s="5">
        <f t="shared" si="0"/>
        <v>1712566.2323897367</v>
      </c>
      <c r="J26" s="223">
        <f>F26*$K$25-L26</f>
        <v>734158.6284032089</v>
      </c>
      <c r="L26" s="48">
        <f>C27</f>
        <v>6805.700126414409</v>
      </c>
      <c r="M26" s="270">
        <f>SUM(J26:L26)</f>
        <v>740964.3285296233</v>
      </c>
    </row>
    <row r="27" spans="1:13" ht="12.75">
      <c r="A27" s="29">
        <v>2021</v>
      </c>
      <c r="B27" s="259">
        <f>1771851.54-C27</f>
        <v>1765045.8398735856</v>
      </c>
      <c r="C27" s="259">
        <v>6805.700126414409</v>
      </c>
      <c r="D27" s="259">
        <f>'Rate Class Energy Model'!L131*$D$53</f>
        <v>653.0146660245107</v>
      </c>
      <c r="E27" s="259">
        <f>'Rate Class Energy Model'!M131*$E$53</f>
        <v>12544.534497773584</v>
      </c>
      <c r="F27" s="5">
        <f t="shared" si="0"/>
        <v>1785049.0891637981</v>
      </c>
      <c r="J27" s="223">
        <f>F27*$K$25-L27</f>
        <v>765519.2907143871</v>
      </c>
      <c r="L27" s="48">
        <f>C27</f>
        <v>6805.700126414409</v>
      </c>
      <c r="M27" s="270">
        <f>SUM(J27:L27)</f>
        <v>772324.9908408015</v>
      </c>
    </row>
    <row r="28" ht="12.75">
      <c r="A28" s="20"/>
    </row>
    <row r="29" spans="1:5" ht="12.75">
      <c r="A29" s="19" t="s">
        <v>65</v>
      </c>
      <c r="B29" s="4"/>
      <c r="C29" s="4"/>
      <c r="D29" s="4"/>
      <c r="E29" s="4"/>
    </row>
    <row r="30" spans="1:5" ht="12.75">
      <c r="A30" s="3">
        <v>1999</v>
      </c>
      <c r="B30" s="27"/>
      <c r="C30" s="27"/>
      <c r="D30" s="27"/>
      <c r="E30" s="27"/>
    </row>
    <row r="31" spans="1:5" ht="12.75">
      <c r="A31" s="3">
        <v>2000</v>
      </c>
      <c r="B31" s="27"/>
      <c r="C31" s="27"/>
      <c r="D31" s="27"/>
      <c r="E31" s="27"/>
    </row>
    <row r="32" spans="1:5" ht="12.75">
      <c r="A32" s="3">
        <v>2001</v>
      </c>
      <c r="B32" s="27"/>
      <c r="C32" s="27"/>
      <c r="D32" s="27"/>
      <c r="E32" s="27"/>
    </row>
    <row r="33" spans="1:5" ht="12.75">
      <c r="A33" s="3">
        <v>2002</v>
      </c>
      <c r="B33" s="27"/>
      <c r="C33" s="27"/>
      <c r="D33" s="27"/>
      <c r="E33" s="27"/>
    </row>
    <row r="34" spans="1:5" ht="12.75">
      <c r="A34" s="3">
        <v>2003</v>
      </c>
      <c r="B34" s="27">
        <f>B9/'Rate Class Energy Model'!J14</f>
        <v>0.002841828852963942</v>
      </c>
      <c r="C34" s="27">
        <v>0</v>
      </c>
      <c r="D34" s="27">
        <f>D9/'Rate Class Energy Model'!L14</f>
        <v>0.0032408770798819106</v>
      </c>
      <c r="E34" s="27">
        <f>E9/'Rate Class Energy Model'!M14</f>
        <v>0.002619748189660781</v>
      </c>
    </row>
    <row r="35" spans="1:5" ht="12.75">
      <c r="A35" s="3">
        <v>2004</v>
      </c>
      <c r="B35" s="27">
        <f>B10/'Rate Class Energy Model'!J15</f>
        <v>0.002795720806186471</v>
      </c>
      <c r="C35" s="27">
        <v>0</v>
      </c>
      <c r="D35" s="27">
        <f>D10/'Rate Class Energy Model'!L15</f>
        <v>0.003118088924416619</v>
      </c>
      <c r="E35" s="27">
        <f>E10/'Rate Class Energy Model'!M15</f>
        <v>0.0027721416437731733</v>
      </c>
    </row>
    <row r="36" spans="1:5" ht="12.75">
      <c r="A36" s="3">
        <v>2005</v>
      </c>
      <c r="B36" s="27">
        <f>B11/'Rate Class Energy Model'!J16</f>
        <v>0.0028198065316871472</v>
      </c>
      <c r="C36" s="27">
        <v>0</v>
      </c>
      <c r="D36" s="27">
        <f>D11/'Rate Class Energy Model'!L16</f>
        <v>0.002648907869288194</v>
      </c>
      <c r="E36" s="27">
        <f>E11/'Rate Class Energy Model'!M16</f>
        <v>0.0026532335384992483</v>
      </c>
    </row>
    <row r="37" spans="1:5" ht="12.75">
      <c r="A37" s="3">
        <v>2006</v>
      </c>
      <c r="B37" s="27">
        <f>B12/'Rate Class Energy Model'!J17</f>
        <v>0.0029568232099433755</v>
      </c>
      <c r="C37" s="27">
        <v>0</v>
      </c>
      <c r="D37" s="27">
        <f>D12/'Rate Class Energy Model'!L17</f>
        <v>0.002619868793992245</v>
      </c>
      <c r="E37" s="27">
        <f>E12/'Rate Class Energy Model'!M17</f>
        <v>0.002419885378638656</v>
      </c>
    </row>
    <row r="38" spans="1:5" ht="12.75">
      <c r="A38" s="3">
        <v>2007</v>
      </c>
      <c r="B38" s="27">
        <f>B13/'Rate Class Energy Model'!J18</f>
        <v>0.003029260656678839</v>
      </c>
      <c r="C38" s="27">
        <v>0</v>
      </c>
      <c r="D38" s="27">
        <f>D13/'Rate Class Energy Model'!L18</f>
        <v>0.0027943123516525454</v>
      </c>
      <c r="E38" s="27">
        <f>E13/'Rate Class Energy Model'!M18</f>
        <v>0.002874435808510141</v>
      </c>
    </row>
    <row r="39" spans="1:5" ht="12.75">
      <c r="A39" s="3">
        <v>2008</v>
      </c>
      <c r="B39" s="27">
        <f>B14/'Rate Class Energy Model'!J19</f>
        <v>0.002865945114150088</v>
      </c>
      <c r="C39" s="27">
        <v>0</v>
      </c>
      <c r="D39" s="27">
        <f>D14/'Rate Class Energy Model'!L19</f>
        <v>0.002555502872761756</v>
      </c>
      <c r="E39" s="27">
        <f>E14/'Rate Class Energy Model'!M19</f>
        <v>0.002714600127181501</v>
      </c>
    </row>
    <row r="40" spans="1:5" ht="12.75">
      <c r="A40" s="3">
        <v>2009</v>
      </c>
      <c r="B40" s="27">
        <f>B15/'Rate Class Energy Model'!J20</f>
        <v>0.0029566154374760733</v>
      </c>
      <c r="C40" s="27">
        <v>0</v>
      </c>
      <c r="D40" s="27">
        <f>D15/'Rate Class Energy Model'!L20</f>
        <v>0.0023617525223177116</v>
      </c>
      <c r="E40" s="27">
        <f>E15/'Rate Class Energy Model'!M20</f>
        <v>0.0027943302010173953</v>
      </c>
    </row>
    <row r="41" spans="1:5" ht="12.75">
      <c r="A41" s="3">
        <v>2010</v>
      </c>
      <c r="B41" s="27">
        <f>B16/'Rate Class Energy Model'!J21</f>
        <v>0.0028963097289394094</v>
      </c>
      <c r="C41" s="27">
        <v>0</v>
      </c>
      <c r="D41" s="27">
        <f>D16/'Rate Class Energy Model'!L21</f>
        <v>0.002224537995946059</v>
      </c>
      <c r="E41" s="27">
        <f>E16/'Rate Class Energy Model'!M21</f>
        <v>0.0026674272783011577</v>
      </c>
    </row>
    <row r="42" spans="1:5" ht="12.75">
      <c r="A42" s="3">
        <v>2011</v>
      </c>
      <c r="B42" s="27">
        <f>B17/'Rate Class Energy Model'!J22</f>
        <v>0.0026565951360977163</v>
      </c>
      <c r="C42" s="27">
        <v>0</v>
      </c>
      <c r="D42" s="27">
        <f>D17/'Rate Class Energy Model'!L22</f>
        <v>0.002759955994901499</v>
      </c>
      <c r="E42" s="27">
        <f>E17/'Rate Class Energy Model'!M22</f>
        <v>0.002795327050529764</v>
      </c>
    </row>
    <row r="43" spans="1:5" ht="12.75">
      <c r="A43" s="3">
        <v>2012</v>
      </c>
      <c r="B43" s="27">
        <f>B18/'Rate Class Energy Model'!J23</f>
        <v>0.002652058697885248</v>
      </c>
      <c r="C43" s="27">
        <v>0</v>
      </c>
      <c r="D43" s="27">
        <f>D18/'Rate Class Energy Model'!L23</f>
        <v>0.002695481144333772</v>
      </c>
      <c r="E43" s="27">
        <f>E18/'Rate Class Energy Model'!M23</f>
        <v>0.0028702236747643844</v>
      </c>
    </row>
    <row r="44" spans="1:5" ht="12.75">
      <c r="A44" s="3">
        <v>2013</v>
      </c>
      <c r="B44" s="27">
        <f>B19/'Rate Class Energy Model'!J24</f>
        <v>0.002624444876236717</v>
      </c>
      <c r="C44" s="27">
        <v>0</v>
      </c>
      <c r="D44" s="27">
        <f>D19/'Rate Class Energy Model'!L24</f>
        <v>0.002696457732665145</v>
      </c>
      <c r="E44" s="27">
        <f>E19/'Rate Class Energy Model'!M24</f>
        <v>0.002833110451023295</v>
      </c>
    </row>
    <row r="45" spans="1:5" ht="12.75">
      <c r="A45" s="3">
        <v>2014</v>
      </c>
      <c r="B45" s="27">
        <f>B20/'Rate Class Energy Model'!J25</f>
        <v>0.0026007915984383716</v>
      </c>
      <c r="C45" s="27">
        <v>0</v>
      </c>
      <c r="D45" s="27">
        <f>D20/'Rate Class Energy Model'!L25</f>
        <v>0.002639676366305859</v>
      </c>
      <c r="E45" s="27">
        <f>E20/'Rate Class Energy Model'!M25</f>
        <v>0.002792873126167202</v>
      </c>
    </row>
    <row r="46" spans="1:5" ht="12.75">
      <c r="A46" s="3">
        <v>2015</v>
      </c>
      <c r="B46" s="27">
        <f>B21/'Rate Class Energy Model'!J26</f>
        <v>0.0025483187242823185</v>
      </c>
      <c r="C46" s="27">
        <v>0</v>
      </c>
      <c r="D46" s="27">
        <f>D21/'Rate Class Energy Model'!L26</f>
        <v>0.003004153148768266</v>
      </c>
      <c r="E46" s="27">
        <f>E21/'Rate Class Energy Model'!M26</f>
        <v>0.002937927909049652</v>
      </c>
    </row>
    <row r="47" spans="1:5" ht="12.75">
      <c r="A47" s="3">
        <v>2016</v>
      </c>
      <c r="B47" s="27">
        <f>B22/'Rate Class Energy Model'!J27</f>
        <v>0.0025156944153490756</v>
      </c>
      <c r="C47" s="27">
        <v>0</v>
      </c>
      <c r="D47" s="27">
        <f>D22/'Rate Class Energy Model'!L27</f>
        <v>0.003006038584886513</v>
      </c>
      <c r="E47" s="27">
        <f>E22/'Rate Class Energy Model'!M27</f>
        <v>0.0028130063412316057</v>
      </c>
    </row>
    <row r="48" spans="1:5" ht="12.75">
      <c r="A48" s="3">
        <v>2017</v>
      </c>
      <c r="B48" s="27">
        <f>B23/'Rate Class Energy Model'!J28</f>
        <v>0.002569060667028173</v>
      </c>
      <c r="C48" s="27">
        <v>0</v>
      </c>
      <c r="D48" s="27">
        <f>D23/'Rate Class Energy Model'!L28</f>
        <v>0.0030666752174283636</v>
      </c>
      <c r="E48" s="27">
        <f>E23/'Rate Class Energy Model'!M28</f>
        <v>0.002793288098623157</v>
      </c>
    </row>
    <row r="49" spans="1:5" ht="12.75">
      <c r="A49" s="3">
        <v>2018</v>
      </c>
      <c r="B49" s="27">
        <f>B24/'Rate Class Energy Model'!J29</f>
        <v>0.0025508236472748603</v>
      </c>
      <c r="C49" s="27">
        <v>0</v>
      </c>
      <c r="D49" s="27">
        <f>D24/'Rate Class Energy Model'!L29</f>
        <v>0.002947525694167437</v>
      </c>
      <c r="E49" s="27">
        <f>E24/'Rate Class Energy Model'!M29</f>
        <v>0.002785242152072217</v>
      </c>
    </row>
    <row r="50" spans="1:5" ht="12.75">
      <c r="A50" s="3">
        <v>2019</v>
      </c>
      <c r="B50" s="27">
        <f>B25/'Rate Class Energy Model'!J30</f>
        <v>0.0025530748472871894</v>
      </c>
      <c r="C50" s="27">
        <v>0</v>
      </c>
      <c r="D50" s="27">
        <f>D25/'Rate Class Energy Model'!L30</f>
        <v>0.0029470208468881103</v>
      </c>
      <c r="E50" s="27">
        <f>E25/'Rate Class Energy Model'!M30</f>
        <v>0.002842314692233426</v>
      </c>
    </row>
    <row r="52" spans="1:5" ht="12.75">
      <c r="A52" s="199" t="s">
        <v>281</v>
      </c>
      <c r="B52" s="27">
        <f>AVERAGE(B35:B50)</f>
        <v>0.0027244590059338166</v>
      </c>
      <c r="C52" s="27">
        <f>AVERAGE(C35:C49)</f>
        <v>0</v>
      </c>
      <c r="D52" s="27">
        <f>AVERAGE(D35:D50)</f>
        <v>0.0027553722537950057</v>
      </c>
      <c r="E52" s="27">
        <f>AVERAGE(E35:E50)</f>
        <v>0.0027724604669759987</v>
      </c>
    </row>
    <row r="53" spans="1:5" ht="12.75">
      <c r="A53" t="s">
        <v>107</v>
      </c>
      <c r="B53" s="27">
        <f>AVERAGE(B48:B50)</f>
        <v>0.0025576530538634072</v>
      </c>
      <c r="C53" s="27">
        <f>AVERAGE(C48:C50)</f>
        <v>0</v>
      </c>
      <c r="D53" s="27">
        <f>AVERAGE(D48:D50)</f>
        <v>0.002987073919494637</v>
      </c>
      <c r="E53" s="27">
        <f>AVERAGE(E48:E50)</f>
        <v>0.0028069483143095997</v>
      </c>
    </row>
    <row r="59" spans="2:5" ht="12.75">
      <c r="B59" s="25"/>
      <c r="C59" s="25"/>
      <c r="D59" s="25"/>
      <c r="E59" s="25"/>
    </row>
    <row r="60" spans="2:5" ht="12.75">
      <c r="B60" s="25"/>
      <c r="C60" s="25"/>
      <c r="D60" s="25"/>
      <c r="E60" s="25"/>
    </row>
    <row r="79" spans="2:5" ht="12.75">
      <c r="B79" s="15"/>
      <c r="C79" s="15"/>
      <c r="D79" s="15"/>
      <c r="E79" s="15"/>
    </row>
    <row r="80" spans="2:5" ht="12.75">
      <c r="B80" s="15"/>
      <c r="C80" s="15"/>
      <c r="D80" s="15"/>
      <c r="E80" s="15"/>
    </row>
  </sheetData>
  <sheetProtection/>
  <printOptions/>
  <pageMargins left="0.38" right="0.75" top="0.73" bottom="0.74" header="0.5" footer="0.5"/>
  <pageSetup fitToHeight="1" fitToWidth="1" orientation="portrait" scale="5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105"/>
  <sheetViews>
    <sheetView zoomScalePageLayoutView="0" workbookViewId="0" topLeftCell="A16">
      <selection activeCell="G24" sqref="G24"/>
    </sheetView>
  </sheetViews>
  <sheetFormatPr defaultColWidth="9.140625" defaultRowHeight="12.75"/>
  <cols>
    <col min="1" max="1" width="26.57421875" style="32" customWidth="1"/>
    <col min="2" max="2" width="17.28125" style="32" customWidth="1"/>
    <col min="3" max="3" width="14.57421875" style="32" customWidth="1"/>
    <col min="4" max="4" width="16.00390625" style="32" customWidth="1"/>
    <col min="5" max="6" width="14.00390625" style="32" bestFit="1" customWidth="1"/>
    <col min="7" max="7" width="12.28125" style="32" bestFit="1" customWidth="1"/>
    <col min="8" max="16384" width="9.140625" style="32" customWidth="1"/>
  </cols>
  <sheetData>
    <row r="1" ht="15">
      <c r="A1" s="142" t="s">
        <v>146</v>
      </c>
    </row>
    <row r="2" ht="12.75"/>
    <row r="3" ht="15">
      <c r="A3" s="142" t="s">
        <v>147</v>
      </c>
    </row>
    <row r="4" spans="3:7" ht="15">
      <c r="C4" s="148">
        <v>2008</v>
      </c>
      <c r="D4" s="148">
        <v>2009</v>
      </c>
      <c r="E4" s="143">
        <v>2010</v>
      </c>
      <c r="F4" s="143">
        <v>2011</v>
      </c>
      <c r="G4" s="143">
        <v>2012</v>
      </c>
    </row>
    <row r="5" spans="1:7" ht="15">
      <c r="A5" s="142" t="s">
        <v>148</v>
      </c>
      <c r="B5" s="142" t="s">
        <v>149</v>
      </c>
      <c r="C5" s="143" t="s">
        <v>141</v>
      </c>
      <c r="D5" s="143" t="s">
        <v>141</v>
      </c>
      <c r="E5" s="143" t="s">
        <v>141</v>
      </c>
      <c r="F5" s="143" t="s">
        <v>141</v>
      </c>
      <c r="G5" s="143" t="s">
        <v>141</v>
      </c>
    </row>
    <row r="6" spans="1:7" ht="12.75">
      <c r="A6" s="32" t="s">
        <v>95</v>
      </c>
      <c r="B6" s="32" t="s">
        <v>67</v>
      </c>
      <c r="C6" s="70">
        <v>132652</v>
      </c>
      <c r="D6" s="70">
        <v>142273</v>
      </c>
      <c r="E6" s="92">
        <v>145366</v>
      </c>
      <c r="F6" s="92">
        <v>124738.56</v>
      </c>
      <c r="G6" s="92">
        <v>113652.12</v>
      </c>
    </row>
    <row r="7" spans="1:7" ht="12.75">
      <c r="A7" s="144" t="s">
        <v>99</v>
      </c>
      <c r="B7" s="32" t="s">
        <v>67</v>
      </c>
      <c r="C7" s="32">
        <v>110141</v>
      </c>
      <c r="D7" s="32">
        <v>132870</v>
      </c>
      <c r="E7" s="92">
        <v>129366</v>
      </c>
      <c r="F7" s="92">
        <v>102698.00000000001</v>
      </c>
      <c r="G7" s="92">
        <v>109292.20999999999</v>
      </c>
    </row>
    <row r="8" spans="1:7" ht="12.75">
      <c r="A8" s="144" t="s">
        <v>98</v>
      </c>
      <c r="B8" s="32" t="s">
        <v>67</v>
      </c>
      <c r="C8" s="70">
        <v>1006943</v>
      </c>
      <c r="D8" s="70">
        <v>1039014</v>
      </c>
      <c r="E8" s="92">
        <v>1096349</v>
      </c>
      <c r="F8" s="92">
        <v>1225534.5</v>
      </c>
      <c r="G8" s="92">
        <v>1246237.9100000001</v>
      </c>
    </row>
    <row r="9" spans="1:7" ht="12.75">
      <c r="A9" s="144"/>
      <c r="B9" s="32" t="s">
        <v>68</v>
      </c>
      <c r="C9" s="70">
        <v>167608</v>
      </c>
      <c r="D9" s="70">
        <v>176995</v>
      </c>
      <c r="E9" s="92">
        <v>169698</v>
      </c>
      <c r="F9" s="92">
        <v>187767.2</v>
      </c>
      <c r="G9" s="92">
        <v>187405.96000000002</v>
      </c>
    </row>
    <row r="10" spans="1:7" ht="12.75">
      <c r="A10" s="144"/>
      <c r="B10" s="32" t="s">
        <v>69</v>
      </c>
      <c r="C10" s="70">
        <v>0</v>
      </c>
      <c r="D10" s="70">
        <v>0</v>
      </c>
      <c r="E10" s="92">
        <v>159816</v>
      </c>
      <c r="F10" s="92">
        <v>159600</v>
      </c>
      <c r="G10" s="92">
        <v>161520</v>
      </c>
    </row>
    <row r="11" spans="1:7" ht="12.75">
      <c r="A11" s="144" t="s">
        <v>150</v>
      </c>
      <c r="B11" s="32" t="s">
        <v>67</v>
      </c>
      <c r="C11" s="70">
        <v>122030</v>
      </c>
      <c r="D11" s="150">
        <v>129571</v>
      </c>
      <c r="E11" s="92">
        <v>137513.84</v>
      </c>
      <c r="F11" s="92">
        <v>119214.23000000001</v>
      </c>
      <c r="G11" s="92">
        <v>139801.81</v>
      </c>
    </row>
    <row r="12" spans="1:7" ht="12.75">
      <c r="A12" s="144" t="s">
        <v>97</v>
      </c>
      <c r="B12" s="32" t="s">
        <v>67</v>
      </c>
      <c r="C12" s="70">
        <v>201016</v>
      </c>
      <c r="D12" s="70">
        <v>116619</v>
      </c>
      <c r="E12" s="92">
        <v>96514</v>
      </c>
      <c r="F12" s="92">
        <v>75197.68000000001</v>
      </c>
      <c r="G12" s="92">
        <v>74600.75</v>
      </c>
    </row>
    <row r="13" spans="1:7" ht="12.75">
      <c r="A13" s="144"/>
      <c r="B13" s="32" t="s">
        <v>68</v>
      </c>
      <c r="C13" s="32">
        <v>7434</v>
      </c>
      <c r="D13" s="70">
        <v>7830</v>
      </c>
      <c r="E13" s="92">
        <v>7667</v>
      </c>
      <c r="F13" s="92">
        <v>10596.25</v>
      </c>
      <c r="G13" s="92">
        <v>12210.909999999998</v>
      </c>
    </row>
    <row r="14" spans="1:7" ht="12.75">
      <c r="A14" s="144" t="s">
        <v>96</v>
      </c>
      <c r="B14" s="32" t="s">
        <v>67</v>
      </c>
      <c r="C14" s="70">
        <v>37880</v>
      </c>
      <c r="D14" s="92">
        <v>34050</v>
      </c>
      <c r="E14" s="92">
        <v>33735</v>
      </c>
      <c r="F14" s="92">
        <v>32999.97</v>
      </c>
      <c r="G14" s="92">
        <v>27693.199999999997</v>
      </c>
    </row>
    <row r="15" spans="2:7" ht="12.75">
      <c r="B15" s="32" t="s">
        <v>68</v>
      </c>
      <c r="C15" s="70">
        <v>4069</v>
      </c>
      <c r="D15" s="70">
        <v>8280</v>
      </c>
      <c r="E15" s="92">
        <v>29920</v>
      </c>
      <c r="F15" s="92">
        <v>12510</v>
      </c>
      <c r="G15" s="92">
        <v>6930</v>
      </c>
    </row>
    <row r="16" spans="1:7" ht="12.75">
      <c r="A16" s="32" t="s">
        <v>11</v>
      </c>
      <c r="C16" s="145">
        <f>SUM(C6:C15)</f>
        <v>1789773</v>
      </c>
      <c r="D16" s="145">
        <f>SUM(D6:D15)</f>
        <v>1787502</v>
      </c>
      <c r="E16" s="145">
        <f>SUM(E6:E15)</f>
        <v>2005944.84</v>
      </c>
      <c r="F16" s="145">
        <f>SUM(F6:F15)</f>
        <v>2050856.39</v>
      </c>
      <c r="G16" s="145">
        <f>SUM(G6:G15)</f>
        <v>2079344.87</v>
      </c>
    </row>
    <row r="17" spans="6:7" ht="12.75">
      <c r="F17" s="92"/>
      <c r="G17" s="92"/>
    </row>
    <row r="18" spans="6:7" ht="12.75">
      <c r="F18" s="92"/>
      <c r="G18" s="92"/>
    </row>
    <row r="19" ht="15">
      <c r="A19" s="142" t="s">
        <v>151</v>
      </c>
    </row>
    <row r="20" spans="3:7" ht="15">
      <c r="C20" s="148">
        <v>2008</v>
      </c>
      <c r="D20" s="148">
        <v>2009</v>
      </c>
      <c r="E20" s="143">
        <v>2010</v>
      </c>
      <c r="F20" s="143">
        <v>2011</v>
      </c>
      <c r="G20" s="143">
        <v>2012</v>
      </c>
    </row>
    <row r="21" spans="1:7" ht="15">
      <c r="A21" s="142" t="s">
        <v>148</v>
      </c>
      <c r="B21" s="142" t="s">
        <v>149</v>
      </c>
      <c r="C21" s="143" t="s">
        <v>141</v>
      </c>
      <c r="D21" s="143" t="s">
        <v>141</v>
      </c>
      <c r="E21" s="143" t="s">
        <v>141</v>
      </c>
      <c r="F21" s="143" t="s">
        <v>141</v>
      </c>
      <c r="G21" s="143" t="s">
        <v>141</v>
      </c>
    </row>
    <row r="22" spans="1:7" ht="12.75">
      <c r="A22" s="144" t="s">
        <v>98</v>
      </c>
      <c r="B22" s="32" t="s">
        <v>67</v>
      </c>
      <c r="C22" s="92">
        <v>1764940</v>
      </c>
      <c r="D22" s="70">
        <v>1749584</v>
      </c>
      <c r="E22" s="92">
        <v>1607727</v>
      </c>
      <c r="F22" s="92">
        <v>1826404</v>
      </c>
      <c r="G22" s="92">
        <v>1770935</v>
      </c>
    </row>
    <row r="23" spans="1:7" ht="12.75">
      <c r="A23" s="144"/>
      <c r="B23" s="32" t="s">
        <v>68</v>
      </c>
      <c r="C23" s="92">
        <v>458287</v>
      </c>
      <c r="D23" s="70">
        <v>516008</v>
      </c>
      <c r="E23" s="92">
        <v>670650</v>
      </c>
      <c r="F23" s="92">
        <v>335668</v>
      </c>
      <c r="G23" s="92">
        <v>249984.00000000003</v>
      </c>
    </row>
    <row r="24" spans="1:7" ht="12.75">
      <c r="A24" s="144"/>
      <c r="B24" s="32" t="s">
        <v>69</v>
      </c>
      <c r="C24" s="92">
        <v>174460</v>
      </c>
      <c r="D24" s="70">
        <v>70720</v>
      </c>
      <c r="E24" s="92">
        <v>710920</v>
      </c>
      <c r="F24" s="92">
        <v>831960</v>
      </c>
      <c r="G24" s="92">
        <v>838860</v>
      </c>
    </row>
    <row r="25" spans="1:7" ht="12.75">
      <c r="A25" s="144" t="s">
        <v>97</v>
      </c>
      <c r="B25" s="32" t="s">
        <v>67</v>
      </c>
      <c r="C25" s="92">
        <v>40303</v>
      </c>
      <c r="D25" s="70">
        <v>44356</v>
      </c>
      <c r="E25" s="92">
        <v>39541</v>
      </c>
      <c r="F25" s="92">
        <v>36332</v>
      </c>
      <c r="G25" s="92">
        <v>34441</v>
      </c>
    </row>
    <row r="26" spans="1:7" ht="12.75">
      <c r="A26" s="144" t="s">
        <v>96</v>
      </c>
      <c r="B26" s="32" t="s">
        <v>67</v>
      </c>
      <c r="C26" s="92">
        <v>317659</v>
      </c>
      <c r="D26" s="70">
        <v>117478</v>
      </c>
      <c r="E26" s="92">
        <v>115641</v>
      </c>
      <c r="F26" s="92">
        <v>106860</v>
      </c>
      <c r="G26" s="92">
        <v>104598.36</v>
      </c>
    </row>
    <row r="27" spans="2:7" ht="12.75">
      <c r="B27" s="32" t="s">
        <v>68</v>
      </c>
      <c r="C27" s="92">
        <v>16604</v>
      </c>
      <c r="D27" s="70">
        <v>25004</v>
      </c>
      <c r="E27" s="92">
        <v>19492</v>
      </c>
      <c r="F27" s="92">
        <v>22715</v>
      </c>
      <c r="G27" s="92">
        <v>26674.83</v>
      </c>
    </row>
    <row r="28" spans="3:7" ht="12.75">
      <c r="C28" s="145">
        <f>SUM(C22:C27)</f>
        <v>2772253</v>
      </c>
      <c r="D28" s="145">
        <f>SUM(D22:D27)</f>
        <v>2523150</v>
      </c>
      <c r="E28" s="145">
        <f>SUM(E22:E27)</f>
        <v>3163971</v>
      </c>
      <c r="F28" s="145">
        <f>SUM(F22:F27)</f>
        <v>3159939</v>
      </c>
      <c r="G28" s="145">
        <f>SUM(G22:G27)</f>
        <v>3025493.19</v>
      </c>
    </row>
    <row r="29" ht="12.75"/>
    <row r="30" ht="12.75"/>
    <row r="31" spans="1:7" ht="13.5" thickBot="1">
      <c r="A31" s="32" t="s">
        <v>152</v>
      </c>
      <c r="C31" s="147">
        <f>C16-C28</f>
        <v>-982480</v>
      </c>
      <c r="D31" s="147">
        <f>D16-D28</f>
        <v>-735648</v>
      </c>
      <c r="E31" s="147">
        <f>E16-E28</f>
        <v>-1158026.16</v>
      </c>
      <c r="F31" s="147">
        <f>F16-F28</f>
        <v>-1109082.61</v>
      </c>
      <c r="G31" s="147">
        <f>G16-G28</f>
        <v>-946148.3199999998</v>
      </c>
    </row>
    <row r="32" ht="13.5" thickTop="1"/>
    <row r="33" spans="1:3" ht="12.75">
      <c r="A33" s="149" t="s">
        <v>153</v>
      </c>
      <c r="B33" s="149"/>
      <c r="C33" s="149" t="s">
        <v>154</v>
      </c>
    </row>
    <row r="34" spans="1:3" ht="12.75">
      <c r="A34" s="2">
        <v>39448</v>
      </c>
      <c r="C34" s="92">
        <f>$C$31/12</f>
        <v>-81873.33333333333</v>
      </c>
    </row>
    <row r="35" spans="1:3" ht="12.75">
      <c r="A35" s="2">
        <v>39479</v>
      </c>
      <c r="C35" s="92">
        <f aca="true" t="shared" si="0" ref="C35:C45">$C$31/12</f>
        <v>-81873.33333333333</v>
      </c>
    </row>
    <row r="36" spans="1:3" ht="12.75">
      <c r="A36" s="2">
        <v>39508</v>
      </c>
      <c r="C36" s="92">
        <f t="shared" si="0"/>
        <v>-81873.33333333333</v>
      </c>
    </row>
    <row r="37" spans="1:3" ht="12.75">
      <c r="A37" s="2">
        <v>39539</v>
      </c>
      <c r="C37" s="92">
        <f t="shared" si="0"/>
        <v>-81873.33333333333</v>
      </c>
    </row>
    <row r="38" spans="1:3" ht="12.75">
      <c r="A38" s="2">
        <v>39569</v>
      </c>
      <c r="C38" s="92">
        <f t="shared" si="0"/>
        <v>-81873.33333333333</v>
      </c>
    </row>
    <row r="39" spans="1:3" ht="12.75">
      <c r="A39" s="2">
        <v>39600</v>
      </c>
      <c r="C39" s="92">
        <f t="shared" si="0"/>
        <v>-81873.33333333333</v>
      </c>
    </row>
    <row r="40" spans="1:3" ht="12.75">
      <c r="A40" s="2">
        <v>39630</v>
      </c>
      <c r="C40" s="92">
        <f t="shared" si="0"/>
        <v>-81873.33333333333</v>
      </c>
    </row>
    <row r="41" spans="1:3" ht="12.75">
      <c r="A41" s="2">
        <v>39661</v>
      </c>
      <c r="C41" s="92">
        <f t="shared" si="0"/>
        <v>-81873.33333333333</v>
      </c>
    </row>
    <row r="42" spans="1:3" ht="12.75">
      <c r="A42" s="2">
        <v>39692</v>
      </c>
      <c r="C42" s="92">
        <f t="shared" si="0"/>
        <v>-81873.33333333333</v>
      </c>
    </row>
    <row r="43" spans="1:3" ht="12.75">
      <c r="A43" s="2">
        <v>39722</v>
      </c>
      <c r="C43" s="92">
        <f t="shared" si="0"/>
        <v>-81873.33333333333</v>
      </c>
    </row>
    <row r="44" spans="1:3" ht="12.75">
      <c r="A44" s="2">
        <v>39753</v>
      </c>
      <c r="C44" s="92">
        <f t="shared" si="0"/>
        <v>-81873.33333333333</v>
      </c>
    </row>
    <row r="45" spans="1:3" ht="12.75">
      <c r="A45" s="2">
        <v>39783</v>
      </c>
      <c r="C45" s="92">
        <f t="shared" si="0"/>
        <v>-81873.33333333333</v>
      </c>
    </row>
    <row r="46" spans="1:3" ht="12.75">
      <c r="A46" s="2">
        <v>39814</v>
      </c>
      <c r="C46" s="92">
        <f>$D$31/12</f>
        <v>-61304</v>
      </c>
    </row>
    <row r="47" spans="1:3" ht="12.75">
      <c r="A47" s="2">
        <v>39845</v>
      </c>
      <c r="C47" s="92">
        <f aca="true" t="shared" si="1" ref="C47:C57">$D$31/12</f>
        <v>-61304</v>
      </c>
    </row>
    <row r="48" spans="1:3" ht="12.75">
      <c r="A48" s="2">
        <v>39873</v>
      </c>
      <c r="C48" s="92">
        <f t="shared" si="1"/>
        <v>-61304</v>
      </c>
    </row>
    <row r="49" spans="1:3" ht="12.75">
      <c r="A49" s="2">
        <v>39904</v>
      </c>
      <c r="C49" s="92">
        <f t="shared" si="1"/>
        <v>-61304</v>
      </c>
    </row>
    <row r="50" spans="1:3" ht="12.75">
      <c r="A50" s="2">
        <v>39934</v>
      </c>
      <c r="C50" s="92">
        <f t="shared" si="1"/>
        <v>-61304</v>
      </c>
    </row>
    <row r="51" spans="1:3" ht="12.75">
      <c r="A51" s="2">
        <v>39965</v>
      </c>
      <c r="C51" s="92">
        <f t="shared" si="1"/>
        <v>-61304</v>
      </c>
    </row>
    <row r="52" spans="1:3" ht="12.75">
      <c r="A52" s="2">
        <v>39995</v>
      </c>
      <c r="C52" s="92">
        <f t="shared" si="1"/>
        <v>-61304</v>
      </c>
    </row>
    <row r="53" spans="1:3" ht="12.75">
      <c r="A53" s="2">
        <v>40026</v>
      </c>
      <c r="C53" s="92">
        <f t="shared" si="1"/>
        <v>-61304</v>
      </c>
    </row>
    <row r="54" spans="1:3" ht="12.75">
      <c r="A54" s="2">
        <v>40057</v>
      </c>
      <c r="C54" s="92">
        <f t="shared" si="1"/>
        <v>-61304</v>
      </c>
    </row>
    <row r="55" spans="1:3" ht="12.75">
      <c r="A55" s="2">
        <v>40087</v>
      </c>
      <c r="C55" s="92">
        <f t="shared" si="1"/>
        <v>-61304</v>
      </c>
    </row>
    <row r="56" spans="1:3" ht="12.75">
      <c r="A56" s="2">
        <v>40118</v>
      </c>
      <c r="C56" s="92">
        <f t="shared" si="1"/>
        <v>-61304</v>
      </c>
    </row>
    <row r="57" spans="1:3" ht="12.75">
      <c r="A57" s="2">
        <v>40148</v>
      </c>
      <c r="C57" s="92">
        <f t="shared" si="1"/>
        <v>-61304</v>
      </c>
    </row>
    <row r="58" spans="1:3" ht="12.75">
      <c r="A58" s="31">
        <v>40179</v>
      </c>
      <c r="C58" s="92">
        <f>$E$31/12</f>
        <v>-96502.18</v>
      </c>
    </row>
    <row r="59" spans="1:3" ht="12.75">
      <c r="A59" s="31">
        <v>40210</v>
      </c>
      <c r="C59" s="92">
        <f aca="true" t="shared" si="2" ref="C59:C69">$E$31/12</f>
        <v>-96502.18</v>
      </c>
    </row>
    <row r="60" spans="1:3" ht="12.75">
      <c r="A60" s="31">
        <v>40238</v>
      </c>
      <c r="C60" s="92">
        <f t="shared" si="2"/>
        <v>-96502.18</v>
      </c>
    </row>
    <row r="61" spans="1:3" ht="12.75">
      <c r="A61" s="31">
        <v>40269</v>
      </c>
      <c r="C61" s="92">
        <f t="shared" si="2"/>
        <v>-96502.18</v>
      </c>
    </row>
    <row r="62" spans="1:3" ht="12.75">
      <c r="A62" s="31">
        <v>40299</v>
      </c>
      <c r="C62" s="92">
        <f t="shared" si="2"/>
        <v>-96502.18</v>
      </c>
    </row>
    <row r="63" spans="1:3" ht="12.75">
      <c r="A63" s="31">
        <v>40330</v>
      </c>
      <c r="C63" s="92">
        <f t="shared" si="2"/>
        <v>-96502.18</v>
      </c>
    </row>
    <row r="64" spans="1:3" ht="12.75">
      <c r="A64" s="31">
        <v>40360</v>
      </c>
      <c r="C64" s="92">
        <f t="shared" si="2"/>
        <v>-96502.18</v>
      </c>
    </row>
    <row r="65" spans="1:3" ht="12.75">
      <c r="A65" s="31">
        <v>40391</v>
      </c>
      <c r="C65" s="92">
        <f t="shared" si="2"/>
        <v>-96502.18</v>
      </c>
    </row>
    <row r="66" spans="1:3" ht="12.75">
      <c r="A66" s="31">
        <v>40422</v>
      </c>
      <c r="C66" s="92">
        <f t="shared" si="2"/>
        <v>-96502.18</v>
      </c>
    </row>
    <row r="67" spans="1:3" ht="12.75">
      <c r="A67" s="31">
        <v>40452</v>
      </c>
      <c r="C67" s="92">
        <f t="shared" si="2"/>
        <v>-96502.18</v>
      </c>
    </row>
    <row r="68" spans="1:3" ht="12.75">
      <c r="A68" s="31">
        <v>40483</v>
      </c>
      <c r="C68" s="92">
        <f t="shared" si="2"/>
        <v>-96502.18</v>
      </c>
    </row>
    <row r="69" spans="1:3" ht="12.75">
      <c r="A69" s="31">
        <v>40513</v>
      </c>
      <c r="C69" s="92">
        <f t="shared" si="2"/>
        <v>-96502.18</v>
      </c>
    </row>
    <row r="70" spans="1:3" ht="12.75">
      <c r="A70" s="31">
        <v>40544</v>
      </c>
      <c r="C70" s="92">
        <f aca="true" t="shared" si="3" ref="C70:C81">$F$31/12</f>
        <v>-92423.55083333334</v>
      </c>
    </row>
    <row r="71" spans="1:3" ht="12.75">
      <c r="A71" s="31">
        <v>40575</v>
      </c>
      <c r="C71" s="92">
        <f t="shared" si="3"/>
        <v>-92423.55083333334</v>
      </c>
    </row>
    <row r="72" spans="1:3" ht="12.75">
      <c r="A72" s="31">
        <v>40603</v>
      </c>
      <c r="C72" s="92">
        <f t="shared" si="3"/>
        <v>-92423.55083333334</v>
      </c>
    </row>
    <row r="73" spans="1:3" ht="12.75">
      <c r="A73" s="31">
        <v>40634</v>
      </c>
      <c r="C73" s="92">
        <f t="shared" si="3"/>
        <v>-92423.55083333334</v>
      </c>
    </row>
    <row r="74" spans="1:3" ht="12.75">
      <c r="A74" s="31">
        <v>40664</v>
      </c>
      <c r="C74" s="92">
        <f t="shared" si="3"/>
        <v>-92423.55083333334</v>
      </c>
    </row>
    <row r="75" spans="1:3" ht="12.75">
      <c r="A75" s="31">
        <v>40695</v>
      </c>
      <c r="C75" s="92">
        <f t="shared" si="3"/>
        <v>-92423.55083333334</v>
      </c>
    </row>
    <row r="76" spans="1:3" ht="12.75">
      <c r="A76" s="31">
        <v>40725</v>
      </c>
      <c r="C76" s="92">
        <f t="shared" si="3"/>
        <v>-92423.55083333334</v>
      </c>
    </row>
    <row r="77" spans="1:3" ht="12.75">
      <c r="A77" s="31">
        <v>40756</v>
      </c>
      <c r="C77" s="92">
        <f t="shared" si="3"/>
        <v>-92423.55083333334</v>
      </c>
    </row>
    <row r="78" spans="1:3" ht="12.75">
      <c r="A78" s="31">
        <v>40787</v>
      </c>
      <c r="C78" s="92">
        <f t="shared" si="3"/>
        <v>-92423.55083333334</v>
      </c>
    </row>
    <row r="79" spans="1:3" ht="12.75">
      <c r="A79" s="31">
        <v>40817</v>
      </c>
      <c r="C79" s="92">
        <f t="shared" si="3"/>
        <v>-92423.55083333334</v>
      </c>
    </row>
    <row r="80" spans="1:3" ht="12.75">
      <c r="A80" s="31">
        <v>40848</v>
      </c>
      <c r="C80" s="92">
        <f t="shared" si="3"/>
        <v>-92423.55083333334</v>
      </c>
    </row>
    <row r="81" spans="1:3" ht="12.75">
      <c r="A81" s="31">
        <v>40878</v>
      </c>
      <c r="C81" s="92">
        <f t="shared" si="3"/>
        <v>-92423.55083333334</v>
      </c>
    </row>
    <row r="82" spans="1:3" ht="12.75">
      <c r="A82" s="31">
        <v>40909</v>
      </c>
      <c r="C82" s="92">
        <f aca="true" t="shared" si="4" ref="C82:C93">$G$31/12</f>
        <v>-78845.69333333331</v>
      </c>
    </row>
    <row r="83" spans="1:3" ht="12.75">
      <c r="A83" s="31">
        <v>40940</v>
      </c>
      <c r="C83" s="92">
        <f t="shared" si="4"/>
        <v>-78845.69333333331</v>
      </c>
    </row>
    <row r="84" spans="1:3" ht="12.75">
      <c r="A84" s="31">
        <v>40969</v>
      </c>
      <c r="C84" s="92">
        <f t="shared" si="4"/>
        <v>-78845.69333333331</v>
      </c>
    </row>
    <row r="85" spans="1:3" ht="12.75">
      <c r="A85" s="31">
        <v>41000</v>
      </c>
      <c r="C85" s="92">
        <f t="shared" si="4"/>
        <v>-78845.69333333331</v>
      </c>
    </row>
    <row r="86" spans="1:3" ht="12.75">
      <c r="A86" s="31">
        <v>41030</v>
      </c>
      <c r="C86" s="92">
        <f t="shared" si="4"/>
        <v>-78845.69333333331</v>
      </c>
    </row>
    <row r="87" spans="1:3" ht="12.75">
      <c r="A87" s="31">
        <v>41061</v>
      </c>
      <c r="C87" s="92">
        <f t="shared" si="4"/>
        <v>-78845.69333333331</v>
      </c>
    </row>
    <row r="88" spans="1:3" ht="12.75">
      <c r="A88" s="31">
        <v>41091</v>
      </c>
      <c r="C88" s="92">
        <f t="shared" si="4"/>
        <v>-78845.69333333331</v>
      </c>
    </row>
    <row r="89" spans="1:3" ht="12.75">
      <c r="A89" s="31">
        <v>41122</v>
      </c>
      <c r="C89" s="92">
        <f t="shared" si="4"/>
        <v>-78845.69333333331</v>
      </c>
    </row>
    <row r="90" spans="1:3" ht="12.75">
      <c r="A90" s="31">
        <v>41153</v>
      </c>
      <c r="C90" s="92">
        <f t="shared" si="4"/>
        <v>-78845.69333333331</v>
      </c>
    </row>
    <row r="91" spans="1:3" ht="12.75">
      <c r="A91" s="31">
        <v>41183</v>
      </c>
      <c r="C91" s="92">
        <f t="shared" si="4"/>
        <v>-78845.69333333331</v>
      </c>
    </row>
    <row r="92" spans="1:3" ht="12.75">
      <c r="A92" s="31">
        <v>41214</v>
      </c>
      <c r="C92" s="92">
        <f t="shared" si="4"/>
        <v>-78845.69333333331</v>
      </c>
    </row>
    <row r="93" spans="1:3" ht="12.75">
      <c r="A93" s="31">
        <v>41244</v>
      </c>
      <c r="C93" s="92">
        <f t="shared" si="4"/>
        <v>-78845.69333333331</v>
      </c>
    </row>
    <row r="94" spans="1:3" ht="12.75">
      <c r="A94" s="31"/>
      <c r="C94" s="145">
        <f>SUM(C34:C93)</f>
        <v>-4931385.090000001</v>
      </c>
    </row>
    <row r="95" spans="1:3" ht="12.75">
      <c r="A95" s="31"/>
      <c r="C95" s="146"/>
    </row>
    <row r="96" spans="1:3" ht="12.75">
      <c r="A96" s="31"/>
      <c r="B96" t="s">
        <v>247</v>
      </c>
      <c r="C96" s="270">
        <f>SUM(C31:G31)</f>
        <v>-4931385.09</v>
      </c>
    </row>
    <row r="97" spans="1:3" ht="12.75">
      <c r="A97" s="31"/>
      <c r="B97" t="s">
        <v>45</v>
      </c>
      <c r="C97" s="270">
        <f>C94-C96</f>
        <v>0</v>
      </c>
    </row>
    <row r="98" spans="1:3" ht="12.75">
      <c r="A98" s="31"/>
      <c r="C98" s="146"/>
    </row>
    <row r="99" spans="1:3" ht="12.75">
      <c r="A99" s="31"/>
      <c r="C99" s="146"/>
    </row>
    <row r="100" spans="1:3" ht="12.75">
      <c r="A100" s="31"/>
      <c r="C100" s="146"/>
    </row>
    <row r="101" spans="1:3" ht="12.75">
      <c r="A101" s="31"/>
      <c r="C101" s="146"/>
    </row>
    <row r="102" spans="1:3" ht="12.75">
      <c r="A102" s="31"/>
      <c r="C102" s="146"/>
    </row>
    <row r="103" spans="1:3" ht="12.75">
      <c r="A103" s="31"/>
      <c r="C103" s="146"/>
    </row>
    <row r="104" spans="1:3" ht="12.75">
      <c r="A104" s="31"/>
      <c r="C104" s="146"/>
    </row>
    <row r="105" spans="1:3" ht="12.75">
      <c r="A105" s="31"/>
      <c r="C105" s="146"/>
    </row>
  </sheetData>
  <sheetProtection/>
  <printOptions/>
  <pageMargins left="0.35" right="0.29" top="0.75" bottom="0.53" header="0.3" footer="0.3"/>
  <pageSetup fitToHeight="5" fitToWidth="1" horizontalDpi="600" verticalDpi="600" orientation="portrait" scale="8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P151"/>
  <sheetViews>
    <sheetView zoomScalePageLayoutView="0" workbookViewId="0" topLeftCell="B7">
      <selection activeCell="M15" sqref="M15:M17"/>
    </sheetView>
  </sheetViews>
  <sheetFormatPr defaultColWidth="9.140625" defaultRowHeight="12.75"/>
  <cols>
    <col min="1" max="1" width="59.00390625" style="0" customWidth="1"/>
    <col min="2" max="2" width="19.00390625" style="0" customWidth="1"/>
    <col min="3" max="3" width="11.28125" style="0" bestFit="1" customWidth="1"/>
    <col min="4" max="4" width="8.7109375" style="0" bestFit="1" customWidth="1"/>
    <col min="5" max="5" width="10.28125" style="0" bestFit="1" customWidth="1"/>
    <col min="6" max="6" width="8.7109375" style="0" bestFit="1" customWidth="1"/>
    <col min="7" max="7" width="13.00390625" style="0" customWidth="1"/>
    <col min="8" max="8" width="8.7109375" style="0" bestFit="1" customWidth="1"/>
    <col min="9" max="9" width="10.28125" style="0" bestFit="1" customWidth="1"/>
    <col min="10" max="10" width="8.7109375" style="0" bestFit="1" customWidth="1"/>
    <col min="11" max="11" width="10.28125" style="0" bestFit="1" customWidth="1"/>
    <col min="12" max="12" width="8.7109375" style="0" bestFit="1" customWidth="1"/>
    <col min="13" max="13" width="11.7109375" style="0" customWidth="1"/>
    <col min="14" max="14" width="11.28125" style="0" bestFit="1" customWidth="1"/>
    <col min="15" max="15" width="14.00390625" style="0" customWidth="1"/>
    <col min="16" max="16" width="8.7109375" style="0" bestFit="1" customWidth="1"/>
  </cols>
  <sheetData>
    <row r="1" spans="1:16" ht="15">
      <c r="A1" s="142" t="s">
        <v>146</v>
      </c>
      <c r="B1" s="32"/>
      <c r="C1" s="32"/>
      <c r="D1" s="32"/>
      <c r="E1" s="32"/>
      <c r="F1" s="32"/>
      <c r="G1" s="32"/>
      <c r="H1" s="32"/>
      <c r="I1" s="32"/>
      <c r="J1" s="32"/>
      <c r="K1" s="32"/>
      <c r="L1" s="32"/>
      <c r="M1" s="32"/>
      <c r="N1" s="32"/>
      <c r="O1" s="32"/>
      <c r="P1" s="32"/>
    </row>
    <row r="2" spans="1:16" ht="12.75">
      <c r="A2" s="32"/>
      <c r="B2" s="32"/>
      <c r="C2" s="22"/>
      <c r="D2" s="22"/>
      <c r="E2" s="32"/>
      <c r="F2" s="32"/>
      <c r="G2" s="32"/>
      <c r="H2" s="32"/>
      <c r="I2" s="32"/>
      <c r="J2" s="32"/>
      <c r="K2" s="32"/>
      <c r="L2" s="32"/>
      <c r="M2" s="32"/>
      <c r="N2" s="32"/>
      <c r="O2" s="32"/>
      <c r="P2" s="32"/>
    </row>
    <row r="3" spans="1:16" ht="15">
      <c r="A3" s="142" t="s">
        <v>147</v>
      </c>
      <c r="B3" s="32"/>
      <c r="C3" s="22"/>
      <c r="D3" s="22"/>
      <c r="E3" s="32"/>
      <c r="F3" s="32"/>
      <c r="G3" s="32"/>
      <c r="H3" s="32"/>
      <c r="I3" s="32"/>
      <c r="J3" s="32"/>
      <c r="K3" s="32"/>
      <c r="L3" s="32"/>
      <c r="M3" s="32"/>
      <c r="N3" s="32"/>
      <c r="O3" s="32"/>
      <c r="P3" s="32"/>
    </row>
    <row r="4" spans="1:16" ht="15">
      <c r="A4" s="32"/>
      <c r="B4" s="32"/>
      <c r="C4" s="143">
        <v>2013</v>
      </c>
      <c r="D4" s="143">
        <v>2013</v>
      </c>
      <c r="E4" s="143">
        <v>2014</v>
      </c>
      <c r="F4" s="143">
        <v>2014</v>
      </c>
      <c r="G4" s="143">
        <v>2015</v>
      </c>
      <c r="H4" s="143">
        <v>2015</v>
      </c>
      <c r="I4" s="143">
        <v>2016</v>
      </c>
      <c r="J4" s="143">
        <v>2016</v>
      </c>
      <c r="K4" s="143">
        <v>2017</v>
      </c>
      <c r="L4" s="143">
        <v>2017</v>
      </c>
      <c r="M4" s="143">
        <v>2018</v>
      </c>
      <c r="N4" s="143">
        <v>2018</v>
      </c>
      <c r="O4" s="143">
        <v>2019</v>
      </c>
      <c r="P4" s="143">
        <v>2019</v>
      </c>
    </row>
    <row r="5" spans="1:16" ht="15">
      <c r="A5" s="142" t="s">
        <v>148</v>
      </c>
      <c r="B5" s="142" t="s">
        <v>149</v>
      </c>
      <c r="C5" s="143" t="s">
        <v>141</v>
      </c>
      <c r="D5" s="143" t="s">
        <v>252</v>
      </c>
      <c r="E5" s="143" t="s">
        <v>141</v>
      </c>
      <c r="F5" s="143" t="s">
        <v>252</v>
      </c>
      <c r="G5" s="143" t="s">
        <v>141</v>
      </c>
      <c r="H5" s="143" t="s">
        <v>252</v>
      </c>
      <c r="I5" s="143" t="s">
        <v>141</v>
      </c>
      <c r="J5" s="143" t="s">
        <v>252</v>
      </c>
      <c r="K5" s="143" t="s">
        <v>141</v>
      </c>
      <c r="L5" s="143" t="s">
        <v>252</v>
      </c>
      <c r="M5" s="143" t="s">
        <v>141</v>
      </c>
      <c r="N5" s="143" t="s">
        <v>252</v>
      </c>
      <c r="O5" s="143" t="s">
        <v>141</v>
      </c>
      <c r="P5" s="143" t="s">
        <v>252</v>
      </c>
    </row>
    <row r="6" spans="1:16" ht="12.75">
      <c r="A6" s="32" t="s">
        <v>95</v>
      </c>
      <c r="B6" s="32" t="s">
        <v>67</v>
      </c>
      <c r="C6" s="260">
        <v>111246.288</v>
      </c>
      <c r="D6" s="260">
        <v>13142.67112858608</v>
      </c>
      <c r="E6" s="92">
        <v>111246.288</v>
      </c>
      <c r="F6" s="92">
        <v>13142.67112858608</v>
      </c>
      <c r="G6" s="261">
        <v>103267.32</v>
      </c>
      <c r="H6" s="92">
        <v>11908.3334221944</v>
      </c>
      <c r="I6" s="150">
        <v>97836.75000000001</v>
      </c>
      <c r="J6" s="92">
        <v>13585.3607014564</v>
      </c>
      <c r="K6" s="150">
        <v>65102.219999999994</v>
      </c>
      <c r="L6" s="150">
        <v>9099.711000000001</v>
      </c>
      <c r="M6" s="150"/>
      <c r="N6" s="32"/>
      <c r="O6" s="150"/>
      <c r="P6" s="32"/>
    </row>
    <row r="7" spans="1:16" ht="12.75">
      <c r="A7" s="144" t="s">
        <v>99</v>
      </c>
      <c r="B7" s="32" t="s">
        <v>67</v>
      </c>
      <c r="C7" s="92">
        <v>109292.20999999999</v>
      </c>
      <c r="D7" s="92">
        <v>12836.7671630328</v>
      </c>
      <c r="E7" s="92">
        <v>109292.20999999999</v>
      </c>
      <c r="F7" s="92">
        <v>12836.7671630328</v>
      </c>
      <c r="G7" s="146">
        <v>106694.78000000001</v>
      </c>
      <c r="H7" s="92">
        <v>13360.894856317427</v>
      </c>
      <c r="I7" s="150">
        <v>105904.48999999999</v>
      </c>
      <c r="J7" s="92">
        <v>14261.823000000002</v>
      </c>
      <c r="K7" s="150">
        <v>48200.130000000005</v>
      </c>
      <c r="L7" s="150">
        <v>6717.474736698592</v>
      </c>
      <c r="M7" s="150"/>
      <c r="N7" s="32"/>
      <c r="O7" s="150"/>
      <c r="P7" s="32"/>
    </row>
    <row r="8" spans="1:16" ht="12.75">
      <c r="A8" s="144"/>
      <c r="B8" s="32" t="s">
        <v>68</v>
      </c>
      <c r="C8" s="260"/>
      <c r="D8" s="260"/>
      <c r="E8" s="92"/>
      <c r="F8" s="92"/>
      <c r="G8" s="146"/>
      <c r="H8" s="92"/>
      <c r="I8" s="146"/>
      <c r="J8" s="92"/>
      <c r="K8" s="150">
        <v>24078.58</v>
      </c>
      <c r="L8" s="150">
        <v>3321.4619753552743</v>
      </c>
      <c r="M8" s="150"/>
      <c r="N8" s="32"/>
      <c r="O8" s="150"/>
      <c r="P8" s="32"/>
    </row>
    <row r="9" spans="1:16" ht="12.75">
      <c r="A9" s="144" t="s">
        <v>253</v>
      </c>
      <c r="B9" s="32" t="s">
        <v>67</v>
      </c>
      <c r="C9" s="262">
        <v>153968.29800799998</v>
      </c>
      <c r="D9" s="262">
        <v>17948.95314864528</v>
      </c>
      <c r="E9" s="92">
        <v>153968.29800799998</v>
      </c>
      <c r="F9" s="92">
        <v>17948.95314864528</v>
      </c>
      <c r="G9" s="70">
        <v>140737.232</v>
      </c>
      <c r="H9" s="92">
        <v>18221.74403117552</v>
      </c>
      <c r="I9" s="70">
        <v>145264.3</v>
      </c>
      <c r="J9" s="92">
        <v>20585.03235725698</v>
      </c>
      <c r="K9" s="150">
        <v>98374.18999999999</v>
      </c>
      <c r="L9" s="150">
        <v>14503.094077268375</v>
      </c>
      <c r="M9" s="150"/>
      <c r="N9" s="32"/>
      <c r="O9" s="150"/>
      <c r="P9" s="32"/>
    </row>
    <row r="10" spans="1:16" ht="12.75">
      <c r="A10" s="144"/>
      <c r="B10" s="32" t="s">
        <v>68</v>
      </c>
      <c r="C10" s="146"/>
      <c r="D10" s="146"/>
      <c r="E10" s="92"/>
      <c r="F10" s="92"/>
      <c r="G10" s="70"/>
      <c r="H10" s="92"/>
      <c r="I10" s="70"/>
      <c r="J10" s="92"/>
      <c r="K10" s="150">
        <v>1572.31</v>
      </c>
      <c r="L10" s="150">
        <v>237.07408785383996</v>
      </c>
      <c r="M10" s="150"/>
      <c r="N10" s="32"/>
      <c r="O10" s="150"/>
      <c r="P10" s="32"/>
    </row>
    <row r="11" spans="1:16" ht="12.75">
      <c r="A11" s="144" t="s">
        <v>97</v>
      </c>
      <c r="B11" s="32" t="s">
        <v>67</v>
      </c>
      <c r="C11" s="150">
        <v>174840</v>
      </c>
      <c r="D11" s="150">
        <v>20786.5924617456</v>
      </c>
      <c r="E11" s="92">
        <v>174840</v>
      </c>
      <c r="F11" s="92">
        <v>20786.5924617456</v>
      </c>
      <c r="G11" s="150">
        <v>182453.96000000002</v>
      </c>
      <c r="H11" s="92">
        <v>22982.255487645</v>
      </c>
      <c r="I11" s="150">
        <v>154723.66</v>
      </c>
      <c r="J11" s="92">
        <v>22144.990000000005</v>
      </c>
      <c r="K11" s="150">
        <v>148115.36</v>
      </c>
      <c r="L11" s="150">
        <v>21234.730000000003</v>
      </c>
      <c r="M11" s="150"/>
      <c r="N11" s="32"/>
      <c r="O11" s="150"/>
      <c r="P11" s="32"/>
    </row>
    <row r="12" spans="1:16" ht="12.75">
      <c r="A12" s="144"/>
      <c r="B12" s="32" t="s">
        <v>68</v>
      </c>
      <c r="C12" s="150">
        <v>11586</v>
      </c>
      <c r="D12" s="150">
        <v>1288.9298584030023</v>
      </c>
      <c r="E12" s="92">
        <v>11586</v>
      </c>
      <c r="F12" s="92">
        <v>1288.9298584030023</v>
      </c>
      <c r="G12" s="150">
        <v>13204.79</v>
      </c>
      <c r="H12" s="92">
        <v>1563.5126842552643</v>
      </c>
      <c r="I12" s="150">
        <v>14700.000000000004</v>
      </c>
      <c r="J12" s="92">
        <v>1997.18</v>
      </c>
      <c r="K12" s="150">
        <v>9177.4</v>
      </c>
      <c r="L12" s="150">
        <v>1372.7</v>
      </c>
      <c r="M12" s="150"/>
      <c r="N12" s="32"/>
      <c r="O12" s="150"/>
      <c r="P12" s="32"/>
    </row>
    <row r="13" spans="1:16" ht="12.75">
      <c r="A13" s="144" t="s">
        <v>96</v>
      </c>
      <c r="B13" s="32" t="s">
        <v>67</v>
      </c>
      <c r="C13" s="92">
        <v>28352.02</v>
      </c>
      <c r="D13" s="92">
        <v>3448.4370335999</v>
      </c>
      <c r="E13" s="260">
        <v>27063.090000000004</v>
      </c>
      <c r="F13" s="260">
        <v>3457.338483809195</v>
      </c>
      <c r="G13" s="150">
        <v>25960.43</v>
      </c>
      <c r="H13" s="92">
        <v>3617.8242936018773</v>
      </c>
      <c r="I13" s="150">
        <v>25631.38</v>
      </c>
      <c r="J13" s="92">
        <v>3976.2300000000005</v>
      </c>
      <c r="K13" s="150">
        <v>38409.17999999999</v>
      </c>
      <c r="L13" s="150">
        <v>4072.65</v>
      </c>
      <c r="M13" s="150"/>
      <c r="N13" s="32"/>
      <c r="O13" s="150"/>
      <c r="P13" s="32"/>
    </row>
    <row r="14" spans="1:16" ht="12.75">
      <c r="A14" s="32"/>
      <c r="B14" s="32" t="s">
        <v>68</v>
      </c>
      <c r="C14" s="92">
        <v>24372.86</v>
      </c>
      <c r="D14" s="92">
        <v>2962.5794096577797</v>
      </c>
      <c r="E14" s="260">
        <v>37416.39</v>
      </c>
      <c r="F14" s="260">
        <v>4699.112104845046</v>
      </c>
      <c r="G14" s="150">
        <v>20769.719999999998</v>
      </c>
      <c r="H14" s="92">
        <v>2916.231451169743</v>
      </c>
      <c r="I14" s="150">
        <v>23091.25</v>
      </c>
      <c r="J14" s="92">
        <v>3628.0899999999992</v>
      </c>
      <c r="K14" s="150">
        <v>47673.32</v>
      </c>
      <c r="L14" s="150">
        <v>7398.67</v>
      </c>
      <c r="M14" s="150"/>
      <c r="N14" s="32"/>
      <c r="O14" s="150"/>
      <c r="P14" s="32"/>
    </row>
    <row r="15" spans="1:16" ht="12.75">
      <c r="A15" s="144" t="s">
        <v>98</v>
      </c>
      <c r="B15" s="32" t="s">
        <v>67</v>
      </c>
      <c r="C15" s="92">
        <v>1217154.1600000004</v>
      </c>
      <c r="D15" s="92">
        <v>177102.48437287746</v>
      </c>
      <c r="E15" s="92">
        <v>1217154.1600000004</v>
      </c>
      <c r="F15" s="92">
        <v>177102.48437287746</v>
      </c>
      <c r="G15" s="70">
        <v>1318481.911</v>
      </c>
      <c r="H15" s="92">
        <v>199555.6196889593</v>
      </c>
      <c r="I15" s="70">
        <v>1158875.2230000002</v>
      </c>
      <c r="J15" s="92">
        <v>184658.28543696506</v>
      </c>
      <c r="K15" s="150">
        <v>1072639.148</v>
      </c>
      <c r="L15" s="150">
        <v>174890.14368489315</v>
      </c>
      <c r="M15" s="263">
        <v>1102285.4600000002</v>
      </c>
      <c r="N15" s="92">
        <v>185125.7747175631</v>
      </c>
      <c r="O15" s="263">
        <v>1102285.4600000002</v>
      </c>
      <c r="P15" s="263"/>
    </row>
    <row r="16" spans="1:16" ht="12.75">
      <c r="A16" s="144"/>
      <c r="B16" s="32" t="s">
        <v>68</v>
      </c>
      <c r="C16" s="92">
        <v>162920.36</v>
      </c>
      <c r="D16" s="92">
        <v>20400.373516780466</v>
      </c>
      <c r="E16" s="92">
        <v>162920.36</v>
      </c>
      <c r="F16" s="92">
        <v>20400.373516780466</v>
      </c>
      <c r="G16" s="70">
        <v>168834.89999999997</v>
      </c>
      <c r="H16" s="92">
        <v>21992.890043071155</v>
      </c>
      <c r="I16" s="70">
        <v>170524.19999999995</v>
      </c>
      <c r="J16" s="92">
        <v>24571.960052684535</v>
      </c>
      <c r="K16" s="150">
        <v>211484.22</v>
      </c>
      <c r="L16" s="150">
        <v>34773.63397916624</v>
      </c>
      <c r="M16" s="263">
        <v>373131.52</v>
      </c>
      <c r="N16" s="92">
        <v>63543.98328236291</v>
      </c>
      <c r="O16" s="263">
        <v>373131.52</v>
      </c>
      <c r="P16" s="263"/>
    </row>
    <row r="17" spans="1:16" ht="12.75">
      <c r="A17" s="144"/>
      <c r="B17" s="32" t="s">
        <v>69</v>
      </c>
      <c r="C17" s="92">
        <v>162240</v>
      </c>
      <c r="D17" s="92">
        <v>21209.88587279413</v>
      </c>
      <c r="E17" s="92">
        <v>162240</v>
      </c>
      <c r="F17" s="92">
        <v>21209.88587279413</v>
      </c>
      <c r="G17" s="70">
        <v>147360</v>
      </c>
      <c r="H17" s="92">
        <v>20478.057236056633</v>
      </c>
      <c r="I17" s="70">
        <v>126480</v>
      </c>
      <c r="J17" s="92">
        <v>19487.179106071653</v>
      </c>
      <c r="K17" s="150">
        <v>0</v>
      </c>
      <c r="L17" s="150">
        <v>0</v>
      </c>
      <c r="M17" s="150">
        <v>48600</v>
      </c>
      <c r="N17" s="92">
        <v>10041.146056308433</v>
      </c>
      <c r="O17" s="263">
        <v>48600</v>
      </c>
      <c r="P17" s="263"/>
    </row>
    <row r="18" spans="1:16" ht="12.75">
      <c r="A18" s="32" t="s">
        <v>11</v>
      </c>
      <c r="B18" s="32"/>
      <c r="C18" s="145">
        <f>SUM(C6:C17)</f>
        <v>2155972.196008</v>
      </c>
      <c r="D18" s="145">
        <f aca="true" t="shared" si="0" ref="D18:N18">SUM(D6:D17)</f>
        <v>291127.6739661225</v>
      </c>
      <c r="E18" s="145">
        <f t="shared" si="0"/>
        <v>2167726.796008</v>
      </c>
      <c r="F18" s="145">
        <f t="shared" si="0"/>
        <v>292873.108111519</v>
      </c>
      <c r="G18" s="145">
        <f t="shared" si="0"/>
        <v>2227765.043</v>
      </c>
      <c r="H18" s="264">
        <f t="shared" si="0"/>
        <v>316597.36319444637</v>
      </c>
      <c r="I18" s="145">
        <f t="shared" si="0"/>
        <v>2023031.2530000003</v>
      </c>
      <c r="J18" s="264">
        <f t="shared" si="0"/>
        <v>308896.1306544346</v>
      </c>
      <c r="K18" s="145">
        <f t="shared" si="0"/>
        <v>1764826.058</v>
      </c>
      <c r="L18" s="145">
        <f t="shared" si="0"/>
        <v>277621.3435412355</v>
      </c>
      <c r="M18" s="145">
        <f t="shared" si="0"/>
        <v>1524016.9800000002</v>
      </c>
      <c r="N18" s="145">
        <f t="shared" si="0"/>
        <v>258710.90405623443</v>
      </c>
      <c r="O18" s="145">
        <f>SUM(O6:O17)</f>
        <v>1524016.9800000002</v>
      </c>
      <c r="P18" s="145">
        <f>SUM(P6:P17)</f>
        <v>0</v>
      </c>
    </row>
    <row r="19" spans="1:16" ht="12.75">
      <c r="A19" s="32"/>
      <c r="B19" s="32"/>
      <c r="C19" s="92"/>
      <c r="D19" s="92"/>
      <c r="E19" s="32"/>
      <c r="F19" s="32"/>
      <c r="G19" s="32"/>
      <c r="H19" s="32"/>
      <c r="I19" s="32"/>
      <c r="J19" s="32"/>
      <c r="K19" s="32"/>
      <c r="L19" s="32"/>
      <c r="M19" s="32"/>
      <c r="N19" s="32"/>
      <c r="O19" s="32"/>
      <c r="P19" s="32"/>
    </row>
    <row r="20" spans="1:16" ht="12.75">
      <c r="A20" s="32"/>
      <c r="B20" s="32"/>
      <c r="C20" s="92"/>
      <c r="D20" s="92"/>
      <c r="E20" s="32"/>
      <c r="F20" s="32"/>
      <c r="G20" s="32"/>
      <c r="H20" s="32"/>
      <c r="I20" s="32"/>
      <c r="J20" s="32"/>
      <c r="K20" s="32"/>
      <c r="L20" s="32"/>
      <c r="M20" s="32"/>
      <c r="N20" s="32"/>
      <c r="O20" s="32"/>
      <c r="P20" s="32"/>
    </row>
    <row r="21" spans="1:16" ht="15">
      <c r="A21" s="142" t="s">
        <v>151</v>
      </c>
      <c r="B21" s="32"/>
      <c r="C21" s="32"/>
      <c r="D21" s="32"/>
      <c r="E21" s="32"/>
      <c r="F21" s="32"/>
      <c r="G21" s="32"/>
      <c r="H21" s="32"/>
      <c r="I21" s="32"/>
      <c r="J21" s="32"/>
      <c r="K21" s="32"/>
      <c r="L21" s="32"/>
      <c r="M21" s="32"/>
      <c r="N21" s="32"/>
      <c r="O21" s="32"/>
      <c r="P21" s="32"/>
    </row>
    <row r="22" spans="1:16" ht="15">
      <c r="A22" s="32"/>
      <c r="B22" s="32"/>
      <c r="C22" s="143">
        <v>2013</v>
      </c>
      <c r="D22" s="143">
        <v>2013</v>
      </c>
      <c r="E22" s="143">
        <v>2014</v>
      </c>
      <c r="F22" s="143">
        <v>2014</v>
      </c>
      <c r="G22" s="143">
        <v>2015</v>
      </c>
      <c r="H22" s="143">
        <v>2015</v>
      </c>
      <c r="I22" s="143">
        <v>2016</v>
      </c>
      <c r="J22" s="143">
        <v>2016</v>
      </c>
      <c r="K22" s="143">
        <v>2017</v>
      </c>
      <c r="L22" s="143">
        <v>2017</v>
      </c>
      <c r="M22" s="143">
        <v>2018</v>
      </c>
      <c r="N22" s="143">
        <v>2018</v>
      </c>
      <c r="O22" s="143">
        <v>2019</v>
      </c>
      <c r="P22" s="143">
        <v>2019</v>
      </c>
    </row>
    <row r="23" spans="1:16" ht="15">
      <c r="A23" s="142" t="s">
        <v>254</v>
      </c>
      <c r="B23" s="142" t="s">
        <v>149</v>
      </c>
      <c r="C23" s="143" t="s">
        <v>141</v>
      </c>
      <c r="D23" s="143" t="s">
        <v>252</v>
      </c>
      <c r="E23" s="143" t="s">
        <v>141</v>
      </c>
      <c r="F23" s="143" t="s">
        <v>252</v>
      </c>
      <c r="G23" s="143" t="s">
        <v>141</v>
      </c>
      <c r="H23" s="143" t="s">
        <v>252</v>
      </c>
      <c r="I23" s="143" t="s">
        <v>141</v>
      </c>
      <c r="J23" s="143" t="s">
        <v>252</v>
      </c>
      <c r="K23" s="143" t="s">
        <v>141</v>
      </c>
      <c r="L23" s="143" t="s">
        <v>252</v>
      </c>
      <c r="M23" s="143" t="s">
        <v>141</v>
      </c>
      <c r="N23" s="143" t="s">
        <v>252</v>
      </c>
      <c r="O23" s="143" t="s">
        <v>141</v>
      </c>
      <c r="P23" s="143" t="s">
        <v>252</v>
      </c>
    </row>
    <row r="24" spans="1:16" ht="12.75">
      <c r="A24" s="144" t="s">
        <v>97</v>
      </c>
      <c r="B24" s="32" t="s">
        <v>67</v>
      </c>
      <c r="C24" s="92">
        <v>37571.424</v>
      </c>
      <c r="D24" s="92">
        <v>4425.527694752</v>
      </c>
      <c r="E24" s="92">
        <v>37571.424</v>
      </c>
      <c r="F24" s="92">
        <v>4425.527694752</v>
      </c>
      <c r="G24" s="70">
        <v>35135</v>
      </c>
      <c r="H24" s="70">
        <v>4447.595907840001</v>
      </c>
      <c r="I24" s="70">
        <v>37471</v>
      </c>
      <c r="J24" s="70">
        <v>5213.7797232978</v>
      </c>
      <c r="K24" s="150">
        <v>32094</v>
      </c>
      <c r="L24" s="150">
        <v>4903.686008674799</v>
      </c>
      <c r="M24" s="150"/>
      <c r="N24" s="32"/>
      <c r="O24" s="150"/>
      <c r="P24" s="32"/>
    </row>
    <row r="25" spans="1:16" ht="12.75">
      <c r="A25" s="144" t="s">
        <v>96</v>
      </c>
      <c r="B25" s="32" t="s">
        <v>67</v>
      </c>
      <c r="C25" s="92">
        <v>97213.90000000001</v>
      </c>
      <c r="D25" s="92">
        <v>12189.84777607776</v>
      </c>
      <c r="E25" s="260">
        <v>104718.87</v>
      </c>
      <c r="F25" s="92">
        <v>12189.84777607776</v>
      </c>
      <c r="G25" s="70">
        <v>104933.070144</v>
      </c>
      <c r="H25" s="70">
        <v>14368.25111809221</v>
      </c>
      <c r="I25" s="70">
        <v>119302.24900000001</v>
      </c>
      <c r="J25" s="70">
        <v>18349.13</v>
      </c>
      <c r="K25" s="150">
        <v>98371.53</v>
      </c>
      <c r="L25" s="150">
        <v>14912.64</v>
      </c>
      <c r="M25" s="150"/>
      <c r="N25" s="32"/>
      <c r="O25" s="150"/>
      <c r="P25" s="32"/>
    </row>
    <row r="26" spans="1:16" ht="12.75">
      <c r="A26" s="32"/>
      <c r="B26" s="32" t="s">
        <v>68</v>
      </c>
      <c r="C26" s="92">
        <v>28686.160000000003</v>
      </c>
      <c r="D26" s="92">
        <v>3501.0091710524803</v>
      </c>
      <c r="E26" s="260">
        <v>27362.84</v>
      </c>
      <c r="F26" s="92">
        <v>3501.0091710524803</v>
      </c>
      <c r="G26" s="70">
        <v>28276.178079000005</v>
      </c>
      <c r="H26" s="70">
        <v>3821.5636095640148</v>
      </c>
      <c r="I26" s="70">
        <v>3708.4100000000003</v>
      </c>
      <c r="J26" s="70">
        <v>552.5400000000001</v>
      </c>
      <c r="K26" s="150">
        <v>2036.39</v>
      </c>
      <c r="L26" s="150">
        <v>311.09999999999997</v>
      </c>
      <c r="M26" s="150"/>
      <c r="N26" s="32"/>
      <c r="O26" s="150"/>
      <c r="P26" s="32"/>
    </row>
    <row r="27" spans="1:16" ht="12.75">
      <c r="A27" s="32" t="s">
        <v>99</v>
      </c>
      <c r="B27" s="32" t="s">
        <v>67</v>
      </c>
      <c r="C27" s="92"/>
      <c r="D27" s="92"/>
      <c r="E27" s="260"/>
      <c r="F27" s="260"/>
      <c r="G27" s="70"/>
      <c r="H27" s="70"/>
      <c r="I27" s="70">
        <v>44946.28</v>
      </c>
      <c r="J27" s="70">
        <v>6239.2699999999995</v>
      </c>
      <c r="K27" s="150">
        <v>18703.302726659604</v>
      </c>
      <c r="L27" s="150">
        <v>2802.82</v>
      </c>
      <c r="M27" s="150"/>
      <c r="N27" s="32"/>
      <c r="O27" s="150"/>
      <c r="P27" s="32"/>
    </row>
    <row r="28" spans="1:16" ht="12.75">
      <c r="A28" s="32"/>
      <c r="B28" s="32" t="s">
        <v>68</v>
      </c>
      <c r="C28" s="92"/>
      <c r="D28" s="92"/>
      <c r="E28" s="260"/>
      <c r="F28" s="260"/>
      <c r="G28" s="70"/>
      <c r="H28" s="70"/>
      <c r="I28" s="70">
        <v>43805.6</v>
      </c>
      <c r="J28" s="70">
        <v>6257.78</v>
      </c>
      <c r="K28" s="150">
        <v>24020.791983813466</v>
      </c>
      <c r="L28" s="150">
        <v>3661.9500000000003</v>
      </c>
      <c r="M28" s="150"/>
      <c r="N28" s="32"/>
      <c r="O28" s="150"/>
      <c r="P28" s="32"/>
    </row>
    <row r="29" spans="1:16" ht="12.75">
      <c r="A29" s="32" t="s">
        <v>95</v>
      </c>
      <c r="B29" s="32" t="s">
        <v>67</v>
      </c>
      <c r="C29" s="92"/>
      <c r="D29" s="92"/>
      <c r="E29" s="260"/>
      <c r="F29" s="260"/>
      <c r="G29" s="70"/>
      <c r="H29" s="70"/>
      <c r="I29" s="70">
        <v>27000</v>
      </c>
      <c r="J29" s="70">
        <v>7149.5297053189415</v>
      </c>
      <c r="K29" s="150">
        <v>27856.97</v>
      </c>
      <c r="L29" s="150">
        <v>4222.552778241261</v>
      </c>
      <c r="M29" s="150"/>
      <c r="N29" s="32"/>
      <c r="O29" s="150"/>
      <c r="P29" s="32"/>
    </row>
    <row r="30" spans="1:16" ht="12.75">
      <c r="A30" s="144" t="s">
        <v>98</v>
      </c>
      <c r="B30" s="32" t="s">
        <v>67</v>
      </c>
      <c r="C30" s="92">
        <v>1823409</v>
      </c>
      <c r="D30" s="92">
        <v>226711.008419224</v>
      </c>
      <c r="E30" s="92">
        <v>1823409</v>
      </c>
      <c r="F30" s="92">
        <v>226711.008419224</v>
      </c>
      <c r="G30" s="70">
        <v>1244231</v>
      </c>
      <c r="H30" s="70">
        <v>165170.449475044</v>
      </c>
      <c r="I30" s="70">
        <v>1028685</v>
      </c>
      <c r="J30" s="70">
        <v>149919.3692612968</v>
      </c>
      <c r="K30" s="150">
        <v>962507</v>
      </c>
      <c r="L30" s="150">
        <v>145098.64853306362</v>
      </c>
      <c r="M30" s="263">
        <v>1095173.1</v>
      </c>
      <c r="N30" s="150">
        <v>158821.38804400002</v>
      </c>
      <c r="O30" s="263">
        <v>1095173.1</v>
      </c>
      <c r="P30" s="150"/>
    </row>
    <row r="31" spans="1:16" ht="12.75">
      <c r="A31" s="144"/>
      <c r="B31" s="32" t="s">
        <v>68</v>
      </c>
      <c r="C31" s="92">
        <v>217892</v>
      </c>
      <c r="D31" s="92">
        <v>28156.275777752002</v>
      </c>
      <c r="E31" s="92">
        <v>217892</v>
      </c>
      <c r="F31" s="92">
        <v>28156.275777752002</v>
      </c>
      <c r="G31" s="70">
        <v>225957.00000000003</v>
      </c>
      <c r="H31" s="70">
        <v>29072.846277292938</v>
      </c>
      <c r="I31" s="70">
        <v>232547</v>
      </c>
      <c r="J31" s="70">
        <v>32100.941494427832</v>
      </c>
      <c r="K31" s="150">
        <v>620257</v>
      </c>
      <c r="L31" s="150">
        <v>94451.74622975703</v>
      </c>
      <c r="M31" s="263">
        <v>1214063.35</v>
      </c>
      <c r="N31" s="150">
        <v>180738.769243</v>
      </c>
      <c r="O31" s="263">
        <v>1214063.35</v>
      </c>
      <c r="P31" s="150"/>
    </row>
    <row r="32" spans="1:16" ht="12.75">
      <c r="A32" s="144"/>
      <c r="B32" s="32" t="s">
        <v>69</v>
      </c>
      <c r="C32" s="92">
        <v>807920</v>
      </c>
      <c r="D32" s="92">
        <v>103413.80683792001</v>
      </c>
      <c r="E32" s="92">
        <v>807920</v>
      </c>
      <c r="F32" s="92">
        <v>103413.80683792001</v>
      </c>
      <c r="G32" s="70">
        <v>681836.0002739726</v>
      </c>
      <c r="H32" s="70">
        <v>85582.60827014298</v>
      </c>
      <c r="I32" s="70">
        <v>623440</v>
      </c>
      <c r="J32" s="70">
        <v>87051.28815050657</v>
      </c>
      <c r="K32" s="150">
        <v>512520</v>
      </c>
      <c r="L32" s="150">
        <v>77170.03255076642</v>
      </c>
      <c r="M32" s="263"/>
      <c r="N32" s="150"/>
      <c r="O32" s="263"/>
      <c r="P32" s="150"/>
    </row>
    <row r="33" spans="1:16" ht="12.75">
      <c r="A33" s="144" t="s">
        <v>255</v>
      </c>
      <c r="B33" s="32"/>
      <c r="C33" s="265">
        <f>SUM(C24:C32)</f>
        <v>3012692.484</v>
      </c>
      <c r="D33" s="265">
        <f aca="true" t="shared" si="1" ref="D33:N33">SUM(D24:D32)</f>
        <v>378397.47567677824</v>
      </c>
      <c r="E33" s="265">
        <f t="shared" si="1"/>
        <v>3018874.134</v>
      </c>
      <c r="F33" s="265">
        <f t="shared" si="1"/>
        <v>378397.47567677824</v>
      </c>
      <c r="G33" s="266">
        <f t="shared" si="1"/>
        <v>2320368.2484969725</v>
      </c>
      <c r="H33" s="266">
        <f t="shared" si="1"/>
        <v>302463.31465797615</v>
      </c>
      <c r="I33" s="266">
        <f t="shared" si="1"/>
        <v>2160905.539</v>
      </c>
      <c r="J33" s="266">
        <f t="shared" si="1"/>
        <v>312833.6283348479</v>
      </c>
      <c r="K33" s="267">
        <f t="shared" si="1"/>
        <v>2298366.984710473</v>
      </c>
      <c r="L33" s="267">
        <f t="shared" si="1"/>
        <v>347535.17610050313</v>
      </c>
      <c r="M33" s="268">
        <f t="shared" si="1"/>
        <v>2309236.45</v>
      </c>
      <c r="N33" s="267">
        <f t="shared" si="1"/>
        <v>339560.157287</v>
      </c>
      <c r="O33" s="268">
        <f>SUM(O24:O32)</f>
        <v>2309236.45</v>
      </c>
      <c r="P33" s="267">
        <f>SUM(P24:P32)</f>
        <v>0</v>
      </c>
    </row>
    <row r="34" spans="1:16" ht="12.75">
      <c r="A34" s="144" t="s">
        <v>256</v>
      </c>
      <c r="B34" s="32" t="s">
        <v>67</v>
      </c>
      <c r="C34" s="92"/>
      <c r="D34" s="92"/>
      <c r="E34" s="92"/>
      <c r="F34" s="92"/>
      <c r="G34" s="70"/>
      <c r="H34" s="70"/>
      <c r="I34" s="70"/>
      <c r="J34" s="70"/>
      <c r="K34" s="150">
        <v>670217.260082713</v>
      </c>
      <c r="L34" s="150">
        <v>388754.0906705706</v>
      </c>
      <c r="M34" s="263"/>
      <c r="N34" s="150"/>
      <c r="O34" s="263"/>
      <c r="P34" s="150"/>
    </row>
    <row r="35" spans="1:16" ht="12.75">
      <c r="A35" s="144"/>
      <c r="B35" s="32" t="s">
        <v>68</v>
      </c>
      <c r="C35" s="92"/>
      <c r="D35" s="92"/>
      <c r="E35" s="92"/>
      <c r="F35" s="92"/>
      <c r="G35" s="70"/>
      <c r="H35" s="70"/>
      <c r="I35" s="70"/>
      <c r="J35" s="70"/>
      <c r="K35" s="150">
        <v>1454.9261135531135</v>
      </c>
      <c r="L35" s="150">
        <v>829.6248651330635</v>
      </c>
      <c r="M35" s="263"/>
      <c r="N35" s="150"/>
      <c r="O35" s="263"/>
      <c r="P35" s="150"/>
    </row>
    <row r="36" spans="1:16" ht="12.75">
      <c r="A36" s="144"/>
      <c r="B36" s="32" t="s">
        <v>69</v>
      </c>
      <c r="C36" s="92"/>
      <c r="D36" s="92"/>
      <c r="E36" s="92"/>
      <c r="F36" s="92"/>
      <c r="G36" s="70"/>
      <c r="H36" s="70"/>
      <c r="I36" s="70"/>
      <c r="J36" s="70"/>
      <c r="K36" s="150">
        <v>31600</v>
      </c>
      <c r="L36" s="150">
        <v>39526.39440025</v>
      </c>
      <c r="M36" s="263"/>
      <c r="N36" s="150"/>
      <c r="O36" s="263"/>
      <c r="P36" s="150"/>
    </row>
    <row r="37" spans="1:16" ht="12.75">
      <c r="A37" s="32" t="s">
        <v>257</v>
      </c>
      <c r="B37" s="32"/>
      <c r="C37" s="145">
        <f>SUM(C33:C36)</f>
        <v>3012692.484</v>
      </c>
      <c r="D37" s="145">
        <f aca="true" t="shared" si="2" ref="D37:N37">SUM(D33:D36)</f>
        <v>378397.47567677824</v>
      </c>
      <c r="E37" s="145">
        <f t="shared" si="2"/>
        <v>3018874.134</v>
      </c>
      <c r="F37" s="145">
        <f t="shared" si="2"/>
        <v>378397.47567677824</v>
      </c>
      <c r="G37" s="145">
        <f t="shared" si="2"/>
        <v>2320368.2484969725</v>
      </c>
      <c r="H37" s="145">
        <f t="shared" si="2"/>
        <v>302463.31465797615</v>
      </c>
      <c r="I37" s="145">
        <f t="shared" si="2"/>
        <v>2160905.539</v>
      </c>
      <c r="J37" s="145">
        <f t="shared" si="2"/>
        <v>312833.6283348479</v>
      </c>
      <c r="K37" s="145">
        <f t="shared" si="2"/>
        <v>3001639.1709067393</v>
      </c>
      <c r="L37" s="145">
        <f t="shared" si="2"/>
        <v>776645.2860364568</v>
      </c>
      <c r="M37" s="145">
        <f t="shared" si="2"/>
        <v>2309236.45</v>
      </c>
      <c r="N37" s="145">
        <f t="shared" si="2"/>
        <v>339560.157287</v>
      </c>
      <c r="O37" s="145">
        <f>SUM(O33:O36)</f>
        <v>2309236.45</v>
      </c>
      <c r="P37" s="145">
        <f>SUM(P33:P36)</f>
        <v>0</v>
      </c>
    </row>
    <row r="38" spans="1:16" ht="12.75">
      <c r="A38" s="32"/>
      <c r="B38" s="32"/>
      <c r="C38" s="32"/>
      <c r="D38" s="32"/>
      <c r="E38" s="32"/>
      <c r="F38" s="32"/>
      <c r="G38" s="32"/>
      <c r="H38" s="32"/>
      <c r="I38" s="32"/>
      <c r="J38" s="32"/>
      <c r="K38" s="32"/>
      <c r="L38" s="32"/>
      <c r="M38" s="32"/>
      <c r="N38" s="32"/>
      <c r="O38" s="32"/>
      <c r="P38" s="32"/>
    </row>
    <row r="39" spans="1:16" ht="12.75">
      <c r="A39" s="32"/>
      <c r="B39" s="32"/>
      <c r="C39" s="32"/>
      <c r="D39" s="32"/>
      <c r="E39" s="32"/>
      <c r="F39" s="32"/>
      <c r="G39" s="32"/>
      <c r="H39" s="32"/>
      <c r="I39" s="32"/>
      <c r="J39" s="32"/>
      <c r="K39" s="32"/>
      <c r="L39" s="32"/>
      <c r="M39" s="32"/>
      <c r="N39" s="32"/>
      <c r="O39" s="32"/>
      <c r="P39" s="32"/>
    </row>
    <row r="40" spans="1:16" ht="12.75">
      <c r="A40" s="32"/>
      <c r="B40" s="32"/>
      <c r="C40" s="32"/>
      <c r="D40" s="32"/>
      <c r="E40" s="32"/>
      <c r="F40" s="32"/>
      <c r="G40" s="32"/>
      <c r="H40" s="32"/>
      <c r="I40" s="32"/>
      <c r="J40" s="32"/>
      <c r="K40" s="32"/>
      <c r="L40" s="32"/>
      <c r="M40" s="32"/>
      <c r="N40" s="32"/>
      <c r="O40" s="32"/>
      <c r="P40" s="32"/>
    </row>
    <row r="41" spans="1:16" ht="12.75">
      <c r="A41" s="32"/>
      <c r="B41" s="32"/>
      <c r="C41" s="32"/>
      <c r="D41" s="32"/>
      <c r="E41" s="32"/>
      <c r="F41" s="32"/>
      <c r="G41" s="32"/>
      <c r="H41" s="32"/>
      <c r="I41" s="32"/>
      <c r="J41" s="32"/>
      <c r="K41" s="32"/>
      <c r="L41" s="32"/>
      <c r="M41" s="32"/>
      <c r="N41" s="32"/>
      <c r="O41" s="32"/>
      <c r="P41" s="32"/>
    </row>
    <row r="42" spans="1:16" ht="12.75">
      <c r="A42" s="47" t="s">
        <v>280</v>
      </c>
      <c r="B42" s="32" t="s">
        <v>67</v>
      </c>
      <c r="C42" s="262">
        <f aca="true" t="shared" si="3" ref="C42:N42">C24+C25+C27+C29+C30+C34</f>
        <v>1958194.324</v>
      </c>
      <c r="D42" s="262">
        <f t="shared" si="3"/>
        <v>243326.38389005375</v>
      </c>
      <c r="E42" s="262">
        <f t="shared" si="3"/>
        <v>1965699.294</v>
      </c>
      <c r="F42" s="262">
        <f t="shared" si="3"/>
        <v>243326.38389005375</v>
      </c>
      <c r="G42" s="262">
        <f t="shared" si="3"/>
        <v>1384299.070144</v>
      </c>
      <c r="H42" s="262">
        <f t="shared" si="3"/>
        <v>183986.29650097623</v>
      </c>
      <c r="I42" s="262">
        <f t="shared" si="3"/>
        <v>1257404.529</v>
      </c>
      <c r="J42" s="262">
        <f t="shared" si="3"/>
        <v>186871.07868991353</v>
      </c>
      <c r="K42" s="262">
        <f t="shared" si="3"/>
        <v>1809750.0628093728</v>
      </c>
      <c r="L42" s="262">
        <f t="shared" si="3"/>
        <v>560694.4379905503</v>
      </c>
      <c r="M42" s="262">
        <f t="shared" si="3"/>
        <v>1095173.1</v>
      </c>
      <c r="N42" s="262">
        <f t="shared" si="3"/>
        <v>158821.38804400002</v>
      </c>
      <c r="O42" s="262">
        <f>O24+O25+O27+O29+O30+O34</f>
        <v>1095173.1</v>
      </c>
      <c r="P42" s="262">
        <f>P24+P25+P27+P29+P30+P34</f>
        <v>0</v>
      </c>
    </row>
    <row r="43" spans="1:16" ht="12.75">
      <c r="A43" s="32"/>
      <c r="B43" s="32" t="s">
        <v>68</v>
      </c>
      <c r="C43" s="262">
        <f aca="true" t="shared" si="4" ref="C43:N43">C26+C28+C31+C35</f>
        <v>246578.16</v>
      </c>
      <c r="D43" s="262">
        <f t="shared" si="4"/>
        <v>31657.28494880448</v>
      </c>
      <c r="E43" s="262">
        <f t="shared" si="4"/>
        <v>245254.84</v>
      </c>
      <c r="F43" s="262">
        <f t="shared" si="4"/>
        <v>31657.28494880448</v>
      </c>
      <c r="G43" s="262">
        <f t="shared" si="4"/>
        <v>254233.17807900003</v>
      </c>
      <c r="H43" s="262">
        <f t="shared" si="4"/>
        <v>32894.409886856956</v>
      </c>
      <c r="I43" s="262">
        <f t="shared" si="4"/>
        <v>280061.01</v>
      </c>
      <c r="J43" s="262">
        <f t="shared" si="4"/>
        <v>38911.26149442783</v>
      </c>
      <c r="K43" s="262">
        <f t="shared" si="4"/>
        <v>647769.1080973665</v>
      </c>
      <c r="L43" s="262">
        <f t="shared" si="4"/>
        <v>99254.4210948901</v>
      </c>
      <c r="M43" s="262">
        <f t="shared" si="4"/>
        <v>1214063.35</v>
      </c>
      <c r="N43" s="262">
        <f t="shared" si="4"/>
        <v>180738.769243</v>
      </c>
      <c r="O43" s="262">
        <f>O26+O28+O31+O35</f>
        <v>1214063.35</v>
      </c>
      <c r="P43" s="262">
        <f>P26+P28+P31+P35</f>
        <v>0</v>
      </c>
    </row>
    <row r="44" spans="1:16" ht="12.75">
      <c r="A44" s="32"/>
      <c r="B44" s="32" t="s">
        <v>69</v>
      </c>
      <c r="C44" s="262">
        <f>C32+C36</f>
        <v>807920</v>
      </c>
      <c r="D44" s="262">
        <f aca="true" t="shared" si="5" ref="D44:N44">D32+D36</f>
        <v>103413.80683792001</v>
      </c>
      <c r="E44" s="262">
        <f t="shared" si="5"/>
        <v>807920</v>
      </c>
      <c r="F44" s="262">
        <f t="shared" si="5"/>
        <v>103413.80683792001</v>
      </c>
      <c r="G44" s="262">
        <f t="shared" si="5"/>
        <v>681836.0002739726</v>
      </c>
      <c r="H44" s="262">
        <f t="shared" si="5"/>
        <v>85582.60827014298</v>
      </c>
      <c r="I44" s="262">
        <f t="shared" si="5"/>
        <v>623440</v>
      </c>
      <c r="J44" s="262">
        <f t="shared" si="5"/>
        <v>87051.28815050657</v>
      </c>
      <c r="K44" s="262">
        <f t="shared" si="5"/>
        <v>544120</v>
      </c>
      <c r="L44" s="262">
        <f t="shared" si="5"/>
        <v>116696.42695101642</v>
      </c>
      <c r="M44" s="262">
        <f t="shared" si="5"/>
        <v>0</v>
      </c>
      <c r="N44" s="262">
        <f t="shared" si="5"/>
        <v>0</v>
      </c>
      <c r="O44" s="262">
        <f>O32+O36</f>
        <v>0</v>
      </c>
      <c r="P44" s="262">
        <f>P32+P36</f>
        <v>0</v>
      </c>
    </row>
    <row r="45" spans="1:16" ht="12.75">
      <c r="A45" s="32"/>
      <c r="B45" s="32"/>
      <c r="C45" s="145">
        <f>SUM(C42:C44)</f>
        <v>3012692.484</v>
      </c>
      <c r="D45" s="145">
        <f aca="true" t="shared" si="6" ref="D45:N45">SUM(D42:D44)</f>
        <v>378397.47567677824</v>
      </c>
      <c r="E45" s="145">
        <f t="shared" si="6"/>
        <v>3018874.134</v>
      </c>
      <c r="F45" s="145">
        <f t="shared" si="6"/>
        <v>378397.47567677824</v>
      </c>
      <c r="G45" s="145">
        <f t="shared" si="6"/>
        <v>2320368.2484969725</v>
      </c>
      <c r="H45" s="145">
        <f t="shared" si="6"/>
        <v>302463.31465797615</v>
      </c>
      <c r="I45" s="145">
        <f t="shared" si="6"/>
        <v>2160905.539</v>
      </c>
      <c r="J45" s="145">
        <f t="shared" si="6"/>
        <v>312833.6283348479</v>
      </c>
      <c r="K45" s="145">
        <f t="shared" si="6"/>
        <v>3001639.1709067393</v>
      </c>
      <c r="L45" s="145">
        <f t="shared" si="6"/>
        <v>776645.2860364568</v>
      </c>
      <c r="M45" s="145">
        <f t="shared" si="6"/>
        <v>2309236.45</v>
      </c>
      <c r="N45" s="145">
        <f t="shared" si="6"/>
        <v>339560.157287</v>
      </c>
      <c r="O45" s="145">
        <f>SUM(O42:O44)</f>
        <v>2309236.45</v>
      </c>
      <c r="P45" s="145">
        <f>SUM(P42:P44)</f>
        <v>0</v>
      </c>
    </row>
    <row r="46" spans="1:16" ht="12.75">
      <c r="A46" s="32"/>
      <c r="B46" s="32"/>
      <c r="C46" s="32"/>
      <c r="D46" s="32"/>
      <c r="E46" s="32"/>
      <c r="F46" s="32"/>
      <c r="G46" s="32"/>
      <c r="H46" s="32"/>
      <c r="I46" s="32"/>
      <c r="J46" s="32"/>
      <c r="K46" s="32"/>
      <c r="L46" s="32"/>
      <c r="M46" s="32"/>
      <c r="N46" s="32"/>
      <c r="O46" s="32"/>
      <c r="P46" s="32"/>
    </row>
    <row r="47" spans="1:16" ht="12.75">
      <c r="A47" s="32"/>
      <c r="B47" s="32"/>
      <c r="C47" s="32"/>
      <c r="D47" s="32"/>
      <c r="E47" s="32"/>
      <c r="F47" s="32"/>
      <c r="G47" s="32"/>
      <c r="H47" s="32"/>
      <c r="I47" s="32"/>
      <c r="J47" s="32"/>
      <c r="K47" s="32"/>
      <c r="L47" s="32"/>
      <c r="M47" s="32"/>
      <c r="N47" s="32"/>
      <c r="O47" s="32"/>
      <c r="P47" s="32"/>
    </row>
    <row r="48" spans="1:16" ht="12.75">
      <c r="A48" s="32"/>
      <c r="B48" s="32"/>
      <c r="C48" s="32"/>
      <c r="D48" s="32"/>
      <c r="E48" s="32"/>
      <c r="F48" s="32"/>
      <c r="G48" s="32"/>
      <c r="H48" s="32"/>
      <c r="I48" s="32"/>
      <c r="J48" s="32"/>
      <c r="K48" s="32"/>
      <c r="L48" s="32"/>
      <c r="M48" s="32"/>
      <c r="N48" s="32"/>
      <c r="O48" s="32"/>
      <c r="P48" s="32"/>
    </row>
    <row r="49" spans="1:16" ht="12.75">
      <c r="A49" s="32"/>
      <c r="B49" s="32"/>
      <c r="C49" s="32"/>
      <c r="D49" s="32"/>
      <c r="E49" s="32"/>
      <c r="F49" s="32"/>
      <c r="G49" s="32"/>
      <c r="H49" s="32"/>
      <c r="I49" s="32"/>
      <c r="J49" s="32"/>
      <c r="K49" s="32"/>
      <c r="L49" s="32"/>
      <c r="M49" s="32"/>
      <c r="N49" s="32"/>
      <c r="O49" s="32"/>
      <c r="P49" s="32"/>
    </row>
    <row r="50" spans="1:16" ht="12.75">
      <c r="A50" s="32"/>
      <c r="B50" s="32"/>
      <c r="C50" s="32"/>
      <c r="D50" s="32"/>
      <c r="E50" s="92"/>
      <c r="F50" s="92"/>
      <c r="G50" s="92"/>
      <c r="H50" s="92"/>
      <c r="I50" s="92"/>
      <c r="J50" s="92"/>
      <c r="K50" s="92"/>
      <c r="L50" s="92"/>
      <c r="M50" s="92"/>
      <c r="N50" s="32"/>
      <c r="O50" s="92"/>
      <c r="P50" s="32"/>
    </row>
    <row r="51" spans="1:16" ht="12.75">
      <c r="A51" s="32"/>
      <c r="B51" s="32"/>
      <c r="C51" s="32"/>
      <c r="D51" s="32"/>
      <c r="E51" s="32"/>
      <c r="F51" s="32"/>
      <c r="G51" s="32"/>
      <c r="H51" s="32"/>
      <c r="I51" s="32"/>
      <c r="J51" s="32"/>
      <c r="K51" s="32"/>
      <c r="L51" s="32"/>
      <c r="M51" s="32"/>
      <c r="N51" s="32"/>
      <c r="O51" s="32"/>
      <c r="P51" s="32"/>
    </row>
    <row r="52" spans="1:16" ht="12.75">
      <c r="A52" s="32"/>
      <c r="B52" s="32"/>
      <c r="C52" s="32"/>
      <c r="D52" s="32"/>
      <c r="E52" s="32"/>
      <c r="F52" s="32"/>
      <c r="G52" s="32"/>
      <c r="H52" s="32"/>
      <c r="I52" s="32"/>
      <c r="J52" s="32"/>
      <c r="K52" s="32"/>
      <c r="L52" s="32"/>
      <c r="M52" s="32"/>
      <c r="N52" s="32"/>
      <c r="O52" s="32"/>
      <c r="P52" s="32"/>
    </row>
    <row r="53" spans="1:16" ht="12.75">
      <c r="A53" s="47" t="s">
        <v>279</v>
      </c>
      <c r="B53" s="32" t="s">
        <v>67</v>
      </c>
      <c r="C53" s="262">
        <f>C42-C34</f>
        <v>1958194.324</v>
      </c>
      <c r="D53" s="32"/>
      <c r="E53" s="262">
        <f>E42-E34</f>
        <v>1965699.294</v>
      </c>
      <c r="F53" s="32"/>
      <c r="G53" s="262">
        <f>G42-G34</f>
        <v>1384299.070144</v>
      </c>
      <c r="H53" s="32"/>
      <c r="I53" s="262">
        <f>I42-I34</f>
        <v>1257404.529</v>
      </c>
      <c r="J53" s="32"/>
      <c r="K53" s="262">
        <f>K42-K34</f>
        <v>1139532.80272666</v>
      </c>
      <c r="L53" s="32"/>
      <c r="M53" s="262">
        <f>M42-M34</f>
        <v>1095173.1</v>
      </c>
      <c r="N53" s="32"/>
      <c r="O53" s="262">
        <f>O42-O34</f>
        <v>1095173.1</v>
      </c>
      <c r="P53" s="32"/>
    </row>
    <row r="54" spans="1:16" ht="12.75">
      <c r="A54" s="32"/>
      <c r="B54" s="32" t="s">
        <v>68</v>
      </c>
      <c r="C54" s="262">
        <f>C43-C35</f>
        <v>246578.16</v>
      </c>
      <c r="D54" s="32"/>
      <c r="E54" s="262">
        <f>E43-E35</f>
        <v>245254.84</v>
      </c>
      <c r="F54" s="32"/>
      <c r="G54" s="262">
        <f>G43-G35</f>
        <v>254233.17807900003</v>
      </c>
      <c r="H54" s="32"/>
      <c r="I54" s="262">
        <f>I43-I35</f>
        <v>280061.01</v>
      </c>
      <c r="J54" s="32"/>
      <c r="K54" s="262">
        <f>K43-K35</f>
        <v>646314.1819838134</v>
      </c>
      <c r="L54" s="32"/>
      <c r="M54" s="262">
        <f>M43-M35</f>
        <v>1214063.35</v>
      </c>
      <c r="N54" s="32"/>
      <c r="O54" s="262">
        <f>O43-O35</f>
        <v>1214063.35</v>
      </c>
      <c r="P54" s="32"/>
    </row>
    <row r="55" spans="1:16" ht="12.75">
      <c r="A55" s="32"/>
      <c r="B55" s="32" t="s">
        <v>69</v>
      </c>
      <c r="C55" s="262">
        <f>C44-C36</f>
        <v>807920</v>
      </c>
      <c r="D55" s="32"/>
      <c r="E55" s="262">
        <f>E44-E36</f>
        <v>807920</v>
      </c>
      <c r="F55" s="32"/>
      <c r="G55" s="262">
        <f>G44-G36</f>
        <v>681836.0002739726</v>
      </c>
      <c r="H55" s="32"/>
      <c r="I55" s="262">
        <f>I44-I36</f>
        <v>623440</v>
      </c>
      <c r="J55" s="32"/>
      <c r="K55" s="262">
        <f>K44-K36</f>
        <v>512520</v>
      </c>
      <c r="L55" s="32"/>
      <c r="M55" s="262">
        <f>M44-M36</f>
        <v>0</v>
      </c>
      <c r="N55" s="32"/>
      <c r="O55" s="262">
        <f>O44-O36</f>
        <v>0</v>
      </c>
      <c r="P55" s="32"/>
    </row>
    <row r="56" spans="1:16" ht="12.75">
      <c r="A56" s="32"/>
      <c r="B56" s="32"/>
      <c r="C56" s="145">
        <f>SUM(C53:C55)</f>
        <v>3012692.484</v>
      </c>
      <c r="D56" s="32"/>
      <c r="E56" s="145">
        <f>SUM(E53:E55)</f>
        <v>3018874.134</v>
      </c>
      <c r="F56" s="32"/>
      <c r="G56" s="145">
        <f>SUM(G53:G55)</f>
        <v>2320368.2484969725</v>
      </c>
      <c r="H56" s="32"/>
      <c r="I56" s="145">
        <f>SUM(I53:I55)</f>
        <v>2160905.539</v>
      </c>
      <c r="J56" s="32"/>
      <c r="K56" s="145">
        <f>SUM(K53:K55)</f>
        <v>2298366.9847104736</v>
      </c>
      <c r="L56" s="32"/>
      <c r="M56" s="145">
        <f>SUM(M53:M55)</f>
        <v>2309236.45</v>
      </c>
      <c r="N56" s="32"/>
      <c r="O56" s="145">
        <f>SUM(O53:O55)</f>
        <v>2309236.45</v>
      </c>
      <c r="P56" s="32"/>
    </row>
    <row r="57" spans="1:16" ht="12.75">
      <c r="A57" s="32"/>
      <c r="B57" s="32"/>
      <c r="C57" s="32"/>
      <c r="D57" s="32"/>
      <c r="E57" s="32"/>
      <c r="F57" s="32"/>
      <c r="G57" s="32"/>
      <c r="H57" s="32"/>
      <c r="I57" s="32"/>
      <c r="J57" s="32"/>
      <c r="K57" s="32"/>
      <c r="L57" s="32"/>
      <c r="M57" s="32"/>
      <c r="N57" s="32"/>
      <c r="O57" s="32"/>
      <c r="P57" s="32"/>
    </row>
    <row r="60" spans="1:15" ht="13.5" thickBot="1">
      <c r="A60" s="32" t="s">
        <v>152</v>
      </c>
      <c r="C60" s="271">
        <f>C18-C56</f>
        <v>-856720.2879920001</v>
      </c>
      <c r="E60" s="271">
        <f>E18-E56</f>
        <v>-851147.3379919999</v>
      </c>
      <c r="G60" s="271">
        <f>G18-G56</f>
        <v>-92603.20549697243</v>
      </c>
      <c r="I60" s="271">
        <f>I18-I56</f>
        <v>-137874.2859999996</v>
      </c>
      <c r="K60" s="271">
        <f>K18-K56</f>
        <v>-533540.9267104736</v>
      </c>
      <c r="M60" s="271">
        <f>M18-M56</f>
        <v>-785219.47</v>
      </c>
      <c r="O60" s="271">
        <f>O18-O56</f>
        <v>-785219.47</v>
      </c>
    </row>
    <row r="61" ht="13.5" thickTop="1"/>
    <row r="63" spans="1:3" ht="12.75">
      <c r="A63" s="149" t="s">
        <v>153</v>
      </c>
      <c r="B63" s="149"/>
      <c r="C63" s="149" t="s">
        <v>154</v>
      </c>
    </row>
    <row r="64" spans="1:3" ht="12.75">
      <c r="A64" s="2">
        <v>41275</v>
      </c>
      <c r="B64" s="32"/>
      <c r="C64" s="92">
        <f>$C$60/12</f>
        <v>-71393.35733266668</v>
      </c>
    </row>
    <row r="65" spans="1:3" ht="12.75">
      <c r="A65" s="2">
        <v>41306</v>
      </c>
      <c r="B65" s="141"/>
      <c r="C65" s="92">
        <f aca="true" t="shared" si="7" ref="C65:C75">$C$60/12</f>
        <v>-71393.35733266668</v>
      </c>
    </row>
    <row r="66" spans="1:3" ht="12.75">
      <c r="A66" s="2">
        <v>41334</v>
      </c>
      <c r="C66" s="92">
        <f t="shared" si="7"/>
        <v>-71393.35733266668</v>
      </c>
    </row>
    <row r="67" spans="1:3" ht="12.75">
      <c r="A67" s="2">
        <v>41365</v>
      </c>
      <c r="C67" s="92">
        <f t="shared" si="7"/>
        <v>-71393.35733266668</v>
      </c>
    </row>
    <row r="68" spans="1:3" ht="12.75">
      <c r="A68" s="2">
        <v>41395</v>
      </c>
      <c r="C68" s="92">
        <f t="shared" si="7"/>
        <v>-71393.35733266668</v>
      </c>
    </row>
    <row r="69" spans="1:3" ht="12.75">
      <c r="A69" s="2">
        <v>41426</v>
      </c>
      <c r="C69" s="92">
        <f t="shared" si="7"/>
        <v>-71393.35733266668</v>
      </c>
    </row>
    <row r="70" spans="1:3" ht="12.75">
      <c r="A70" s="2">
        <v>41456</v>
      </c>
      <c r="C70" s="92">
        <f t="shared" si="7"/>
        <v>-71393.35733266668</v>
      </c>
    </row>
    <row r="71" spans="1:3" ht="12.75">
      <c r="A71" s="2">
        <v>41487</v>
      </c>
      <c r="C71" s="92">
        <f t="shared" si="7"/>
        <v>-71393.35733266668</v>
      </c>
    </row>
    <row r="72" spans="1:3" ht="12.75">
      <c r="A72" s="2">
        <v>41518</v>
      </c>
      <c r="C72" s="92">
        <f t="shared" si="7"/>
        <v>-71393.35733266668</v>
      </c>
    </row>
    <row r="73" spans="1:3" ht="12.75">
      <c r="A73" s="2">
        <v>41548</v>
      </c>
      <c r="C73" s="92">
        <f t="shared" si="7"/>
        <v>-71393.35733266668</v>
      </c>
    </row>
    <row r="74" spans="1:3" ht="12.75">
      <c r="A74" s="2">
        <v>41579</v>
      </c>
      <c r="C74" s="92">
        <f t="shared" si="7"/>
        <v>-71393.35733266668</v>
      </c>
    </row>
    <row r="75" spans="1:3" ht="12.75">
      <c r="A75" s="2">
        <v>41609</v>
      </c>
      <c r="C75" s="92">
        <f t="shared" si="7"/>
        <v>-71393.35733266668</v>
      </c>
    </row>
    <row r="76" spans="1:3" ht="12.75">
      <c r="A76" s="2">
        <v>41640</v>
      </c>
      <c r="C76" s="270">
        <f>$E$60/12</f>
        <v>-70928.94483266666</v>
      </c>
    </row>
    <row r="77" spans="1:3" ht="12.75">
      <c r="A77" s="2">
        <v>41671</v>
      </c>
      <c r="C77" s="270">
        <f aca="true" t="shared" si="8" ref="C77:C87">$E$60/12</f>
        <v>-70928.94483266666</v>
      </c>
    </row>
    <row r="78" spans="1:3" ht="12.75">
      <c r="A78" s="2">
        <v>41699</v>
      </c>
      <c r="C78" s="270">
        <f t="shared" si="8"/>
        <v>-70928.94483266666</v>
      </c>
    </row>
    <row r="79" spans="1:3" ht="12.75">
      <c r="A79" s="2">
        <v>41730</v>
      </c>
      <c r="C79" s="270">
        <f t="shared" si="8"/>
        <v>-70928.94483266666</v>
      </c>
    </row>
    <row r="80" spans="1:3" ht="12.75">
      <c r="A80" s="2">
        <v>41760</v>
      </c>
      <c r="C80" s="270">
        <f t="shared" si="8"/>
        <v>-70928.94483266666</v>
      </c>
    </row>
    <row r="81" spans="1:3" ht="12.75">
      <c r="A81" s="2">
        <v>41791</v>
      </c>
      <c r="C81" s="270">
        <f t="shared" si="8"/>
        <v>-70928.94483266666</v>
      </c>
    </row>
    <row r="82" spans="1:3" ht="12.75">
      <c r="A82" s="2">
        <v>41821</v>
      </c>
      <c r="C82" s="270">
        <f t="shared" si="8"/>
        <v>-70928.94483266666</v>
      </c>
    </row>
    <row r="83" spans="1:3" ht="12.75">
      <c r="A83" s="2">
        <v>41852</v>
      </c>
      <c r="C83" s="270">
        <f t="shared" si="8"/>
        <v>-70928.94483266666</v>
      </c>
    </row>
    <row r="84" spans="1:3" ht="12.75">
      <c r="A84" s="2">
        <v>41883</v>
      </c>
      <c r="C84" s="270">
        <f t="shared" si="8"/>
        <v>-70928.94483266666</v>
      </c>
    </row>
    <row r="85" spans="1:3" ht="12.75">
      <c r="A85" s="2">
        <v>41913</v>
      </c>
      <c r="C85" s="270">
        <f t="shared" si="8"/>
        <v>-70928.94483266666</v>
      </c>
    </row>
    <row r="86" spans="1:3" ht="12.75">
      <c r="A86" s="2">
        <v>41944</v>
      </c>
      <c r="C86" s="270">
        <f t="shared" si="8"/>
        <v>-70928.94483266666</v>
      </c>
    </row>
    <row r="87" spans="1:3" ht="12.75">
      <c r="A87" s="2">
        <v>41974</v>
      </c>
      <c r="C87" s="270">
        <f t="shared" si="8"/>
        <v>-70928.94483266666</v>
      </c>
    </row>
    <row r="88" spans="1:3" ht="12.75">
      <c r="A88" s="2">
        <v>42005</v>
      </c>
      <c r="C88" s="255">
        <f>$G$18/12</f>
        <v>185647.08691666668</v>
      </c>
    </row>
    <row r="89" spans="1:3" ht="12.75">
      <c r="A89" s="2">
        <v>42036</v>
      </c>
      <c r="C89" s="255">
        <f aca="true" t="shared" si="9" ref="C89:C99">$G$18/12</f>
        <v>185647.08691666668</v>
      </c>
    </row>
    <row r="90" spans="1:3" ht="12.75">
      <c r="A90" s="2">
        <v>42064</v>
      </c>
      <c r="C90" s="255">
        <f t="shared" si="9"/>
        <v>185647.08691666668</v>
      </c>
    </row>
    <row r="91" spans="1:3" ht="12.75">
      <c r="A91" s="2">
        <v>42095</v>
      </c>
      <c r="C91" s="255">
        <f t="shared" si="9"/>
        <v>185647.08691666668</v>
      </c>
    </row>
    <row r="92" spans="1:3" ht="12.75">
      <c r="A92" s="2">
        <v>42125</v>
      </c>
      <c r="C92" s="255">
        <f t="shared" si="9"/>
        <v>185647.08691666668</v>
      </c>
    </row>
    <row r="93" spans="1:3" ht="12.75">
      <c r="A93" s="2">
        <v>42156</v>
      </c>
      <c r="C93" s="255">
        <f t="shared" si="9"/>
        <v>185647.08691666668</v>
      </c>
    </row>
    <row r="94" spans="1:3" ht="12.75">
      <c r="A94" s="2">
        <v>42186</v>
      </c>
      <c r="C94" s="255">
        <f t="shared" si="9"/>
        <v>185647.08691666668</v>
      </c>
    </row>
    <row r="95" spans="1:3" ht="12.75">
      <c r="A95" s="2">
        <v>42217</v>
      </c>
      <c r="C95" s="255">
        <f t="shared" si="9"/>
        <v>185647.08691666668</v>
      </c>
    </row>
    <row r="96" spans="1:3" ht="12.75">
      <c r="A96" s="2">
        <v>42248</v>
      </c>
      <c r="C96" s="255">
        <f t="shared" si="9"/>
        <v>185647.08691666668</v>
      </c>
    </row>
    <row r="97" spans="1:3" ht="12.75">
      <c r="A97" s="2">
        <v>42278</v>
      </c>
      <c r="C97" s="255">
        <f t="shared" si="9"/>
        <v>185647.08691666668</v>
      </c>
    </row>
    <row r="98" spans="1:3" ht="12.75">
      <c r="A98" s="2">
        <v>42309</v>
      </c>
      <c r="C98" s="255">
        <f t="shared" si="9"/>
        <v>185647.08691666668</v>
      </c>
    </row>
    <row r="99" spans="1:3" ht="12.75">
      <c r="A99" s="2">
        <v>42339</v>
      </c>
      <c r="C99" s="255">
        <f t="shared" si="9"/>
        <v>185647.08691666668</v>
      </c>
    </row>
    <row r="100" spans="1:3" ht="12.75">
      <c r="A100" s="2">
        <v>42370</v>
      </c>
      <c r="C100" s="255">
        <f>$I$18/12</f>
        <v>168585.93775</v>
      </c>
    </row>
    <row r="101" spans="1:3" ht="12.75">
      <c r="A101" s="2">
        <v>42401</v>
      </c>
      <c r="C101" s="255">
        <f aca="true" t="shared" si="10" ref="C101:C111">$I$18/12</f>
        <v>168585.93775</v>
      </c>
    </row>
    <row r="102" spans="1:3" ht="12.75">
      <c r="A102" s="2">
        <v>42430</v>
      </c>
      <c r="C102" s="255">
        <f t="shared" si="10"/>
        <v>168585.93775</v>
      </c>
    </row>
    <row r="103" spans="1:3" ht="12.75">
      <c r="A103" s="2">
        <v>42461</v>
      </c>
      <c r="C103" s="255">
        <f t="shared" si="10"/>
        <v>168585.93775</v>
      </c>
    </row>
    <row r="104" spans="1:3" ht="12.75">
      <c r="A104" s="2">
        <v>42491</v>
      </c>
      <c r="C104" s="255">
        <f t="shared" si="10"/>
        <v>168585.93775</v>
      </c>
    </row>
    <row r="105" spans="1:3" ht="12.75">
      <c r="A105" s="2">
        <v>42522</v>
      </c>
      <c r="C105" s="255">
        <f t="shared" si="10"/>
        <v>168585.93775</v>
      </c>
    </row>
    <row r="106" spans="1:3" ht="12.75">
      <c r="A106" s="2">
        <v>42552</v>
      </c>
      <c r="C106" s="255">
        <f t="shared" si="10"/>
        <v>168585.93775</v>
      </c>
    </row>
    <row r="107" spans="1:3" ht="12.75">
      <c r="A107" s="2">
        <v>42583</v>
      </c>
      <c r="C107" s="255">
        <f t="shared" si="10"/>
        <v>168585.93775</v>
      </c>
    </row>
    <row r="108" spans="1:3" ht="12.75">
      <c r="A108" s="2">
        <v>42614</v>
      </c>
      <c r="C108" s="255">
        <f t="shared" si="10"/>
        <v>168585.93775</v>
      </c>
    </row>
    <row r="109" spans="1:3" ht="12.75">
      <c r="A109" s="2">
        <v>42644</v>
      </c>
      <c r="C109" s="255">
        <f t="shared" si="10"/>
        <v>168585.93775</v>
      </c>
    </row>
    <row r="110" spans="1:3" ht="12.75">
      <c r="A110" s="2">
        <v>42675</v>
      </c>
      <c r="C110" s="255">
        <f t="shared" si="10"/>
        <v>168585.93775</v>
      </c>
    </row>
    <row r="111" spans="1:3" ht="12.75">
      <c r="A111" s="2">
        <v>42705</v>
      </c>
      <c r="C111" s="255">
        <f t="shared" si="10"/>
        <v>168585.93775</v>
      </c>
    </row>
    <row r="112" spans="1:3" ht="12.75">
      <c r="A112" s="2">
        <v>42736</v>
      </c>
      <c r="C112" s="255">
        <f>$K$18/12</f>
        <v>147068.83816666665</v>
      </c>
    </row>
    <row r="113" spans="1:3" ht="12.75">
      <c r="A113" s="2">
        <v>42767</v>
      </c>
      <c r="C113" s="255">
        <f aca="true" t="shared" si="11" ref="C113:C123">$K$18/12</f>
        <v>147068.83816666665</v>
      </c>
    </row>
    <row r="114" spans="1:3" ht="12.75">
      <c r="A114" s="2">
        <v>42795</v>
      </c>
      <c r="C114" s="255">
        <f t="shared" si="11"/>
        <v>147068.83816666665</v>
      </c>
    </row>
    <row r="115" spans="1:3" ht="12.75">
      <c r="A115" s="2">
        <v>42826</v>
      </c>
      <c r="C115" s="255">
        <f t="shared" si="11"/>
        <v>147068.83816666665</v>
      </c>
    </row>
    <row r="116" spans="1:3" ht="12.75">
      <c r="A116" s="2">
        <v>42856</v>
      </c>
      <c r="C116" s="255">
        <f t="shared" si="11"/>
        <v>147068.83816666665</v>
      </c>
    </row>
    <row r="117" spans="1:3" ht="12.75">
      <c r="A117" s="2">
        <v>42887</v>
      </c>
      <c r="C117" s="255">
        <f t="shared" si="11"/>
        <v>147068.83816666665</v>
      </c>
    </row>
    <row r="118" spans="1:3" ht="12.75">
      <c r="A118" s="2">
        <v>42917</v>
      </c>
      <c r="C118" s="255">
        <f t="shared" si="11"/>
        <v>147068.83816666665</v>
      </c>
    </row>
    <row r="119" spans="1:3" ht="12.75">
      <c r="A119" s="2">
        <v>42948</v>
      </c>
      <c r="C119" s="255">
        <f t="shared" si="11"/>
        <v>147068.83816666665</v>
      </c>
    </row>
    <row r="120" spans="1:3" ht="12.75">
      <c r="A120" s="2">
        <v>42979</v>
      </c>
      <c r="C120" s="255">
        <f t="shared" si="11"/>
        <v>147068.83816666665</v>
      </c>
    </row>
    <row r="121" spans="1:3" ht="12.75">
      <c r="A121" s="2">
        <v>43009</v>
      </c>
      <c r="C121" s="255">
        <f t="shared" si="11"/>
        <v>147068.83816666665</v>
      </c>
    </row>
    <row r="122" spans="1:3" ht="12.75">
      <c r="A122" s="2">
        <v>43040</v>
      </c>
      <c r="C122" s="255">
        <f t="shared" si="11"/>
        <v>147068.83816666665</v>
      </c>
    </row>
    <row r="123" spans="1:3" ht="12.75">
      <c r="A123" s="2">
        <v>43070</v>
      </c>
      <c r="C123" s="255">
        <f t="shared" si="11"/>
        <v>147068.83816666665</v>
      </c>
    </row>
    <row r="124" spans="1:3" ht="12.75">
      <c r="A124" s="2">
        <v>43101</v>
      </c>
      <c r="C124" s="255">
        <f>$M$18/12</f>
        <v>127001.41500000002</v>
      </c>
    </row>
    <row r="125" spans="1:3" ht="12.75">
      <c r="A125" s="2">
        <v>43132</v>
      </c>
      <c r="C125" s="255">
        <f aca="true" t="shared" si="12" ref="C125:C135">$M$18/12</f>
        <v>127001.41500000002</v>
      </c>
    </row>
    <row r="126" spans="1:3" ht="12.75">
      <c r="A126" s="2">
        <v>43160</v>
      </c>
      <c r="C126" s="255">
        <f t="shared" si="12"/>
        <v>127001.41500000002</v>
      </c>
    </row>
    <row r="127" spans="1:3" ht="12.75">
      <c r="A127" s="2">
        <v>43191</v>
      </c>
      <c r="C127" s="255">
        <f t="shared" si="12"/>
        <v>127001.41500000002</v>
      </c>
    </row>
    <row r="128" spans="1:3" ht="12.75">
      <c r="A128" s="2">
        <v>43221</v>
      </c>
      <c r="C128" s="255">
        <f t="shared" si="12"/>
        <v>127001.41500000002</v>
      </c>
    </row>
    <row r="129" spans="1:3" ht="12.75">
      <c r="A129" s="2">
        <v>43252</v>
      </c>
      <c r="C129" s="255">
        <f t="shared" si="12"/>
        <v>127001.41500000002</v>
      </c>
    </row>
    <row r="130" spans="1:3" ht="12.75">
      <c r="A130" s="2">
        <v>43282</v>
      </c>
      <c r="C130" s="255">
        <f t="shared" si="12"/>
        <v>127001.41500000002</v>
      </c>
    </row>
    <row r="131" spans="1:3" ht="12.75">
      <c r="A131" s="2">
        <v>43313</v>
      </c>
      <c r="C131" s="255">
        <f t="shared" si="12"/>
        <v>127001.41500000002</v>
      </c>
    </row>
    <row r="132" spans="1:3" ht="12.75">
      <c r="A132" s="2">
        <v>43344</v>
      </c>
      <c r="C132" s="255">
        <f t="shared" si="12"/>
        <v>127001.41500000002</v>
      </c>
    </row>
    <row r="133" spans="1:3" ht="12.75">
      <c r="A133" s="2">
        <v>43374</v>
      </c>
      <c r="C133" s="255">
        <f t="shared" si="12"/>
        <v>127001.41500000002</v>
      </c>
    </row>
    <row r="134" spans="1:3" ht="12.75">
      <c r="A134" s="2">
        <v>43405</v>
      </c>
      <c r="C134" s="255">
        <f t="shared" si="12"/>
        <v>127001.41500000002</v>
      </c>
    </row>
    <row r="135" spans="1:3" ht="12.75">
      <c r="A135" s="2">
        <v>43435</v>
      </c>
      <c r="C135" s="255">
        <f t="shared" si="12"/>
        <v>127001.41500000002</v>
      </c>
    </row>
    <row r="136" spans="1:3" ht="12.75">
      <c r="A136" s="2">
        <v>43466</v>
      </c>
      <c r="C136" s="255">
        <f>$O$18/12</f>
        <v>127001.41500000002</v>
      </c>
    </row>
    <row r="137" spans="1:3" ht="12.75">
      <c r="A137" s="2">
        <v>43497</v>
      </c>
      <c r="C137" s="255">
        <f aca="true" t="shared" si="13" ref="C137:C147">$O$18/12</f>
        <v>127001.41500000002</v>
      </c>
    </row>
    <row r="138" spans="1:3" ht="12.75">
      <c r="A138" s="2">
        <v>43525</v>
      </c>
      <c r="C138" s="255">
        <f t="shared" si="13"/>
        <v>127001.41500000002</v>
      </c>
    </row>
    <row r="139" spans="1:3" ht="12.75">
      <c r="A139" s="2">
        <v>43556</v>
      </c>
      <c r="C139" s="255">
        <f t="shared" si="13"/>
        <v>127001.41500000002</v>
      </c>
    </row>
    <row r="140" spans="1:3" ht="12.75">
      <c r="A140" s="2">
        <v>43586</v>
      </c>
      <c r="C140" s="255">
        <f t="shared" si="13"/>
        <v>127001.41500000002</v>
      </c>
    </row>
    <row r="141" spans="1:3" ht="12.75">
      <c r="A141" s="2">
        <v>43617</v>
      </c>
      <c r="C141" s="255">
        <f t="shared" si="13"/>
        <v>127001.41500000002</v>
      </c>
    </row>
    <row r="142" spans="1:3" ht="12.75">
      <c r="A142" s="2">
        <v>43647</v>
      </c>
      <c r="C142" s="255">
        <f t="shared" si="13"/>
        <v>127001.41500000002</v>
      </c>
    </row>
    <row r="143" spans="1:3" ht="12.75">
      <c r="A143" s="2">
        <v>43678</v>
      </c>
      <c r="C143" s="255">
        <f t="shared" si="13"/>
        <v>127001.41500000002</v>
      </c>
    </row>
    <row r="144" spans="1:3" ht="12.75">
      <c r="A144" s="2">
        <v>43709</v>
      </c>
      <c r="C144" s="255">
        <f t="shared" si="13"/>
        <v>127001.41500000002</v>
      </c>
    </row>
    <row r="145" spans="1:3" ht="12.75">
      <c r="A145" s="2">
        <v>43739</v>
      </c>
      <c r="C145" s="255">
        <f t="shared" si="13"/>
        <v>127001.41500000002</v>
      </c>
    </row>
    <row r="146" spans="1:3" ht="12.75">
      <c r="A146" s="2">
        <v>43770</v>
      </c>
      <c r="C146" s="255">
        <f t="shared" si="13"/>
        <v>127001.41500000002</v>
      </c>
    </row>
    <row r="147" spans="1:3" ht="12.75">
      <c r="A147" s="2">
        <v>43800</v>
      </c>
      <c r="C147" s="255">
        <f t="shared" si="13"/>
        <v>127001.41500000002</v>
      </c>
    </row>
    <row r="148" ht="12.75">
      <c r="C148" s="272">
        <f>SUM(C64:C147)</f>
        <v>7355788.688016</v>
      </c>
    </row>
    <row r="150" spans="2:3" ht="12.75">
      <c r="B150" t="s">
        <v>247</v>
      </c>
      <c r="C150" s="270">
        <f>C60+E60+G18+I18+K18+M18+O18</f>
        <v>7355788.688016001</v>
      </c>
    </row>
    <row r="151" spans="2:3" ht="12.75">
      <c r="B151" t="s">
        <v>45</v>
      </c>
      <c r="C151" s="270">
        <f>C148-C150</f>
        <v>0</v>
      </c>
    </row>
  </sheetData>
  <sheetProtection/>
  <printOptions/>
  <pageMargins left="0.7" right="0.7" top="0.75" bottom="0.75" header="0.3" footer="0.3"/>
  <pageSetup fitToHeight="5" fitToWidth="1" horizontalDpi="600" verticalDpi="600" orientation="portrait"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Bacon</dc:creator>
  <cp:keywords/>
  <dc:description/>
  <cp:lastModifiedBy>NPEI</cp:lastModifiedBy>
  <cp:lastPrinted>2020-11-17T20:11:52Z</cp:lastPrinted>
  <dcterms:created xsi:type="dcterms:W3CDTF">2008-02-06T18:24:44Z</dcterms:created>
  <dcterms:modified xsi:type="dcterms:W3CDTF">2020-11-19T00:30:46Z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307958618</vt:i4>
  </property>
  <property fmtid="{D5CDD505-2E9C-101B-9397-08002B2CF9AE}" pid="3" name="_EmailSubject">
    <vt:lpwstr>Follow-Up - London Hydro Rate Application</vt:lpwstr>
  </property>
  <property fmtid="{D5CDD505-2E9C-101B-9397-08002B2CF9AE}" pid="4" name="_AuthorEmail">
    <vt:lpwstr>cascians@LondonHydro.com</vt:lpwstr>
  </property>
  <property fmtid="{D5CDD505-2E9C-101B-9397-08002B2CF9AE}" pid="5" name="_AuthorEmailDisplayName">
    <vt:lpwstr>Casciano, Susan</vt:lpwstr>
  </property>
  <property fmtid="{D5CDD505-2E9C-101B-9397-08002B2CF9AE}" pid="6" name="DM_Links_Updated">
    <vt:bool>true</vt:bool>
  </property>
  <property fmtid="{D5CDD505-2E9C-101B-9397-08002B2CF9AE}" pid="7" name="_ReviewingToolsShownOnce">
    <vt:lpwstr/>
  </property>
</Properties>
</file>