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12. Jessy Serrao\Cases\2020 cases\EB-2020-0249 PUC smart grid\"/>
    </mc:Choice>
  </mc:AlternateContent>
  <xr:revisionPtr revIDLastSave="0" documentId="8_{70F12619-AF81-4291-977F-A6CA06D3A3CA}" xr6:coauthVersionLast="45" xr6:coauthVersionMax="45" xr10:uidLastSave="{00000000-0000-0000-0000-000000000000}"/>
  <bookViews>
    <workbookView xWindow="-120" yWindow="-120" windowWidth="29040" windowHeight="17640" xr2:uid="{DDA5DA58-54CB-4805-948B-43CC5B9EEF3A}"/>
  </bookViews>
  <sheets>
    <sheet name="2019_2022 COP Forecast " sheetId="1" r:id="rId1"/>
    <sheet name="IESO reference" sheetId="2" r:id="rId2"/>
  </sheets>
  <externalReferences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1" i="1" l="1"/>
  <c r="E80" i="1"/>
  <c r="E79" i="1"/>
  <c r="E78" i="1"/>
  <c r="C77" i="1"/>
  <c r="E77" i="1" s="1"/>
  <c r="G77" i="1" s="1"/>
  <c r="C76" i="1"/>
  <c r="E76" i="1" s="1"/>
  <c r="D71" i="1"/>
  <c r="D70" i="1"/>
  <c r="D69" i="1"/>
  <c r="D68" i="1"/>
  <c r="D67" i="1"/>
  <c r="D66" i="1"/>
  <c r="R61" i="1"/>
  <c r="I61" i="1"/>
  <c r="F61" i="1"/>
  <c r="R60" i="1"/>
  <c r="F60" i="1"/>
  <c r="R59" i="1"/>
  <c r="F59" i="1"/>
  <c r="R58" i="1"/>
  <c r="F58" i="1"/>
  <c r="R57" i="1"/>
  <c r="F57" i="1"/>
  <c r="R56" i="1"/>
  <c r="F56" i="1"/>
  <c r="D51" i="1"/>
  <c r="D50" i="1"/>
  <c r="D49" i="1"/>
  <c r="D48" i="1"/>
  <c r="D47" i="1"/>
  <c r="D46" i="1"/>
  <c r="I41" i="1"/>
  <c r="F31" i="1"/>
  <c r="D31" i="1"/>
  <c r="F30" i="1"/>
  <c r="D30" i="1"/>
  <c r="F29" i="1"/>
  <c r="D29" i="1"/>
  <c r="F28" i="1"/>
  <c r="D28" i="1"/>
  <c r="F27" i="1"/>
  <c r="D27" i="1"/>
  <c r="R26" i="1"/>
  <c r="S26" i="1" s="1"/>
  <c r="T26" i="1" s="1"/>
  <c r="U26" i="1" s="1"/>
  <c r="F26" i="1"/>
  <c r="D26" i="1"/>
  <c r="I21" i="1"/>
  <c r="B21" i="1"/>
  <c r="B31" i="1" s="1"/>
  <c r="B41" i="1" s="1"/>
  <c r="B51" i="1" s="1"/>
  <c r="B61" i="1" s="1"/>
  <c r="B71" i="1" s="1"/>
  <c r="B81" i="1" s="1"/>
  <c r="B20" i="1"/>
  <c r="B30" i="1" s="1"/>
  <c r="B40" i="1" s="1"/>
  <c r="B50" i="1" s="1"/>
  <c r="B60" i="1" s="1"/>
  <c r="B70" i="1" s="1"/>
  <c r="B80" i="1" s="1"/>
  <c r="B18" i="1"/>
  <c r="B28" i="1" s="1"/>
  <c r="B38" i="1" s="1"/>
  <c r="B48" i="1" s="1"/>
  <c r="B58" i="1" s="1"/>
  <c r="B68" i="1" s="1"/>
  <c r="B78" i="1" s="1"/>
  <c r="F17" i="1"/>
  <c r="F18" i="1" s="1"/>
  <c r="F19" i="1" s="1"/>
  <c r="F20" i="1" s="1"/>
  <c r="F21" i="1" s="1"/>
  <c r="B17" i="1"/>
  <c r="B27" i="1" s="1"/>
  <c r="B37" i="1" s="1"/>
  <c r="B47" i="1" s="1"/>
  <c r="B57" i="1" s="1"/>
  <c r="B67" i="1" s="1"/>
  <c r="B77" i="1" s="1"/>
  <c r="R16" i="1"/>
  <c r="S16" i="1" s="1"/>
  <c r="T16" i="1" s="1"/>
  <c r="U16" i="1" s="1"/>
  <c r="F16" i="1"/>
  <c r="B16" i="1"/>
  <c r="B26" i="1" s="1"/>
  <c r="B36" i="1" s="1"/>
  <c r="B46" i="1" s="1"/>
  <c r="B56" i="1" s="1"/>
  <c r="B66" i="1" s="1"/>
  <c r="B76" i="1" s="1"/>
  <c r="C10" i="1"/>
  <c r="D9" i="1"/>
  <c r="E40" i="1" s="1"/>
  <c r="C9" i="1"/>
  <c r="D8" i="1"/>
  <c r="E39" i="1" s="1"/>
  <c r="C8" i="1"/>
  <c r="D7" i="1"/>
  <c r="E38" i="1" s="1"/>
  <c r="C7" i="1"/>
  <c r="C6" i="1"/>
  <c r="C17" i="1" s="1"/>
  <c r="E17" i="1" s="1"/>
  <c r="C5" i="1"/>
  <c r="C16" i="1" s="1"/>
  <c r="D11" i="1" l="1"/>
  <c r="C21" i="1"/>
  <c r="E21" i="1" s="1"/>
  <c r="E82" i="1"/>
  <c r="C93" i="1" s="1"/>
  <c r="G76" i="1"/>
  <c r="E50" i="1"/>
  <c r="G50" i="1" s="1"/>
  <c r="G40" i="1"/>
  <c r="G17" i="1"/>
  <c r="I89" i="1" s="1"/>
  <c r="G39" i="1"/>
  <c r="E49" i="1"/>
  <c r="G49" i="1" s="1"/>
  <c r="E16" i="1"/>
  <c r="G21" i="1"/>
  <c r="E48" i="1"/>
  <c r="G48" i="1" s="1"/>
  <c r="G38" i="1"/>
  <c r="C18" i="1"/>
  <c r="E18" i="1" s="1"/>
  <c r="C26" i="1"/>
  <c r="C11" i="1"/>
  <c r="C20" i="1"/>
  <c r="E20" i="1" s="1"/>
  <c r="C27" i="1"/>
  <c r="E27" i="1" s="1"/>
  <c r="G27" i="1" s="1"/>
  <c r="C19" i="1"/>
  <c r="E19" i="1" s="1"/>
  <c r="C82" i="1"/>
  <c r="I87" i="1"/>
  <c r="C28" i="1" l="1"/>
  <c r="E28" i="1" s="1"/>
  <c r="G28" i="1" s="1"/>
  <c r="C30" i="1"/>
  <c r="E30" i="1" s="1"/>
  <c r="G30" i="1" s="1"/>
  <c r="C31" i="1"/>
  <c r="E31" i="1" s="1"/>
  <c r="G18" i="1"/>
  <c r="I90" i="1" s="1"/>
  <c r="E58" i="1"/>
  <c r="G16" i="1"/>
  <c r="E22" i="1"/>
  <c r="E59" i="1"/>
  <c r="G19" i="1"/>
  <c r="I86" i="1" s="1"/>
  <c r="C22" i="1"/>
  <c r="C29" i="1"/>
  <c r="E29" i="1" s="1"/>
  <c r="G29" i="1" s="1"/>
  <c r="G20" i="1"/>
  <c r="I85" i="1" s="1"/>
  <c r="E60" i="1"/>
  <c r="E57" i="1"/>
  <c r="E26" i="1"/>
  <c r="E56" i="1" s="1"/>
  <c r="E37" i="1"/>
  <c r="C32" i="1" l="1"/>
  <c r="E41" i="1"/>
  <c r="E61" i="1"/>
  <c r="G31" i="1"/>
  <c r="E68" i="1"/>
  <c r="G68" i="1" s="1"/>
  <c r="G58" i="1"/>
  <c r="I93" i="1" s="1"/>
  <c r="G56" i="1"/>
  <c r="E62" i="1"/>
  <c r="E66" i="1"/>
  <c r="G26" i="1"/>
  <c r="E32" i="1"/>
  <c r="G57" i="1"/>
  <c r="I92" i="1" s="1"/>
  <c r="E67" i="1"/>
  <c r="G67" i="1" s="1"/>
  <c r="G59" i="1"/>
  <c r="E69" i="1"/>
  <c r="G69" i="1" s="1"/>
  <c r="E70" i="1"/>
  <c r="G70" i="1" s="1"/>
  <c r="G60" i="1"/>
  <c r="I94" i="1" s="1"/>
  <c r="E36" i="1"/>
  <c r="G37" i="1"/>
  <c r="E47" i="1"/>
  <c r="G47" i="1" s="1"/>
  <c r="G22" i="1"/>
  <c r="I88" i="1"/>
  <c r="G61" i="1" l="1"/>
  <c r="E71" i="1"/>
  <c r="G71" i="1" s="1"/>
  <c r="G32" i="1"/>
  <c r="E51" i="1"/>
  <c r="G51" i="1" s="1"/>
  <c r="G41" i="1"/>
  <c r="G62" i="1"/>
  <c r="C88" i="1" s="1"/>
  <c r="D88" i="1" s="1"/>
  <c r="E88" i="1" s="1"/>
  <c r="F88" i="1" s="1"/>
  <c r="I91" i="1"/>
  <c r="E72" i="1"/>
  <c r="G66" i="1"/>
  <c r="G36" i="1"/>
  <c r="E46" i="1"/>
  <c r="G46" i="1" s="1"/>
  <c r="C87" i="1"/>
  <c r="G52" i="1" l="1"/>
  <c r="C90" i="1" s="1"/>
  <c r="G42" i="1"/>
  <c r="C89" i="1" s="1"/>
  <c r="C94" i="1" s="1"/>
  <c r="G72" i="1"/>
  <c r="C91" i="1" s="1"/>
  <c r="D87" i="1"/>
  <c r="D94" i="1" l="1"/>
  <c r="E87" i="1"/>
  <c r="E94" i="1" l="1"/>
  <c r="F87" i="1"/>
  <c r="F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Belsito</author>
    <author>Danielle Tonucci</author>
    <author>tc={F6414468-2FA6-44A1-BD27-0EBE63430DA8}</author>
  </authors>
  <commentList>
    <comment ref="F16" authorId="0" shapeId="0" xr:uid="{572F0214-0428-4568-86F6-2E7B467A4512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OEB Website -&gt; Quick Links -&gt; RPP -&gt; Oct 16-14 RPP Price Report -&gt; Table ES-1 page 3 -&gt; give How to calculate RPP - divide by 1000
</t>
        </r>
        <r>
          <rPr>
            <b/>
            <sz val="9"/>
            <color indexed="81"/>
            <rFont val="Tahoma"/>
            <family val="2"/>
          </rPr>
          <t>Note (update): -</t>
        </r>
        <r>
          <rPr>
            <sz val="9"/>
            <color indexed="81"/>
            <rFont val="Tahoma"/>
            <family val="2"/>
          </rPr>
          <t xml:space="preserve"> 2019- now called the RPP Supply Cost Report.</t>
        </r>
      </text>
    </comment>
    <comment ref="F26" authorId="0" shapeId="0" xr:uid="{0B0E4C3F-E375-4A0C-AC5E-2044729BCB4A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Non-RPP is Forecast Wholesale Electricity Price + Impact on Global Adj then divide by 1000
</t>
        </r>
        <r>
          <rPr>
            <b/>
            <sz val="9"/>
            <color indexed="81"/>
            <rFont val="Tahoma"/>
            <family val="2"/>
          </rPr>
          <t xml:space="preserve">Note (update):
</t>
        </r>
        <r>
          <rPr>
            <sz val="9"/>
            <color indexed="81"/>
            <rFont val="Tahoma"/>
            <family val="2"/>
          </rPr>
          <t>Both come from the RPP Supply Cost Report</t>
        </r>
      </text>
    </comment>
    <comment ref="F36" authorId="1" shapeId="0" xr:uid="{2159AFD2-E953-421D-84CB-618D45FEB7FF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Get rates from the approved/proposed Tarriff of rates</t>
        </r>
      </text>
    </comment>
    <comment ref="F56" authorId="1" shapeId="0" xr:uid="{FFA0CDB6-9A40-4D49-839C-3E8B6058B6DB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Get rates from the approved/proposed Tarriff of rates</t>
        </r>
      </text>
    </comment>
    <comment ref="F66" authorId="1" shapeId="0" xr:uid="{73B47CF0-8DEE-4350-B0E0-1121F5C4F9D2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Get rates from the approved/proposed Tarriff of rates</t>
        </r>
      </text>
    </comment>
    <comment ref="E72" authorId="2" shapeId="0" xr:uid="{F6414468-2FA6-44A1-BD27-0EBE63430DA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loss factors</t>
      </text>
    </comment>
    <comment ref="D76" authorId="1" shapeId="0" xr:uid="{F7803D0F-13BA-44CA-B431-2EA3FFFE415A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Get rates from the approved/proposed Tarriff of rates</t>
        </r>
      </text>
    </comment>
  </commentList>
</comments>
</file>

<file path=xl/sharedStrings.xml><?xml version="1.0" encoding="utf-8"?>
<sst xmlns="http://schemas.openxmlformats.org/spreadsheetml/2006/main" count="125" uniqueCount="57">
  <si>
    <t>Cost of Power 2019</t>
  </si>
  <si>
    <t>2018 Load Forecast</t>
  </si>
  <si>
    <t>kWh</t>
  </si>
  <si>
    <t>kW</t>
  </si>
  <si>
    <t>2018 %RPP</t>
  </si>
  <si>
    <t xml:space="preserve">Residential </t>
  </si>
  <si>
    <t>General Service &lt; 50 kW</t>
  </si>
  <si>
    <t>General Service 50 to 4,999 kW</t>
  </si>
  <si>
    <t>Sentinel Lights</t>
  </si>
  <si>
    <t>Street Lights</t>
  </si>
  <si>
    <t xml:space="preserve">Unmetered Loads </t>
  </si>
  <si>
    <t>TOTAL</t>
  </si>
  <si>
    <t>Electricity - Commodity RPP</t>
  </si>
  <si>
    <t>2018 Forecasted Metered kWhs</t>
  </si>
  <si>
    <t>2018  Loss Factor</t>
  </si>
  <si>
    <t>Class per Load Forecast RPP</t>
  </si>
  <si>
    <t>2019 Rates</t>
  </si>
  <si>
    <t>2018 Rates</t>
  </si>
  <si>
    <t>1 4055.92.5232</t>
  </si>
  <si>
    <t>1 4055.92.5233</t>
  </si>
  <si>
    <t>1 4055.92.5234</t>
  </si>
  <si>
    <t>1 4030.92.5217</t>
  </si>
  <si>
    <t>1 4025.92.5214</t>
  </si>
  <si>
    <t>Electricity - Commodity Non-RPP</t>
  </si>
  <si>
    <t>2017  Loss Factor</t>
  </si>
  <si>
    <t>Class per Load Forecast</t>
  </si>
  <si>
    <t>Transmission - Network</t>
  </si>
  <si>
    <t>Volume</t>
  </si>
  <si>
    <t>Metric</t>
  </si>
  <si>
    <t>1 4066.92.5246</t>
  </si>
  <si>
    <t>1 4066.92.5247</t>
  </si>
  <si>
    <t>1 4066.92.5248</t>
  </si>
  <si>
    <t>1 4066.92.5250</t>
  </si>
  <si>
    <t>1 4066.92.5249</t>
  </si>
  <si>
    <t>Transmission - Connection</t>
  </si>
  <si>
    <t>No TX Connection</t>
  </si>
  <si>
    <t>Wholesale Market Service</t>
  </si>
  <si>
    <t>1 4062.92.5239</t>
  </si>
  <si>
    <t>1 4062.92.5240</t>
  </si>
  <si>
    <t>1 4062.92.5241</t>
  </si>
  <si>
    <t>1 4062.92.5243</t>
  </si>
  <si>
    <t>1 4062.92.5242</t>
  </si>
  <si>
    <t>Rural Rate Assistance</t>
  </si>
  <si>
    <t>Smart Meter Entity Charge</t>
  </si>
  <si>
    <t>Customers</t>
  </si>
  <si>
    <t>1 4076.92.5266</t>
  </si>
  <si>
    <t>1 4076.92.5267</t>
  </si>
  <si>
    <t>4705-Power Purchased</t>
  </si>
  <si>
    <t>1.5% annual</t>
  </si>
  <si>
    <t>1 4035.92.5227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</si>
  <si>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</si>
  <si>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</si>
  <si>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</si>
  <si>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</si>
  <si>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</si>
  <si>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4751 - Smart Metering Entity charge</t>
  </si>
  <si>
    <t>https://www.oeb.ca/sites/default/files/RPP-Supply-Cost-Report-20190501-20200430.pdf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</si>
</sst>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164" formatCode="_-* #,##0.00_-;\-* #,##0.00_-;_-* &quot;-&quot;??_-;_-@_-"/>
    <numFmt numFmtId="165" formatCode="#,##0.0000_);\(#,##0.0000\)"/>
    <numFmt numFmtId="166" formatCode="_(* #,##0_);_(* \(#,##0\);_(* &quot;-&quot;??_);_(@_)"/>
    <numFmt numFmtId="167" formatCode="&quot;$&quot;#,##0.00000_);\(&quot;$&quot;#,##0.00000\)"/>
    <numFmt numFmtId="168" formatCode="&quot;$&quot;#,##0.00000"/>
    <numFmt numFmtId="169" formatCode="#,##0.00000_);\(#,##0.00000\)"/>
    <numFmt numFmtId="170" formatCode="&quot;$&quot;#,##0.0000_);\(&quot;$&quot;#,##0.0000\)"/>
    <numFmt numFmtId="171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B0F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90">
    <xf numFmtId="0" fontId="0" fillId="0" borderId="0" xfId="0"/>
    <xf numFmtId="0" fontId="3" fillId="0" borderId="4" xfId="0" quotePrefix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3" fontId="4" fillId="0" borderId="5" xfId="0" quotePrefix="1" applyNumberFormat="1" applyFont="1" applyBorder="1" applyAlignment="1">
      <alignment horizontal="left"/>
    </xf>
    <xf numFmtId="0" fontId="2" fillId="0" borderId="5" xfId="0" applyFont="1" applyBorder="1" applyAlignment="1">
      <alignment horizontal="left" indent="1"/>
    </xf>
    <xf numFmtId="37" fontId="2" fillId="0" borderId="5" xfId="0" applyNumberFormat="1" applyFont="1" applyBorder="1"/>
    <xf numFmtId="0" fontId="3" fillId="4" borderId="5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5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167" fontId="5" fillId="3" borderId="4" xfId="0" applyNumberFormat="1" applyFont="1" applyFill="1" applyBorder="1"/>
    <xf numFmtId="0" fontId="4" fillId="0" borderId="0" xfId="0" applyFont="1"/>
    <xf numFmtId="167" fontId="5" fillId="3" borderId="5" xfId="0" applyNumberFormat="1" applyFont="1" applyFill="1" applyBorder="1"/>
    <xf numFmtId="0" fontId="2" fillId="0" borderId="5" xfId="0" applyFont="1" applyBorder="1"/>
    <xf numFmtId="169" fontId="5" fillId="0" borderId="5" xfId="0" applyNumberFormat="1" applyFont="1" applyBorder="1"/>
    <xf numFmtId="5" fontId="2" fillId="0" borderId="5" xfId="0" applyNumberFormat="1" applyFont="1" applyBorder="1"/>
    <xf numFmtId="0" fontId="2" fillId="0" borderId="0" xfId="0" applyFont="1" applyAlignment="1">
      <alignment horizontal="left" indent="1"/>
    </xf>
    <xf numFmtId="37" fontId="2" fillId="0" borderId="0" xfId="0" applyNumberFormat="1" applyFont="1"/>
    <xf numFmtId="0" fontId="2" fillId="0" borderId="0" xfId="0" applyFont="1"/>
    <xf numFmtId="5" fontId="2" fillId="0" borderId="0" xfId="0" applyNumberFormat="1" applyFont="1"/>
    <xf numFmtId="0" fontId="2" fillId="4" borderId="12" xfId="0" applyFont="1" applyFill="1" applyBorder="1" applyAlignment="1">
      <alignment horizontal="center"/>
    </xf>
    <xf numFmtId="0" fontId="3" fillId="4" borderId="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70" fontId="5" fillId="3" borderId="5" xfId="0" applyNumberFormat="1" applyFont="1" applyFill="1" applyBorder="1"/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6" xfId="0" applyFont="1" applyFill="1" applyBorder="1"/>
    <xf numFmtId="170" fontId="7" fillId="3" borderId="5" xfId="0" applyNumberFormat="1" applyFont="1" applyFill="1" applyBorder="1"/>
    <xf numFmtId="0" fontId="2" fillId="4" borderId="17" xfId="0" applyFont="1" applyFill="1" applyBorder="1" applyAlignment="1">
      <alignment horizontal="center"/>
    </xf>
    <xf numFmtId="0" fontId="4" fillId="0" borderId="14" xfId="0" applyFont="1" applyBorder="1"/>
    <xf numFmtId="0" fontId="2" fillId="0" borderId="18" xfId="0" applyFont="1" applyBorder="1"/>
    <xf numFmtId="0" fontId="6" fillId="0" borderId="15" xfId="3" applyFont="1" applyBorder="1" applyAlignment="1">
      <alignment wrapText="1"/>
    </xf>
    <xf numFmtId="0" fontId="10" fillId="0" borderId="0" xfId="0" applyFont="1"/>
    <xf numFmtId="3" fontId="10" fillId="0" borderId="5" xfId="0" applyNumberFormat="1" applyFont="1" applyBorder="1"/>
    <xf numFmtId="37" fontId="10" fillId="2" borderId="5" xfId="0" applyNumberFormat="1" applyFont="1" applyFill="1" applyBorder="1"/>
    <xf numFmtId="165" fontId="10" fillId="0" borderId="5" xfId="0" applyNumberFormat="1" applyFont="1" applyBorder="1"/>
    <xf numFmtId="10" fontId="10" fillId="3" borderId="5" xfId="2" applyNumberFormat="1" applyFont="1" applyFill="1" applyBorder="1"/>
    <xf numFmtId="37" fontId="10" fillId="0" borderId="5" xfId="0" applyNumberFormat="1" applyFont="1" applyBorder="1"/>
    <xf numFmtId="166" fontId="10" fillId="0" borderId="5" xfId="1" applyNumberFormat="1" applyFont="1" applyBorder="1"/>
    <xf numFmtId="3" fontId="10" fillId="0" borderId="0" xfId="0" applyNumberFormat="1" applyFont="1"/>
    <xf numFmtId="10" fontId="10" fillId="0" borderId="0" xfId="2" applyNumberFormat="1" applyFont="1"/>
    <xf numFmtId="10" fontId="10" fillId="0" borderId="0" xfId="0" applyNumberFormat="1" applyFont="1"/>
    <xf numFmtId="3" fontId="10" fillId="0" borderId="14" xfId="0" applyNumberFormat="1" applyFont="1" applyBorder="1"/>
    <xf numFmtId="165" fontId="10" fillId="3" borderId="5" xfId="0" applyNumberFormat="1" applyFont="1" applyFill="1" applyBorder="1"/>
    <xf numFmtId="37" fontId="10" fillId="0" borderId="4" xfId="0" applyNumberFormat="1" applyFont="1" applyBorder="1"/>
    <xf numFmtId="5" fontId="10" fillId="0" borderId="4" xfId="0" applyNumberFormat="1" applyFont="1" applyBorder="1"/>
    <xf numFmtId="168" fontId="10" fillId="0" borderId="0" xfId="0" applyNumberFormat="1" applyFont="1"/>
    <xf numFmtId="5" fontId="10" fillId="0" borderId="5" xfId="0" applyNumberFormat="1" applyFont="1" applyBorder="1"/>
    <xf numFmtId="7" fontId="10" fillId="0" borderId="0" xfId="0" applyNumberFormat="1" applyFont="1"/>
    <xf numFmtId="169" fontId="10" fillId="0" borderId="0" xfId="0" applyNumberFormat="1" applyFont="1"/>
    <xf numFmtId="167" fontId="10" fillId="3" borderId="5" xfId="0" applyNumberFormat="1" applyFont="1" applyFill="1" applyBorder="1"/>
    <xf numFmtId="169" fontId="10" fillId="0" borderId="5" xfId="0" applyNumberFormat="1" applyFont="1" applyBorder="1"/>
    <xf numFmtId="3" fontId="10" fillId="0" borderId="10" xfId="0" applyNumberFormat="1" applyFont="1" applyBorder="1"/>
    <xf numFmtId="165" fontId="10" fillId="0" borderId="5" xfId="0" applyNumberFormat="1" applyFont="1" applyBorder="1" applyAlignment="1">
      <alignment horizontal="center"/>
    </xf>
    <xf numFmtId="170" fontId="10" fillId="3" borderId="5" xfId="0" applyNumberFormat="1" applyFont="1" applyFill="1" applyBorder="1"/>
    <xf numFmtId="5" fontId="10" fillId="0" borderId="0" xfId="0" applyNumberFormat="1" applyFont="1"/>
    <xf numFmtId="37" fontId="10" fillId="0" borderId="0" xfId="0" applyNumberFormat="1" applyFont="1"/>
    <xf numFmtId="0" fontId="10" fillId="4" borderId="7" xfId="0" applyFont="1" applyFill="1" applyBorder="1"/>
    <xf numFmtId="164" fontId="10" fillId="0" borderId="0" xfId="1" applyFont="1"/>
    <xf numFmtId="0" fontId="10" fillId="0" borderId="7" xfId="0" applyFont="1" applyBorder="1"/>
    <xf numFmtId="37" fontId="10" fillId="0" borderId="6" xfId="0" applyNumberFormat="1" applyFont="1" applyBorder="1"/>
    <xf numFmtId="0" fontId="10" fillId="0" borderId="14" xfId="0" applyFont="1" applyBorder="1"/>
    <xf numFmtId="5" fontId="10" fillId="0" borderId="10" xfId="0" applyNumberFormat="1" applyFont="1" applyBorder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17" xfId="0" applyFont="1" applyFill="1" applyBorder="1"/>
    <xf numFmtId="171" fontId="10" fillId="0" borderId="11" xfId="0" applyNumberFormat="1" applyFont="1" applyBorder="1"/>
    <xf numFmtId="171" fontId="10" fillId="0" borderId="12" xfId="0" applyNumberFormat="1" applyFont="1" applyBorder="1"/>
    <xf numFmtId="171" fontId="11" fillId="0" borderId="13" xfId="0" applyNumberFormat="1" applyFont="1" applyBorder="1"/>
    <xf numFmtId="0" fontId="10" fillId="0" borderId="6" xfId="0" applyFont="1" applyBorder="1"/>
    <xf numFmtId="171" fontId="10" fillId="0" borderId="10" xfId="0" applyNumberFormat="1" applyFont="1" applyBorder="1"/>
    <xf numFmtId="0" fontId="2" fillId="0" borderId="1" xfId="0" quotePrefix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4" borderId="6" xfId="0" quotePrefix="1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7" xfId="0" quotePrefix="1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3" xr:uid="{C6EC7A2F-2857-4873-A330-58F4F2FCC6F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28576</xdr:rowOff>
    </xdr:from>
    <xdr:to>
      <xdr:col>20</xdr:col>
      <xdr:colOff>581025</xdr:colOff>
      <xdr:row>7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AFF35-5132-415C-8605-B8649A78FA76}"/>
            </a:ext>
          </a:extLst>
        </xdr:cNvPr>
        <xdr:cNvSpPr txBox="1"/>
      </xdr:nvSpPr>
      <xdr:spPr>
        <a:xfrm>
          <a:off x="5029200" y="28576"/>
          <a:ext cx="4924425" cy="1247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>
              <a:solidFill>
                <a:srgbClr val="FF0000"/>
              </a:solidFill>
            </a:rPr>
            <a:t>This spreadsheet was adapted from The 2018 CoS models.. The 2019 Cost of Power forecast $88,047,744 for internal budget was used as the updated input to the SSG energy savings calculation speadsheet. </a:t>
          </a:r>
        </a:p>
        <a:p>
          <a:r>
            <a:rPr lang="en-CA" sz="1100" b="1">
              <a:solidFill>
                <a:srgbClr val="FF0000"/>
              </a:solidFill>
            </a:rPr>
            <a:t>Customer</a:t>
          </a:r>
          <a:r>
            <a:rPr lang="en-CA" sz="1100" b="1" baseline="0">
              <a:solidFill>
                <a:srgbClr val="FF0000"/>
              </a:solidFill>
            </a:rPr>
            <a:t> savings will actually be even greater when SSG goes in to service in 2022 as there will likely be some inflation cost increase to market prices. If this was a 1.5% annual the CoP would be ~$91.87M.</a:t>
          </a:r>
          <a:endParaRPr lang="en-CA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142875</xdr:rowOff>
    </xdr:from>
    <xdr:to>
      <xdr:col>7</xdr:col>
      <xdr:colOff>532954</xdr:colOff>
      <xdr:row>18</xdr:row>
      <xdr:rowOff>161518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B3986E-339A-414B-B4D4-E4B2863D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333375"/>
          <a:ext cx="3571429" cy="3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20</xdr:row>
      <xdr:rowOff>19050</xdr:rowOff>
    </xdr:from>
    <xdr:to>
      <xdr:col>8</xdr:col>
      <xdr:colOff>123274</xdr:colOff>
      <xdr:row>29</xdr:row>
      <xdr:rowOff>66455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7CF541-3FD4-4AAE-919C-5FD9B74FF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3829050"/>
          <a:ext cx="4409524" cy="17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%20PUC%20Core%20Utility%20Files\0100%20Admin%20General\0106.0%20Inititiatives\PUCD%20UDM%20Microgrid\OEB%20ICM\Revised%20Application\2022%20COP%20Forecast%20from%20PUC%20Load%20Forecast%20Model%20Settl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Purchased Power Model"/>
      <sheetName val="Purchased Power Model WN"/>
      <sheetName val="Rate Class Energy Model"/>
      <sheetName val="Rate Class Customer Model"/>
      <sheetName val="Rate Class Load Model"/>
      <sheetName val="CDM Activity"/>
      <sheetName val="Weather Analysis "/>
      <sheetName val="2020_2022 COP Forecast"/>
    </sheetNames>
    <sheetDataSet>
      <sheetData sheetId="0"/>
      <sheetData sheetId="1">
        <row r="15">
          <cell r="Q15">
            <v>288323799.46511424</v>
          </cell>
        </row>
        <row r="19">
          <cell r="Q19">
            <v>92411463.464096531</v>
          </cell>
        </row>
        <row r="23">
          <cell r="Q23">
            <v>244620598.32809162</v>
          </cell>
        </row>
        <row r="24">
          <cell r="Q24">
            <v>614742.9003718762</v>
          </cell>
        </row>
        <row r="28">
          <cell r="Q28">
            <v>209800.13099560147</v>
          </cell>
        </row>
        <row r="29">
          <cell r="Q29">
            <v>592.51480879014923</v>
          </cell>
        </row>
        <row r="33">
          <cell r="Q33">
            <v>2398221.2999999998</v>
          </cell>
        </row>
        <row r="34">
          <cell r="Q34">
            <v>7030.1</v>
          </cell>
        </row>
        <row r="38">
          <cell r="Q38">
            <v>944731.43889360514</v>
          </cell>
        </row>
      </sheetData>
      <sheetData sheetId="2"/>
      <sheetData sheetId="3"/>
      <sheetData sheetId="4"/>
      <sheetData sheetId="5">
        <row r="19">
          <cell r="B19">
            <v>29815.501606131944</v>
          </cell>
          <cell r="C19">
            <v>3430.7641919188468</v>
          </cell>
        </row>
      </sheetData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nielle Tonucci" id="{156AFF2D-A72B-47E4-9D4E-5316A2339BBE}" userId="S::danielle.tonucci@ssmpuc.com::15701f68-5f59-408e-b224-0fb1b0a4089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2" dT="2019-10-25T19:17:42.82" personId="{156AFF2D-A72B-47E4-9D4E-5316A2339BBE}" id="{F6414468-2FA6-44A1-BD27-0EBE63430DA8}">
    <text>includes loss factors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EF0F-90C4-4AC2-B6DB-D9368931A7FA}">
  <sheetPr>
    <pageSetUpPr fitToPage="1"/>
  </sheetPr>
  <dimension ref="A2:U94"/>
  <sheetViews>
    <sheetView tabSelected="1" topLeftCell="B1" workbookViewId="0">
      <selection activeCell="B1" sqref="B1"/>
    </sheetView>
  </sheetViews>
  <sheetFormatPr defaultRowHeight="12.75" x14ac:dyDescent="0.2"/>
  <cols>
    <col min="1" max="1" width="1.28515625" style="39" hidden="1" customWidth="1"/>
    <col min="2" max="2" width="31.7109375" style="39" bestFit="1" customWidth="1"/>
    <col min="3" max="3" width="18.85546875" style="39" customWidth="1"/>
    <col min="4" max="4" width="12" style="39" customWidth="1"/>
    <col min="5" max="5" width="12.5703125" style="39" customWidth="1"/>
    <col min="6" max="6" width="11.5703125" style="39" customWidth="1"/>
    <col min="7" max="7" width="13.28515625" style="39" bestFit="1" customWidth="1"/>
    <col min="8" max="16" width="0" style="39" hidden="1" customWidth="1"/>
    <col min="17" max="18" width="10.7109375" style="39" bestFit="1" customWidth="1"/>
    <col min="19" max="21" width="9.5703125" style="39" bestFit="1" customWidth="1"/>
    <col min="22" max="16384" width="9.140625" style="39"/>
  </cols>
  <sheetData>
    <row r="2" spans="2:21" ht="13.5" thickBot="1" x14ac:dyDescent="0.25"/>
    <row r="3" spans="2:21" ht="13.5" thickBot="1" x14ac:dyDescent="0.25">
      <c r="B3" s="78" t="s">
        <v>0</v>
      </c>
      <c r="C3" s="79"/>
      <c r="D3" s="79"/>
      <c r="E3" s="80"/>
    </row>
    <row r="4" spans="2:21" x14ac:dyDescent="0.2">
      <c r="B4" s="1" t="s">
        <v>1</v>
      </c>
      <c r="C4" s="2" t="s">
        <v>2</v>
      </c>
      <c r="D4" s="2" t="s">
        <v>3</v>
      </c>
      <c r="E4" s="3" t="s">
        <v>4</v>
      </c>
    </row>
    <row r="5" spans="2:21" x14ac:dyDescent="0.2">
      <c r="B5" s="40" t="s">
        <v>5</v>
      </c>
      <c r="C5" s="41">
        <f>[1]Summary!Q15</f>
        <v>288323799.46511424</v>
      </c>
      <c r="D5" s="42"/>
      <c r="E5" s="43">
        <v>0.96640000000000004</v>
      </c>
    </row>
    <row r="6" spans="2:21" x14ac:dyDescent="0.2">
      <c r="B6" s="40" t="s">
        <v>6</v>
      </c>
      <c r="C6" s="41">
        <f>[1]Summary!Q19</f>
        <v>92411463.464096531</v>
      </c>
      <c r="D6" s="42"/>
      <c r="E6" s="43">
        <v>0.92679999999999996</v>
      </c>
    </row>
    <row r="7" spans="2:21" x14ac:dyDescent="0.2">
      <c r="B7" s="4" t="s">
        <v>7</v>
      </c>
      <c r="C7" s="44">
        <f>[1]Summary!Q23</f>
        <v>244620598.32809162</v>
      </c>
      <c r="D7" s="45">
        <f>[1]Summary!Q24</f>
        <v>614742.9003718762</v>
      </c>
      <c r="E7" s="43">
        <v>0.35639999999999999</v>
      </c>
    </row>
    <row r="8" spans="2:21" x14ac:dyDescent="0.2">
      <c r="B8" s="40" t="s">
        <v>8</v>
      </c>
      <c r="C8" s="41">
        <f>[1]Summary!Q28</f>
        <v>209800.13099560147</v>
      </c>
      <c r="D8" s="45">
        <f>[1]Summary!Q29</f>
        <v>592.51480879014923</v>
      </c>
      <c r="E8" s="43">
        <v>1</v>
      </c>
    </row>
    <row r="9" spans="2:21" x14ac:dyDescent="0.2">
      <c r="B9" s="40" t="s">
        <v>9</v>
      </c>
      <c r="C9" s="41">
        <f>[1]Summary!Q33</f>
        <v>2398221.2999999998</v>
      </c>
      <c r="D9" s="45">
        <f>[1]Summary!Q34</f>
        <v>7030.1</v>
      </c>
      <c r="E9" s="43">
        <v>2.8799999999999999E-2</v>
      </c>
    </row>
    <row r="10" spans="2:21" x14ac:dyDescent="0.2">
      <c r="B10" s="40" t="s">
        <v>10</v>
      </c>
      <c r="C10" s="41">
        <f>[1]Summary!Q38</f>
        <v>944731.43889360514</v>
      </c>
      <c r="D10" s="45"/>
      <c r="E10" s="43">
        <v>1</v>
      </c>
    </row>
    <row r="11" spans="2:21" x14ac:dyDescent="0.2">
      <c r="B11" s="5" t="s">
        <v>11</v>
      </c>
      <c r="C11" s="6">
        <f>SUM(C5:C10)</f>
        <v>628908614.12719154</v>
      </c>
      <c r="D11" s="6">
        <f>SUM(D5:D10)</f>
        <v>622365.51518066635</v>
      </c>
      <c r="E11" s="6"/>
    </row>
    <row r="12" spans="2:21" x14ac:dyDescent="0.2">
      <c r="C12" s="46"/>
      <c r="D12" s="46"/>
    </row>
    <row r="14" spans="2:21" x14ac:dyDescent="0.2">
      <c r="B14" s="7" t="s">
        <v>12</v>
      </c>
      <c r="C14" s="81" t="s">
        <v>13</v>
      </c>
      <c r="D14" s="83" t="s">
        <v>14</v>
      </c>
      <c r="E14" s="8"/>
      <c r="F14" s="9"/>
      <c r="G14" s="10"/>
      <c r="R14" s="47"/>
      <c r="S14" s="48">
        <v>1.4999999999999999E-2</v>
      </c>
      <c r="T14" s="48">
        <v>1.4999999999999999E-2</v>
      </c>
      <c r="U14" s="48">
        <v>1.4999999999999999E-2</v>
      </c>
    </row>
    <row r="15" spans="2:21" x14ac:dyDescent="0.2">
      <c r="B15" s="11" t="s">
        <v>15</v>
      </c>
      <c r="C15" s="82"/>
      <c r="D15" s="84"/>
      <c r="E15" s="12"/>
      <c r="F15" s="13" t="s">
        <v>16</v>
      </c>
      <c r="G15" s="14"/>
      <c r="Q15" s="13" t="s">
        <v>17</v>
      </c>
      <c r="R15" s="13" t="s">
        <v>16</v>
      </c>
      <c r="S15" s="13">
        <v>2020</v>
      </c>
      <c r="T15" s="13">
        <v>2021</v>
      </c>
      <c r="U15" s="13">
        <v>2022</v>
      </c>
    </row>
    <row r="16" spans="2:21" x14ac:dyDescent="0.2">
      <c r="B16" s="49" t="str">
        <f>B5</f>
        <v xml:space="preserve">Residential </v>
      </c>
      <c r="C16" s="44">
        <f>C5*E5</f>
        <v>278636119.8030864</v>
      </c>
      <c r="D16" s="50">
        <v>1.0481</v>
      </c>
      <c r="E16" s="51">
        <f t="shared" ref="E16:E21" si="0">C16*D16</f>
        <v>292038517.16561484</v>
      </c>
      <c r="F16" s="15">
        <f>123.89/1000</f>
        <v>0.12389</v>
      </c>
      <c r="G16" s="52">
        <f>E16*F16</f>
        <v>36180651.891648024</v>
      </c>
      <c r="I16" s="16" t="s">
        <v>18</v>
      </c>
      <c r="Q16" s="15">
        <v>0.10909000000000001</v>
      </c>
      <c r="R16" s="15">
        <f>123.89/1000</f>
        <v>0.12389</v>
      </c>
      <c r="S16" s="53">
        <f>R16*(1+S14)</f>
        <v>0.12574834999999998</v>
      </c>
      <c r="T16" s="53">
        <f>S16*(1+T14)</f>
        <v>0.12763457524999997</v>
      </c>
      <c r="U16" s="53">
        <f>T16*(1+U14)</f>
        <v>0.12954909387874997</v>
      </c>
    </row>
    <row r="17" spans="2:21" x14ac:dyDescent="0.2">
      <c r="B17" s="49" t="str">
        <f>B6</f>
        <v>General Service &lt; 50 kW</v>
      </c>
      <c r="C17" s="44">
        <f>C6*E6</f>
        <v>85646944.338524655</v>
      </c>
      <c r="D17" s="50">
        <v>1.0481</v>
      </c>
      <c r="E17" s="44">
        <f t="shared" si="0"/>
        <v>89766562.361207694</v>
      </c>
      <c r="F17" s="17">
        <f>+F16</f>
        <v>0.12389</v>
      </c>
      <c r="G17" s="54">
        <f t="shared" ref="G17:G21" si="1">E17*F17</f>
        <v>11121179.410930021</v>
      </c>
      <c r="I17" s="39" t="s">
        <v>19</v>
      </c>
    </row>
    <row r="18" spans="2:21" x14ac:dyDescent="0.2">
      <c r="B18" s="49" t="str">
        <f>B7</f>
        <v>General Service 50 to 4,999 kW</v>
      </c>
      <c r="C18" s="44">
        <f>C7*E7</f>
        <v>87182781.244131848</v>
      </c>
      <c r="D18" s="50">
        <v>1.0481</v>
      </c>
      <c r="E18" s="44">
        <f t="shared" si="0"/>
        <v>91376273.021974593</v>
      </c>
      <c r="F18" s="17">
        <f t="shared" ref="F18:F21" si="2">+F17</f>
        <v>0.12389</v>
      </c>
      <c r="G18" s="54">
        <f t="shared" si="1"/>
        <v>11320606.464692432</v>
      </c>
      <c r="I18" s="39" t="s">
        <v>20</v>
      </c>
    </row>
    <row r="19" spans="2:21" ht="38.25" x14ac:dyDescent="0.2">
      <c r="B19" s="40" t="s">
        <v>8</v>
      </c>
      <c r="C19" s="44">
        <f>C8*E8</f>
        <v>209800.13099560147</v>
      </c>
      <c r="D19" s="50">
        <v>1.0481</v>
      </c>
      <c r="E19" s="44">
        <f t="shared" si="0"/>
        <v>219891.51729648991</v>
      </c>
      <c r="F19" s="17">
        <f t="shared" si="2"/>
        <v>0.12389</v>
      </c>
      <c r="G19" s="54">
        <f t="shared" si="1"/>
        <v>27242.360077862137</v>
      </c>
      <c r="I19" s="38" t="s">
        <v>21</v>
      </c>
    </row>
    <row r="20" spans="2:21" ht="38.25" x14ac:dyDescent="0.2">
      <c r="B20" s="49" t="str">
        <f>B9</f>
        <v>Street Lights</v>
      </c>
      <c r="C20" s="44">
        <f>C9*E9</f>
        <v>69068.77343999999</v>
      </c>
      <c r="D20" s="50">
        <v>1.0481</v>
      </c>
      <c r="E20" s="44">
        <f t="shared" si="0"/>
        <v>72390.981442463992</v>
      </c>
      <c r="F20" s="17">
        <f t="shared" si="2"/>
        <v>0.12389</v>
      </c>
      <c r="G20" s="54">
        <f t="shared" si="1"/>
        <v>8968.5186909068634</v>
      </c>
      <c r="I20" s="38" t="s">
        <v>22</v>
      </c>
    </row>
    <row r="21" spans="2:21" x14ac:dyDescent="0.2">
      <c r="B21" s="49" t="str">
        <f>B10</f>
        <v xml:space="preserve">Unmetered Loads </v>
      </c>
      <c r="C21" s="44">
        <f t="shared" ref="C21" si="3">C10*E10</f>
        <v>944731.43889360514</v>
      </c>
      <c r="D21" s="50">
        <v>1.0481</v>
      </c>
      <c r="E21" s="44">
        <f t="shared" si="0"/>
        <v>990173.02110438759</v>
      </c>
      <c r="F21" s="17">
        <f t="shared" si="2"/>
        <v>0.12389</v>
      </c>
      <c r="G21" s="54">
        <f t="shared" si="1"/>
        <v>122672.53558462257</v>
      </c>
      <c r="I21" s="39" t="str">
        <f>+I16</f>
        <v>1 4055.92.5232</v>
      </c>
    </row>
    <row r="22" spans="2:21" x14ac:dyDescent="0.2">
      <c r="B22" s="5" t="s">
        <v>11</v>
      </c>
      <c r="C22" s="6">
        <f>SUM(C16:C21)</f>
        <v>452689445.72907215</v>
      </c>
      <c r="D22" s="18"/>
      <c r="E22" s="6">
        <f>SUM(E16:E21)</f>
        <v>474463808.06864047</v>
      </c>
      <c r="F22" s="19"/>
      <c r="G22" s="20">
        <f>SUM(G16:G21)</f>
        <v>58781321.181623869</v>
      </c>
      <c r="H22" s="55"/>
    </row>
    <row r="23" spans="2:21" x14ac:dyDescent="0.2">
      <c r="B23" s="21"/>
      <c r="C23" s="22"/>
      <c r="D23" s="23"/>
      <c r="E23" s="22"/>
      <c r="F23" s="56"/>
      <c r="G23" s="24"/>
    </row>
    <row r="24" spans="2:21" x14ac:dyDescent="0.2">
      <c r="B24" s="7" t="s">
        <v>23</v>
      </c>
      <c r="C24" s="81" t="s">
        <v>13</v>
      </c>
      <c r="D24" s="81" t="s">
        <v>24</v>
      </c>
      <c r="E24" s="8"/>
      <c r="F24" s="9"/>
      <c r="G24" s="10"/>
      <c r="R24" s="47"/>
      <c r="S24" s="48">
        <v>1.4999999999999999E-2</v>
      </c>
      <c r="T24" s="48">
        <v>1.4999999999999999E-2</v>
      </c>
      <c r="U24" s="48">
        <v>1.4999999999999999E-2</v>
      </c>
    </row>
    <row r="25" spans="2:21" x14ac:dyDescent="0.2">
      <c r="B25" s="11" t="s">
        <v>25</v>
      </c>
      <c r="C25" s="82"/>
      <c r="D25" s="85"/>
      <c r="E25" s="12"/>
      <c r="F25" s="25">
        <v>2019</v>
      </c>
      <c r="G25" s="14"/>
      <c r="Q25" s="13" t="s">
        <v>17</v>
      </c>
      <c r="R25" s="13" t="s">
        <v>16</v>
      </c>
      <c r="S25" s="13">
        <v>2020</v>
      </c>
      <c r="T25" s="13">
        <v>2021</v>
      </c>
      <c r="U25" s="13">
        <v>2022</v>
      </c>
    </row>
    <row r="26" spans="2:21" x14ac:dyDescent="0.2">
      <c r="B26" s="49" t="str">
        <f>B16</f>
        <v xml:space="preserve">Residential </v>
      </c>
      <c r="C26" s="44">
        <f t="shared" ref="C26:C31" si="4">C5-C16</f>
        <v>9687679.6620278358</v>
      </c>
      <c r="D26" s="42">
        <f t="shared" ref="D26:D31" si="5">D16</f>
        <v>1.0481</v>
      </c>
      <c r="E26" s="44">
        <f t="shared" ref="E26:E31" si="6">C26*D26</f>
        <v>10153657.053771375</v>
      </c>
      <c r="F26" s="57">
        <f>(20.68+102.22)/1000</f>
        <v>0.12290000000000001</v>
      </c>
      <c r="G26" s="54">
        <f t="shared" ref="G26:G31" si="7">E26*F26</f>
        <v>1247884.451908502</v>
      </c>
      <c r="I26" s="39" t="s">
        <v>18</v>
      </c>
      <c r="Q26" s="57">
        <v>0.10616</v>
      </c>
      <c r="R26" s="57">
        <f>(20.68+102.22)/1000</f>
        <v>0.12290000000000001</v>
      </c>
      <c r="S26" s="53">
        <f>R26*(1+S24)</f>
        <v>0.12474349999999999</v>
      </c>
      <c r="T26" s="53">
        <f>S26*(1+T24)</f>
        <v>0.12661465249999998</v>
      </c>
      <c r="U26" s="53">
        <f>T26*(1+U24)</f>
        <v>0.12851387228749997</v>
      </c>
    </row>
    <row r="27" spans="2:21" x14ac:dyDescent="0.2">
      <c r="B27" s="49" t="str">
        <f>B17</f>
        <v>General Service &lt; 50 kW</v>
      </c>
      <c r="C27" s="44">
        <f t="shared" si="4"/>
        <v>6764519.1255718768</v>
      </c>
      <c r="D27" s="42">
        <f t="shared" si="5"/>
        <v>1.0481</v>
      </c>
      <c r="E27" s="44">
        <f t="shared" si="6"/>
        <v>7089892.4955118839</v>
      </c>
      <c r="F27" s="57">
        <f t="shared" ref="F27:F31" si="8">(20.68+102.22)/1000</f>
        <v>0.12290000000000001</v>
      </c>
      <c r="G27" s="54">
        <f t="shared" si="7"/>
        <v>871347.78769841057</v>
      </c>
      <c r="I27" s="39" t="s">
        <v>19</v>
      </c>
    </row>
    <row r="28" spans="2:21" x14ac:dyDescent="0.2">
      <c r="B28" s="49" t="str">
        <f>B18</f>
        <v>General Service 50 to 4,999 kW</v>
      </c>
      <c r="C28" s="44">
        <f>C7-C18</f>
        <v>157437817.08395976</v>
      </c>
      <c r="D28" s="42">
        <f t="shared" si="5"/>
        <v>1.0481</v>
      </c>
      <c r="E28" s="44">
        <f t="shared" si="6"/>
        <v>165010576.08569822</v>
      </c>
      <c r="F28" s="57">
        <f t="shared" si="8"/>
        <v>0.12290000000000001</v>
      </c>
      <c r="G28" s="54">
        <f t="shared" si="7"/>
        <v>20279799.800932314</v>
      </c>
      <c r="I28" s="39" t="s">
        <v>20</v>
      </c>
    </row>
    <row r="29" spans="2:21" x14ac:dyDescent="0.2">
      <c r="B29" s="40" t="s">
        <v>8</v>
      </c>
      <c r="C29" s="44">
        <f t="shared" si="4"/>
        <v>0</v>
      </c>
      <c r="D29" s="42">
        <f t="shared" si="5"/>
        <v>1.0481</v>
      </c>
      <c r="E29" s="44">
        <f t="shared" si="6"/>
        <v>0</v>
      </c>
      <c r="F29" s="57">
        <f t="shared" si="8"/>
        <v>0.12290000000000001</v>
      </c>
      <c r="G29" s="54">
        <f t="shared" si="7"/>
        <v>0</v>
      </c>
      <c r="I29" s="39" t="s">
        <v>21</v>
      </c>
    </row>
    <row r="30" spans="2:21" x14ac:dyDescent="0.2">
      <c r="B30" s="49" t="str">
        <f>B20</f>
        <v>Street Lights</v>
      </c>
      <c r="C30" s="44">
        <f t="shared" si="4"/>
        <v>2329152.5265599997</v>
      </c>
      <c r="D30" s="42">
        <f t="shared" si="5"/>
        <v>1.0481</v>
      </c>
      <c r="E30" s="44">
        <f t="shared" si="6"/>
        <v>2441184.7630875357</v>
      </c>
      <c r="F30" s="57">
        <f t="shared" si="8"/>
        <v>0.12290000000000001</v>
      </c>
      <c r="G30" s="54">
        <f t="shared" si="7"/>
        <v>300021.60738345818</v>
      </c>
      <c r="I30" s="39" t="s">
        <v>22</v>
      </c>
    </row>
    <row r="31" spans="2:21" x14ac:dyDescent="0.2">
      <c r="B31" s="49" t="str">
        <f>B21</f>
        <v xml:space="preserve">Unmetered Loads </v>
      </c>
      <c r="C31" s="44">
        <f t="shared" si="4"/>
        <v>0</v>
      </c>
      <c r="D31" s="42">
        <f t="shared" si="5"/>
        <v>1.0481</v>
      </c>
      <c r="E31" s="44">
        <f t="shared" si="6"/>
        <v>0</v>
      </c>
      <c r="F31" s="57">
        <f t="shared" si="8"/>
        <v>0.12290000000000001</v>
      </c>
      <c r="G31" s="54">
        <f t="shared" si="7"/>
        <v>0</v>
      </c>
      <c r="I31" s="39" t="s">
        <v>18</v>
      </c>
    </row>
    <row r="32" spans="2:21" x14ac:dyDescent="0.2">
      <c r="B32" s="5" t="s">
        <v>11</v>
      </c>
      <c r="C32" s="6">
        <f>SUM(C26:C31)</f>
        <v>176219168.39811948</v>
      </c>
      <c r="D32" s="18"/>
      <c r="E32" s="6">
        <f>SUM(E26:E31)</f>
        <v>184695310.39806902</v>
      </c>
      <c r="F32" s="58"/>
      <c r="G32" s="20">
        <f>SUM(G26:G31)</f>
        <v>22699053.647922687</v>
      </c>
    </row>
    <row r="34" spans="2:21" x14ac:dyDescent="0.2">
      <c r="B34" s="26" t="s">
        <v>26</v>
      </c>
      <c r="C34" s="10"/>
      <c r="D34" s="27" t="s">
        <v>27</v>
      </c>
      <c r="E34" s="8"/>
      <c r="F34" s="9"/>
      <c r="G34" s="10"/>
      <c r="R34" s="47"/>
      <c r="S34" s="48">
        <v>0</v>
      </c>
      <c r="T34" s="48">
        <v>0</v>
      </c>
      <c r="U34" s="48">
        <v>0</v>
      </c>
    </row>
    <row r="35" spans="2:21" x14ac:dyDescent="0.2">
      <c r="B35" s="11" t="s">
        <v>25</v>
      </c>
      <c r="C35" s="28"/>
      <c r="D35" s="29" t="s">
        <v>28</v>
      </c>
      <c r="E35" s="12"/>
      <c r="F35" s="25">
        <v>2019</v>
      </c>
      <c r="G35" s="14"/>
      <c r="Q35" s="13" t="s">
        <v>17</v>
      </c>
      <c r="R35" s="13" t="s">
        <v>16</v>
      </c>
      <c r="S35" s="13">
        <v>2020</v>
      </c>
      <c r="T35" s="13">
        <v>2021</v>
      </c>
      <c r="U35" s="13">
        <v>2022</v>
      </c>
    </row>
    <row r="36" spans="2:21" x14ac:dyDescent="0.2">
      <c r="B36" s="59" t="str">
        <f>B26</f>
        <v xml:space="preserve">Residential </v>
      </c>
      <c r="C36" s="44"/>
      <c r="D36" s="60" t="s">
        <v>2</v>
      </c>
      <c r="E36" s="44">
        <f>E16+E26</f>
        <v>302192174.21938622</v>
      </c>
      <c r="F36" s="30">
        <v>6.0000000000000001E-3</v>
      </c>
      <c r="G36" s="54">
        <f t="shared" ref="G36:G41" si="9">E36*F36</f>
        <v>1813153.0453163174</v>
      </c>
      <c r="I36" s="39" t="s">
        <v>29</v>
      </c>
      <c r="Q36" s="30">
        <v>6.0000000000000001E-3</v>
      </c>
      <c r="R36" s="30">
        <v>6.0000000000000001E-3</v>
      </c>
      <c r="S36" s="53"/>
      <c r="T36" s="53"/>
    </row>
    <row r="37" spans="2:21" x14ac:dyDescent="0.2">
      <c r="B37" s="59" t="str">
        <f>B27</f>
        <v>General Service &lt; 50 kW</v>
      </c>
      <c r="C37" s="44"/>
      <c r="D37" s="60" t="s">
        <v>2</v>
      </c>
      <c r="E37" s="44">
        <f>E17+E27</f>
        <v>96856454.856719583</v>
      </c>
      <c r="F37" s="30">
        <v>5.5999999999999999E-3</v>
      </c>
      <c r="G37" s="54">
        <f t="shared" si="9"/>
        <v>542396.14719762967</v>
      </c>
      <c r="I37" s="39" t="s">
        <v>30</v>
      </c>
      <c r="Q37" s="30">
        <v>5.5999999999999999E-3</v>
      </c>
      <c r="R37" s="30">
        <v>5.5999999999999999E-3</v>
      </c>
    </row>
    <row r="38" spans="2:21" x14ac:dyDescent="0.2">
      <c r="B38" s="59" t="str">
        <f>B28</f>
        <v>General Service 50 to 4,999 kW</v>
      </c>
      <c r="C38" s="44"/>
      <c r="D38" s="60" t="s">
        <v>3</v>
      </c>
      <c r="E38" s="44">
        <f>D7</f>
        <v>614742.9003718762</v>
      </c>
      <c r="F38" s="30">
        <v>2.2694000000000001</v>
      </c>
      <c r="G38" s="54">
        <f t="shared" si="9"/>
        <v>1395097.5381039358</v>
      </c>
      <c r="I38" s="39" t="s">
        <v>31</v>
      </c>
      <c r="Q38" s="30">
        <v>2.2694000000000001</v>
      </c>
      <c r="R38" s="30">
        <v>2.2694000000000001</v>
      </c>
    </row>
    <row r="39" spans="2:21" x14ac:dyDescent="0.2">
      <c r="B39" s="40" t="s">
        <v>8</v>
      </c>
      <c r="C39" s="44"/>
      <c r="D39" s="60" t="s">
        <v>3</v>
      </c>
      <c r="E39" s="44">
        <f>+D8</f>
        <v>592.51480879014923</v>
      </c>
      <c r="F39" s="30">
        <v>1.7202</v>
      </c>
      <c r="G39" s="54">
        <f t="shared" si="9"/>
        <v>1019.2439740808147</v>
      </c>
      <c r="I39" s="39" t="s">
        <v>32</v>
      </c>
      <c r="Q39" s="30">
        <v>1.7202</v>
      </c>
      <c r="R39" s="30">
        <v>1.7202</v>
      </c>
    </row>
    <row r="40" spans="2:21" x14ac:dyDescent="0.2">
      <c r="B40" s="59" t="str">
        <f>B30</f>
        <v>Street Lights</v>
      </c>
      <c r="C40" s="44"/>
      <c r="D40" s="60" t="s">
        <v>3</v>
      </c>
      <c r="E40" s="44">
        <f>D9</f>
        <v>7030.1</v>
      </c>
      <c r="F40" s="30">
        <v>1.7116</v>
      </c>
      <c r="G40" s="54">
        <f t="shared" si="9"/>
        <v>12032.719160000001</v>
      </c>
      <c r="I40" s="39" t="s">
        <v>33</v>
      </c>
      <c r="Q40" s="30">
        <v>1.7116</v>
      </c>
      <c r="R40" s="30">
        <v>1.7116</v>
      </c>
    </row>
    <row r="41" spans="2:21" x14ac:dyDescent="0.2">
      <c r="B41" s="59" t="str">
        <f>B31</f>
        <v xml:space="preserve">Unmetered Loads </v>
      </c>
      <c r="C41" s="44"/>
      <c r="D41" s="60" t="s">
        <v>2</v>
      </c>
      <c r="E41" s="44">
        <f>E31+E21</f>
        <v>990173.02110438759</v>
      </c>
      <c r="F41" s="30">
        <v>5.5999999999999999E-3</v>
      </c>
      <c r="G41" s="54">
        <f t="shared" si="9"/>
        <v>5544.9689181845706</v>
      </c>
      <c r="I41" s="39" t="str">
        <f>+I36</f>
        <v>1 4066.92.5246</v>
      </c>
      <c r="Q41" s="30">
        <v>5.5999999999999999E-3</v>
      </c>
      <c r="R41" s="30">
        <v>5.5999999999999999E-3</v>
      </c>
    </row>
    <row r="42" spans="2:21" x14ac:dyDescent="0.2">
      <c r="B42" s="5" t="s">
        <v>11</v>
      </c>
      <c r="C42" s="6"/>
      <c r="D42" s="18"/>
      <c r="E42" s="6"/>
      <c r="F42" s="58"/>
      <c r="G42" s="20">
        <f>SUM(G36:G41)</f>
        <v>3769243.6626701481</v>
      </c>
    </row>
    <row r="44" spans="2:21" x14ac:dyDescent="0.2">
      <c r="B44" s="26" t="s">
        <v>34</v>
      </c>
      <c r="C44" s="10"/>
      <c r="D44" s="31" t="s">
        <v>27</v>
      </c>
      <c r="E44" s="8"/>
      <c r="F44" s="9"/>
      <c r="G44" s="10"/>
    </row>
    <row r="45" spans="2:21" x14ac:dyDescent="0.2">
      <c r="B45" s="11" t="s">
        <v>25</v>
      </c>
      <c r="C45" s="28"/>
      <c r="D45" s="32" t="s">
        <v>28</v>
      </c>
      <c r="E45" s="12"/>
      <c r="F45" s="25">
        <v>2019</v>
      </c>
      <c r="G45" s="14"/>
    </row>
    <row r="46" spans="2:21" x14ac:dyDescent="0.2">
      <c r="B46" s="59" t="str">
        <f>B36</f>
        <v xml:space="preserve">Residential </v>
      </c>
      <c r="C46" s="44"/>
      <c r="D46" s="60" t="str">
        <f t="shared" ref="D46:E51" si="10">D36</f>
        <v>kWh</v>
      </c>
      <c r="E46" s="44">
        <f t="shared" si="10"/>
        <v>302192174.21938622</v>
      </c>
      <c r="F46" s="30">
        <v>0</v>
      </c>
      <c r="G46" s="54">
        <f t="shared" ref="G46:G51" si="11">E46*F46</f>
        <v>0</v>
      </c>
      <c r="H46" s="16" t="s">
        <v>35</v>
      </c>
    </row>
    <row r="47" spans="2:21" x14ac:dyDescent="0.2">
      <c r="B47" s="59" t="str">
        <f>B37</f>
        <v>General Service &lt; 50 kW</v>
      </c>
      <c r="C47" s="44"/>
      <c r="D47" s="60" t="str">
        <f t="shared" si="10"/>
        <v>kWh</v>
      </c>
      <c r="E47" s="44">
        <f t="shared" si="10"/>
        <v>96856454.856719583</v>
      </c>
      <c r="F47" s="30">
        <v>0</v>
      </c>
      <c r="G47" s="54">
        <f t="shared" si="11"/>
        <v>0</v>
      </c>
    </row>
    <row r="48" spans="2:21" x14ac:dyDescent="0.2">
      <c r="B48" s="59" t="str">
        <f>B38</f>
        <v>General Service 50 to 4,999 kW</v>
      </c>
      <c r="C48" s="44"/>
      <c r="D48" s="60" t="str">
        <f t="shared" si="10"/>
        <v>kW</v>
      </c>
      <c r="E48" s="44">
        <f t="shared" si="10"/>
        <v>614742.9003718762</v>
      </c>
      <c r="F48" s="30">
        <v>0</v>
      </c>
      <c r="G48" s="54">
        <f t="shared" si="11"/>
        <v>0</v>
      </c>
    </row>
    <row r="49" spans="2:21" x14ac:dyDescent="0.2">
      <c r="B49" s="40" t="s">
        <v>8</v>
      </c>
      <c r="C49" s="44"/>
      <c r="D49" s="60" t="str">
        <f t="shared" si="10"/>
        <v>kW</v>
      </c>
      <c r="E49" s="44">
        <f t="shared" si="10"/>
        <v>592.51480879014923</v>
      </c>
      <c r="F49" s="30">
        <v>0</v>
      </c>
      <c r="G49" s="54">
        <f t="shared" si="11"/>
        <v>0</v>
      </c>
    </row>
    <row r="50" spans="2:21" x14ac:dyDescent="0.2">
      <c r="B50" s="59" t="str">
        <f>B40</f>
        <v>Street Lights</v>
      </c>
      <c r="C50" s="44"/>
      <c r="D50" s="60" t="str">
        <f t="shared" si="10"/>
        <v>kW</v>
      </c>
      <c r="E50" s="44">
        <f t="shared" si="10"/>
        <v>7030.1</v>
      </c>
      <c r="F50" s="30">
        <v>0</v>
      </c>
      <c r="G50" s="54">
        <f t="shared" si="11"/>
        <v>0</v>
      </c>
    </row>
    <row r="51" spans="2:21" x14ac:dyDescent="0.2">
      <c r="B51" s="59" t="str">
        <f>B41</f>
        <v xml:space="preserve">Unmetered Loads </v>
      </c>
      <c r="C51" s="44"/>
      <c r="D51" s="60" t="str">
        <f t="shared" si="10"/>
        <v>kWh</v>
      </c>
      <c r="E51" s="44">
        <f t="shared" si="10"/>
        <v>990173.02110438759</v>
      </c>
      <c r="F51" s="30">
        <v>0</v>
      </c>
      <c r="G51" s="54">
        <f t="shared" si="11"/>
        <v>0</v>
      </c>
    </row>
    <row r="52" spans="2:21" x14ac:dyDescent="0.2">
      <c r="B52" s="5" t="s">
        <v>11</v>
      </c>
      <c r="C52" s="6"/>
      <c r="D52" s="18"/>
      <c r="E52" s="6"/>
      <c r="F52" s="58"/>
      <c r="G52" s="20">
        <f>SUM(G46:G51)</f>
        <v>0</v>
      </c>
    </row>
    <row r="54" spans="2:21" x14ac:dyDescent="0.2">
      <c r="B54" s="26" t="s">
        <v>36</v>
      </c>
      <c r="C54" s="10"/>
      <c r="D54" s="31"/>
      <c r="E54" s="8"/>
      <c r="F54" s="9"/>
      <c r="G54" s="10"/>
      <c r="S54" s="48">
        <v>0</v>
      </c>
      <c r="T54" s="48">
        <v>0</v>
      </c>
      <c r="U54" s="48">
        <v>0</v>
      </c>
    </row>
    <row r="55" spans="2:21" x14ac:dyDescent="0.2">
      <c r="B55" s="11" t="s">
        <v>25</v>
      </c>
      <c r="C55" s="28"/>
      <c r="D55" s="32"/>
      <c r="E55" s="12"/>
      <c r="F55" s="25">
        <v>2019</v>
      </c>
      <c r="G55" s="33"/>
      <c r="Q55" s="13" t="s">
        <v>17</v>
      </c>
      <c r="R55" s="13" t="s">
        <v>16</v>
      </c>
      <c r="S55" s="13">
        <v>2020</v>
      </c>
      <c r="T55" s="13">
        <v>2021</v>
      </c>
      <c r="U55" s="13">
        <v>2022</v>
      </c>
    </row>
    <row r="56" spans="2:21" x14ac:dyDescent="0.2">
      <c r="B56" s="59" t="str">
        <f>B46</f>
        <v xml:space="preserve">Residential </v>
      </c>
      <c r="C56" s="44"/>
      <c r="D56" s="60" t="s">
        <v>2</v>
      </c>
      <c r="E56" s="44">
        <f>E16+E26</f>
        <v>302192174.21938622</v>
      </c>
      <c r="F56" s="61">
        <f>0.003+0.0004</f>
        <v>3.4000000000000002E-3</v>
      </c>
      <c r="G56" s="54">
        <f t="shared" ref="G56:G61" si="12">E56*F56</f>
        <v>1027453.3923459132</v>
      </c>
      <c r="I56" s="39" t="s">
        <v>37</v>
      </c>
      <c r="Q56" s="61">
        <v>3.5999999999999999E-3</v>
      </c>
      <c r="R56" s="61">
        <f>0.003+0.0004</f>
        <v>3.4000000000000002E-3</v>
      </c>
    </row>
    <row r="57" spans="2:21" x14ac:dyDescent="0.2">
      <c r="B57" s="59" t="str">
        <f>B47</f>
        <v>General Service &lt; 50 kW</v>
      </c>
      <c r="C57" s="44"/>
      <c r="D57" s="60" t="s">
        <v>2</v>
      </c>
      <c r="E57" s="44">
        <f t="shared" ref="E57:E61" si="13">E17+E27</f>
        <v>96856454.856719583</v>
      </c>
      <c r="F57" s="61">
        <f t="shared" ref="F57:F61" si="14">0.003+0.0004</f>
        <v>3.4000000000000002E-3</v>
      </c>
      <c r="G57" s="54">
        <f t="shared" si="12"/>
        <v>329311.94651284663</v>
      </c>
      <c r="I57" s="39" t="s">
        <v>38</v>
      </c>
      <c r="Q57" s="61">
        <v>3.5999999999999999E-3</v>
      </c>
      <c r="R57" s="61">
        <f t="shared" ref="R57:R61" si="15">0.003+0.0004</f>
        <v>3.4000000000000002E-3</v>
      </c>
    </row>
    <row r="58" spans="2:21" x14ac:dyDescent="0.2">
      <c r="B58" s="59" t="str">
        <f>B48</f>
        <v>General Service 50 to 4,999 kW</v>
      </c>
      <c r="C58" s="44"/>
      <c r="D58" s="60" t="s">
        <v>2</v>
      </c>
      <c r="E58" s="44">
        <f t="shared" si="13"/>
        <v>256386849.10767281</v>
      </c>
      <c r="F58" s="61">
        <f t="shared" si="14"/>
        <v>3.4000000000000002E-3</v>
      </c>
      <c r="G58" s="54">
        <f t="shared" si="12"/>
        <v>871715.28696608765</v>
      </c>
      <c r="I58" s="39" t="s">
        <v>39</v>
      </c>
      <c r="Q58" s="61">
        <v>3.5999999999999999E-3</v>
      </c>
      <c r="R58" s="61">
        <f t="shared" si="15"/>
        <v>3.4000000000000002E-3</v>
      </c>
    </row>
    <row r="59" spans="2:21" x14ac:dyDescent="0.2">
      <c r="B59" s="40" t="s">
        <v>8</v>
      </c>
      <c r="C59" s="44"/>
      <c r="D59" s="60" t="s">
        <v>2</v>
      </c>
      <c r="E59" s="44">
        <f t="shared" si="13"/>
        <v>219891.51729648991</v>
      </c>
      <c r="F59" s="61">
        <f t="shared" si="14"/>
        <v>3.4000000000000002E-3</v>
      </c>
      <c r="G59" s="54">
        <f t="shared" si="12"/>
        <v>747.63115880806572</v>
      </c>
      <c r="I59" s="39" t="s">
        <v>40</v>
      </c>
      <c r="Q59" s="61">
        <v>3.5999999999999999E-3</v>
      </c>
      <c r="R59" s="61">
        <f t="shared" si="15"/>
        <v>3.4000000000000002E-3</v>
      </c>
    </row>
    <row r="60" spans="2:21" x14ac:dyDescent="0.2">
      <c r="B60" s="59" t="str">
        <f>B50</f>
        <v>Street Lights</v>
      </c>
      <c r="C60" s="44"/>
      <c r="D60" s="60" t="s">
        <v>2</v>
      </c>
      <c r="E60" s="44">
        <f t="shared" si="13"/>
        <v>2513575.7445299998</v>
      </c>
      <c r="F60" s="61">
        <f t="shared" si="14"/>
        <v>3.4000000000000002E-3</v>
      </c>
      <c r="G60" s="54">
        <f t="shared" si="12"/>
        <v>8546.1575314019992</v>
      </c>
      <c r="I60" s="39" t="s">
        <v>41</v>
      </c>
      <c r="Q60" s="61">
        <v>3.5999999999999999E-3</v>
      </c>
      <c r="R60" s="61">
        <f t="shared" si="15"/>
        <v>3.4000000000000002E-3</v>
      </c>
    </row>
    <row r="61" spans="2:21" x14ac:dyDescent="0.2">
      <c r="B61" s="59" t="str">
        <f>B51</f>
        <v xml:space="preserve">Unmetered Loads </v>
      </c>
      <c r="C61" s="44"/>
      <c r="D61" s="60" t="s">
        <v>2</v>
      </c>
      <c r="E61" s="44">
        <f t="shared" si="13"/>
        <v>990173.02110438759</v>
      </c>
      <c r="F61" s="61">
        <f t="shared" si="14"/>
        <v>3.4000000000000002E-3</v>
      </c>
      <c r="G61" s="54">
        <f t="shared" si="12"/>
        <v>3366.588271754918</v>
      </c>
      <c r="I61" s="39" t="str">
        <f>+I56</f>
        <v>1 4062.92.5239</v>
      </c>
      <c r="Q61" s="61">
        <v>3.5999999999999999E-3</v>
      </c>
      <c r="R61" s="61">
        <f t="shared" si="15"/>
        <v>3.4000000000000002E-3</v>
      </c>
    </row>
    <row r="62" spans="2:21" x14ac:dyDescent="0.2">
      <c r="B62" s="5" t="s">
        <v>11</v>
      </c>
      <c r="C62" s="6"/>
      <c r="D62" s="18"/>
      <c r="E62" s="6">
        <f>SUM(E56:E61)</f>
        <v>659159118.46670938</v>
      </c>
      <c r="F62" s="58"/>
      <c r="G62" s="20">
        <f>SUM(G56:G61)</f>
        <v>2241141.0027868128</v>
      </c>
    </row>
    <row r="64" spans="2:21" x14ac:dyDescent="0.2">
      <c r="B64" s="26" t="s">
        <v>42</v>
      </c>
      <c r="C64" s="10"/>
      <c r="D64" s="31"/>
      <c r="E64" s="8"/>
      <c r="F64" s="9"/>
      <c r="G64" s="10"/>
      <c r="S64" s="48">
        <v>0</v>
      </c>
      <c r="T64" s="48">
        <v>0</v>
      </c>
      <c r="U64" s="48">
        <v>0</v>
      </c>
    </row>
    <row r="65" spans="2:21" x14ac:dyDescent="0.2">
      <c r="B65" s="11" t="s">
        <v>25</v>
      </c>
      <c r="C65" s="28"/>
      <c r="D65" s="32"/>
      <c r="E65" s="12"/>
      <c r="F65" s="25">
        <v>2019</v>
      </c>
      <c r="G65" s="14"/>
      <c r="Q65" s="13" t="s">
        <v>17</v>
      </c>
      <c r="R65" s="13" t="s">
        <v>16</v>
      </c>
      <c r="S65" s="13">
        <v>2020</v>
      </c>
      <c r="T65" s="13">
        <v>2021</v>
      </c>
      <c r="U65" s="13">
        <v>2022</v>
      </c>
    </row>
    <row r="66" spans="2:21" x14ac:dyDescent="0.2">
      <c r="B66" s="59" t="str">
        <f>B56</f>
        <v xml:space="preserve">Residential </v>
      </c>
      <c r="C66" s="44"/>
      <c r="D66" s="60" t="str">
        <f t="shared" ref="D66:E71" si="16">D56</f>
        <v>kWh</v>
      </c>
      <c r="E66" s="44">
        <f t="shared" si="16"/>
        <v>302192174.21938622</v>
      </c>
      <c r="F66" s="34">
        <v>5.0000000000000001E-4</v>
      </c>
      <c r="G66" s="54">
        <f t="shared" ref="G66:G71" si="17">E66*F66</f>
        <v>151096.08710969312</v>
      </c>
      <c r="I66" s="39" t="s">
        <v>37</v>
      </c>
      <c r="Q66" s="34">
        <v>2.9999999999999997E-4</v>
      </c>
      <c r="R66" s="34">
        <v>5.0000000000000001E-4</v>
      </c>
    </row>
    <row r="67" spans="2:21" x14ac:dyDescent="0.2">
      <c r="B67" s="59" t="str">
        <f>B57</f>
        <v>General Service &lt; 50 kW</v>
      </c>
      <c r="C67" s="44"/>
      <c r="D67" s="60" t="str">
        <f t="shared" si="16"/>
        <v>kWh</v>
      </c>
      <c r="E67" s="44">
        <f t="shared" si="16"/>
        <v>96856454.856719583</v>
      </c>
      <c r="F67" s="34">
        <v>5.0000000000000001E-4</v>
      </c>
      <c r="G67" s="54">
        <f t="shared" si="17"/>
        <v>48428.227428359794</v>
      </c>
      <c r="I67" s="39" t="s">
        <v>38</v>
      </c>
      <c r="Q67" s="34">
        <v>2.9999999999999997E-4</v>
      </c>
      <c r="R67" s="34">
        <v>5.0000000000000001E-4</v>
      </c>
    </row>
    <row r="68" spans="2:21" x14ac:dyDescent="0.2">
      <c r="B68" s="59" t="str">
        <f>B58</f>
        <v>General Service 50 to 4,999 kW</v>
      </c>
      <c r="C68" s="44"/>
      <c r="D68" s="60" t="str">
        <f t="shared" si="16"/>
        <v>kWh</v>
      </c>
      <c r="E68" s="44">
        <f t="shared" si="16"/>
        <v>256386849.10767281</v>
      </c>
      <c r="F68" s="34">
        <v>5.0000000000000001E-4</v>
      </c>
      <c r="G68" s="54">
        <f t="shared" si="17"/>
        <v>128193.4245538364</v>
      </c>
      <c r="I68" s="39" t="s">
        <v>39</v>
      </c>
      <c r="Q68" s="34">
        <v>2.9999999999999997E-4</v>
      </c>
      <c r="R68" s="34">
        <v>5.0000000000000001E-4</v>
      </c>
    </row>
    <row r="69" spans="2:21" x14ac:dyDescent="0.2">
      <c r="B69" s="40" t="s">
        <v>8</v>
      </c>
      <c r="C69" s="44"/>
      <c r="D69" s="60" t="str">
        <f t="shared" si="16"/>
        <v>kWh</v>
      </c>
      <c r="E69" s="44">
        <f t="shared" si="16"/>
        <v>219891.51729648991</v>
      </c>
      <c r="F69" s="34">
        <v>5.0000000000000001E-4</v>
      </c>
      <c r="G69" s="54">
        <f t="shared" si="17"/>
        <v>109.94575864824496</v>
      </c>
      <c r="I69" s="39" t="s">
        <v>40</v>
      </c>
      <c r="Q69" s="34">
        <v>2.9999999999999997E-4</v>
      </c>
      <c r="R69" s="34">
        <v>5.0000000000000001E-4</v>
      </c>
    </row>
    <row r="70" spans="2:21" x14ac:dyDescent="0.2">
      <c r="B70" s="59" t="str">
        <f>B60</f>
        <v>Street Lights</v>
      </c>
      <c r="C70" s="44"/>
      <c r="D70" s="60" t="str">
        <f t="shared" si="16"/>
        <v>kWh</v>
      </c>
      <c r="E70" s="44">
        <f t="shared" si="16"/>
        <v>2513575.7445299998</v>
      </c>
      <c r="F70" s="34">
        <v>5.0000000000000001E-4</v>
      </c>
      <c r="G70" s="54">
        <f t="shared" si="17"/>
        <v>1256.787872265</v>
      </c>
      <c r="I70" s="39" t="s">
        <v>41</v>
      </c>
      <c r="Q70" s="34">
        <v>2.9999999999999997E-4</v>
      </c>
      <c r="R70" s="34">
        <v>5.0000000000000001E-4</v>
      </c>
    </row>
    <row r="71" spans="2:21" x14ac:dyDescent="0.2">
      <c r="B71" s="59" t="str">
        <f>B61</f>
        <v xml:space="preserve">Unmetered Loads </v>
      </c>
      <c r="C71" s="44"/>
      <c r="D71" s="60" t="str">
        <f t="shared" si="16"/>
        <v>kWh</v>
      </c>
      <c r="E71" s="44">
        <f t="shared" si="16"/>
        <v>990173.02110438759</v>
      </c>
      <c r="F71" s="34">
        <v>5.0000000000000001E-4</v>
      </c>
      <c r="G71" s="54">
        <f t="shared" si="17"/>
        <v>495.08651055219383</v>
      </c>
      <c r="I71" s="39" t="s">
        <v>37</v>
      </c>
      <c r="Q71" s="34">
        <v>2.9999999999999997E-4</v>
      </c>
      <c r="R71" s="34">
        <v>5.0000000000000001E-4</v>
      </c>
    </row>
    <row r="72" spans="2:21" x14ac:dyDescent="0.2">
      <c r="B72" s="5" t="s">
        <v>11</v>
      </c>
      <c r="C72" s="6"/>
      <c r="D72" s="18"/>
      <c r="E72" s="6">
        <f>SUM(E66:E71)</f>
        <v>659159118.46670938</v>
      </c>
      <c r="F72" s="58"/>
      <c r="G72" s="20">
        <f>SUM(G66:G71)</f>
        <v>329579.55923335475</v>
      </c>
    </row>
    <row r="74" spans="2:21" x14ac:dyDescent="0.2">
      <c r="B74" s="26" t="s">
        <v>43</v>
      </c>
      <c r="C74" s="8"/>
      <c r="D74" s="86">
        <v>2019</v>
      </c>
      <c r="E74" s="87"/>
      <c r="S74" s="48">
        <v>0</v>
      </c>
      <c r="T74" s="48">
        <v>0</v>
      </c>
      <c r="U74" s="48">
        <v>0</v>
      </c>
    </row>
    <row r="75" spans="2:21" x14ac:dyDescent="0.2">
      <c r="B75" s="11" t="s">
        <v>25</v>
      </c>
      <c r="C75" s="29" t="s">
        <v>44</v>
      </c>
      <c r="D75" s="88"/>
      <c r="E75" s="89"/>
      <c r="Q75" s="13" t="s">
        <v>17</v>
      </c>
      <c r="R75" s="13" t="s">
        <v>16</v>
      </c>
      <c r="S75" s="13">
        <v>2020</v>
      </c>
      <c r="T75" s="13">
        <v>2021</v>
      </c>
      <c r="U75" s="13">
        <v>2022</v>
      </c>
    </row>
    <row r="76" spans="2:21" x14ac:dyDescent="0.2">
      <c r="B76" s="59" t="str">
        <f>B66</f>
        <v xml:space="preserve">Residential </v>
      </c>
      <c r="C76" s="44">
        <f>+'[1]Rate Class Customer Model'!B19</f>
        <v>29815.501606131944</v>
      </c>
      <c r="D76" s="34">
        <v>0.56999999999999995</v>
      </c>
      <c r="E76" s="54">
        <f>C76*D76*12</f>
        <v>203938.03098594246</v>
      </c>
      <c r="G76" s="62">
        <f>+E76</f>
        <v>203938.03098594246</v>
      </c>
      <c r="I76" s="39" t="s">
        <v>45</v>
      </c>
      <c r="Q76" s="34">
        <v>0.56999999999999995</v>
      </c>
      <c r="R76" s="34">
        <v>0.56999999999999995</v>
      </c>
    </row>
    <row r="77" spans="2:21" x14ac:dyDescent="0.2">
      <c r="B77" s="59" t="str">
        <f>B67</f>
        <v>General Service &lt; 50 kW</v>
      </c>
      <c r="C77" s="44">
        <f>+'[1]Rate Class Customer Model'!C19</f>
        <v>3430.7641919188468</v>
      </c>
      <c r="D77" s="34">
        <v>0.56999999999999995</v>
      </c>
      <c r="E77" s="54">
        <f>C77*D77*12</f>
        <v>23466.42707272491</v>
      </c>
      <c r="G77" s="62">
        <f>+E77</f>
        <v>23466.42707272491</v>
      </c>
      <c r="I77" s="39" t="s">
        <v>46</v>
      </c>
      <c r="Q77" s="34">
        <v>0.56999999999999995</v>
      </c>
      <c r="R77" s="34">
        <v>0.56999999999999995</v>
      </c>
    </row>
    <row r="78" spans="2:21" x14ac:dyDescent="0.2">
      <c r="B78" s="59" t="str">
        <f>B68</f>
        <v>General Service 50 to 4,999 kW</v>
      </c>
      <c r="C78" s="44"/>
      <c r="D78" s="34"/>
      <c r="E78" s="54">
        <f t="shared" ref="E78:E81" si="18">C78*D78</f>
        <v>0</v>
      </c>
      <c r="Q78" s="34"/>
      <c r="R78" s="34"/>
    </row>
    <row r="79" spans="2:21" x14ac:dyDescent="0.2">
      <c r="B79" s="40" t="s">
        <v>8</v>
      </c>
      <c r="C79" s="44"/>
      <c r="D79" s="34"/>
      <c r="E79" s="54">
        <f t="shared" si="18"/>
        <v>0</v>
      </c>
      <c r="Q79" s="34"/>
      <c r="R79" s="34"/>
    </row>
    <row r="80" spans="2:21" x14ac:dyDescent="0.2">
      <c r="B80" s="59" t="str">
        <f>B70</f>
        <v>Street Lights</v>
      </c>
      <c r="C80" s="44"/>
      <c r="D80" s="34"/>
      <c r="E80" s="54">
        <f t="shared" si="18"/>
        <v>0</v>
      </c>
      <c r="F80" s="63"/>
      <c r="Q80" s="34"/>
      <c r="R80" s="34"/>
    </row>
    <row r="81" spans="2:18" x14ac:dyDescent="0.2">
      <c r="B81" s="59" t="str">
        <f>B71</f>
        <v xml:space="preserve">Unmetered Loads </v>
      </c>
      <c r="C81" s="44"/>
      <c r="D81" s="34"/>
      <c r="E81" s="54">
        <f t="shared" si="18"/>
        <v>0</v>
      </c>
      <c r="Q81" s="34"/>
      <c r="R81" s="34"/>
    </row>
    <row r="82" spans="2:18" x14ac:dyDescent="0.2">
      <c r="B82" s="5" t="s">
        <v>11</v>
      </c>
      <c r="C82" s="6">
        <f>SUM(C76:C81)</f>
        <v>33246.265798050794</v>
      </c>
      <c r="D82" s="58"/>
      <c r="E82" s="20">
        <f>SUM(E76:E81)</f>
        <v>227404.45805866737</v>
      </c>
    </row>
    <row r="85" spans="2:18" x14ac:dyDescent="0.2">
      <c r="B85" s="64"/>
      <c r="C85" s="35">
        <v>2019</v>
      </c>
      <c r="D85" s="70">
        <v>2020</v>
      </c>
      <c r="E85" s="71">
        <v>2021</v>
      </c>
      <c r="F85" s="72">
        <v>2022</v>
      </c>
      <c r="H85" s="39" t="s">
        <v>22</v>
      </c>
      <c r="I85" s="65">
        <f>-ROUND(SUMIF($I$16:$I$77,H85,$G$16:$G$77),2)</f>
        <v>-308990.13</v>
      </c>
    </row>
    <row r="86" spans="2:18" x14ac:dyDescent="0.2">
      <c r="B86" s="66"/>
      <c r="C86" s="67"/>
      <c r="D86" s="76"/>
      <c r="E86" s="76"/>
      <c r="F86" s="76"/>
      <c r="H86" s="39" t="s">
        <v>21</v>
      </c>
      <c r="I86" s="65">
        <f t="shared" ref="I86:I94" si="19">-ROUND(SUMIF($I$16:$I$77,H86,$G$16:$G$77),2)</f>
        <v>-27242.36</v>
      </c>
    </row>
    <row r="87" spans="2:18" x14ac:dyDescent="0.2">
      <c r="B87" s="68" t="s">
        <v>47</v>
      </c>
      <c r="C87" s="69">
        <f>G22+G32</f>
        <v>81480374.829546556</v>
      </c>
      <c r="D87" s="77">
        <f t="shared" ref="D87:F88" si="20">C87*(1+0.015)</f>
        <v>82702580.45198974</v>
      </c>
      <c r="E87" s="77">
        <f t="shared" si="20"/>
        <v>83943119.158769578</v>
      </c>
      <c r="F87" s="77">
        <f t="shared" si="20"/>
        <v>85202265.946151108</v>
      </c>
      <c r="G87" s="39" t="s">
        <v>48</v>
      </c>
      <c r="H87" s="39" t="s">
        <v>49</v>
      </c>
      <c r="I87" s="65">
        <f t="shared" si="19"/>
        <v>0</v>
      </c>
    </row>
    <row r="88" spans="2:18" x14ac:dyDescent="0.2">
      <c r="B88" s="68" t="s">
        <v>50</v>
      </c>
      <c r="C88" s="69">
        <f>G62</f>
        <v>2241141.0027868128</v>
      </c>
      <c r="D88" s="77">
        <f t="shared" si="20"/>
        <v>2274758.117828615</v>
      </c>
      <c r="E88" s="77">
        <f t="shared" si="20"/>
        <v>2308879.4895960442</v>
      </c>
      <c r="F88" s="77">
        <f t="shared" si="20"/>
        <v>2343512.6819399847</v>
      </c>
      <c r="G88" s="39" t="s">
        <v>48</v>
      </c>
      <c r="H88" s="39" t="s">
        <v>18</v>
      </c>
      <c r="I88" s="65">
        <f t="shared" si="19"/>
        <v>-37551208.880000003</v>
      </c>
    </row>
    <row r="89" spans="2:18" x14ac:dyDescent="0.2">
      <c r="B89" s="68" t="s">
        <v>51</v>
      </c>
      <c r="C89" s="69">
        <f>G42</f>
        <v>3769243.6626701481</v>
      </c>
      <c r="D89" s="69">
        <v>3769243.6626701481</v>
      </c>
      <c r="E89" s="69">
        <v>3769243.6626701481</v>
      </c>
      <c r="F89" s="69">
        <v>3769243.6626701481</v>
      </c>
      <c r="H89" s="39" t="s">
        <v>19</v>
      </c>
      <c r="I89" s="65">
        <f t="shared" si="19"/>
        <v>-11992527.199999999</v>
      </c>
    </row>
    <row r="90" spans="2:18" x14ac:dyDescent="0.2">
      <c r="B90" s="68" t="s">
        <v>52</v>
      </c>
      <c r="C90" s="69">
        <f>G52</f>
        <v>0</v>
      </c>
      <c r="D90" s="69">
        <v>0</v>
      </c>
      <c r="E90" s="69">
        <v>0</v>
      </c>
      <c r="F90" s="69">
        <v>0</v>
      </c>
      <c r="H90" s="39" t="s">
        <v>20</v>
      </c>
      <c r="I90" s="65">
        <f t="shared" si="19"/>
        <v>-31600406.27</v>
      </c>
    </row>
    <row r="91" spans="2:18" x14ac:dyDescent="0.2">
      <c r="B91" s="68" t="s">
        <v>53</v>
      </c>
      <c r="C91" s="69">
        <f>G72</f>
        <v>329579.55923335475</v>
      </c>
      <c r="D91" s="69">
        <v>329579.55923335475</v>
      </c>
      <c r="E91" s="69">
        <v>329579.55923335475</v>
      </c>
      <c r="F91" s="69">
        <v>329579.55923335475</v>
      </c>
      <c r="H91" s="39" t="s">
        <v>37</v>
      </c>
      <c r="I91" s="65">
        <f t="shared" si="19"/>
        <v>-1182411.1499999999</v>
      </c>
    </row>
    <row r="92" spans="2:18" x14ac:dyDescent="0.2">
      <c r="B92" s="68" t="s">
        <v>54</v>
      </c>
      <c r="C92" s="69"/>
      <c r="D92" s="69"/>
      <c r="E92" s="69"/>
      <c r="F92" s="69"/>
      <c r="H92" s="39" t="s">
        <v>38</v>
      </c>
      <c r="I92" s="65">
        <f t="shared" si="19"/>
        <v>-377740.17</v>
      </c>
    </row>
    <row r="93" spans="2:18" x14ac:dyDescent="0.2">
      <c r="B93" s="36" t="s">
        <v>55</v>
      </c>
      <c r="C93" s="69">
        <f>+E82</f>
        <v>227404.45805866737</v>
      </c>
      <c r="D93" s="52">
        <v>227404.45805866737</v>
      </c>
      <c r="E93" s="52">
        <v>227404.45805866737</v>
      </c>
      <c r="F93" s="52">
        <v>227404.45805866737</v>
      </c>
      <c r="H93" s="39" t="s">
        <v>39</v>
      </c>
      <c r="I93" s="65">
        <f t="shared" si="19"/>
        <v>-999908.71</v>
      </c>
    </row>
    <row r="94" spans="2:18" x14ac:dyDescent="0.2">
      <c r="B94" s="37" t="s">
        <v>11</v>
      </c>
      <c r="C94" s="6">
        <f>SUM(C87:C93)</f>
        <v>88047743.512295544</v>
      </c>
      <c r="D94" s="73">
        <f>SUM(D87:D93)</f>
        <v>89303566.249780521</v>
      </c>
      <c r="E94" s="74">
        <f>SUM(E87:E93)</f>
        <v>90578226.32832779</v>
      </c>
      <c r="F94" s="75">
        <f>SUM(F87:F93)</f>
        <v>91872006.30805327</v>
      </c>
      <c r="H94" s="39" t="s">
        <v>41</v>
      </c>
      <c r="I94" s="65">
        <f t="shared" si="19"/>
        <v>-9802.9500000000007</v>
      </c>
    </row>
  </sheetData>
  <mergeCells count="6">
    <mergeCell ref="D74:E75"/>
    <mergeCell ref="B3:E3"/>
    <mergeCell ref="C14:C15"/>
    <mergeCell ref="D14:D15"/>
    <mergeCell ref="C24:C25"/>
    <mergeCell ref="D24:D25"/>
  </mergeCells>
  <pageMargins left="0.70866141732283472" right="0.51181102362204722" top="0.34" bottom="0.27559055118110237" header="0.18" footer="0.15748031496062992"/>
  <pageSetup scale="61" orientation="portrait" cellComments="asDisplayed" r:id="rId1"/>
  <headerFooter>
    <oddFooter>&amp;L&amp;"-,Italic"&amp;8&amp;Z&amp;F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A3C2-1CB4-4860-B871-CB1F352E791E}">
  <dimension ref="A1"/>
  <sheetViews>
    <sheetView workbookViewId="0">
      <selection activeCell="P25" sqref="P25"/>
    </sheetView>
  </sheetViews>
  <sheetFormatPr defaultRowHeight="15" x14ac:dyDescent="0.25"/>
  <sheetData>
    <row r="1" spans="1:1" x14ac:dyDescent="0.25">
      <c r="A1" t="s">
        <v>56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&amp;L&amp;"-,Italic"&amp;8&amp;Z&amp;F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2019_2022 COP Forecast </vt:lpstr>
      <vt:lpstr>IESO 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Bell</dc:creator>
  <cp:lastModifiedBy>Duke Energy</cp:lastModifiedBy>
  <cp:lastPrinted>2020-01-17T21:10:16Z</cp:lastPrinted>
  <dcterms:created xsi:type="dcterms:W3CDTF">2020-01-17T20:45:10Z</dcterms:created>
  <dcterms:modified xsi:type="dcterms:W3CDTF">2020-11-20T19:29:49Z</dcterms:modified>
</cp:coreProperties>
</file>