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2021 COS rate application\Interrogatories\"/>
    </mc:Choice>
  </mc:AlternateContent>
  <bookViews>
    <workbookView xWindow="0" yWindow="0" windowWidth="15360" windowHeight="5505" activeTab="4"/>
  </bookViews>
  <sheets>
    <sheet name="2015" sheetId="1" r:id="rId1"/>
    <sheet name="2016" sheetId="7" r:id="rId2"/>
    <sheet name="2017" sheetId="8" r:id="rId3"/>
    <sheet name="2018" sheetId="9" r:id="rId4"/>
    <sheet name="2019" sheetId="10" r:id="rId5"/>
    <sheet name="2020" sheetId="11" r:id="rId6"/>
  </sheets>
  <externalReferences>
    <externalReference r:id="rId7"/>
    <externalReference r:id="rId8"/>
  </externalReferences>
  <definedNames>
    <definedName name="BridgeYear">'[1]LDC Info'!$E$26</definedName>
    <definedName name="TestYear">'[1]LDC Info'!$E$24</definedName>
    <definedName name="TestYrPL">'[2]Revenue Requirement'!$B$10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14" i="1" l="1"/>
  <c r="E47" i="11"/>
  <c r="F47" i="11" s="1"/>
  <c r="E46" i="11"/>
  <c r="F46" i="11" s="1"/>
  <c r="E45" i="11"/>
  <c r="F45" i="11" s="1"/>
  <c r="E44" i="11"/>
  <c r="F44" i="11" s="1"/>
  <c r="E43" i="11"/>
  <c r="E39" i="11"/>
  <c r="F39" i="11" s="1"/>
  <c r="E38" i="11"/>
  <c r="F38" i="11" s="1"/>
  <c r="E37" i="11"/>
  <c r="F37" i="11" s="1"/>
  <c r="E33" i="11"/>
  <c r="F33" i="11" s="1"/>
  <c r="E32" i="11"/>
  <c r="F32" i="11" s="1"/>
  <c r="E31" i="11"/>
  <c r="F31" i="11" s="1"/>
  <c r="E30" i="11"/>
  <c r="F30" i="11" s="1"/>
  <c r="E29" i="11"/>
  <c r="F29" i="11" s="1"/>
  <c r="E28" i="11"/>
  <c r="F28" i="11" s="1"/>
  <c r="E27" i="11"/>
  <c r="F27" i="11" s="1"/>
  <c r="E26" i="11"/>
  <c r="F26" i="11" s="1"/>
  <c r="E25" i="11"/>
  <c r="E24" i="11"/>
  <c r="F24" i="11" s="1"/>
  <c r="E23" i="11"/>
  <c r="F23" i="11" s="1"/>
  <c r="E22" i="11"/>
  <c r="E18" i="11"/>
  <c r="E17" i="1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5" i="11"/>
  <c r="E49" i="10"/>
  <c r="F49" i="10" s="1"/>
  <c r="E48" i="10"/>
  <c r="F48" i="10" s="1"/>
  <c r="E47" i="10"/>
  <c r="F47" i="10" s="1"/>
  <c r="E46" i="10"/>
  <c r="E42" i="10"/>
  <c r="F42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E31" i="10"/>
  <c r="E30" i="10"/>
  <c r="F30" i="10" s="1"/>
  <c r="E29" i="10"/>
  <c r="F29" i="10" s="1"/>
  <c r="E28" i="10"/>
  <c r="F28" i="10" s="1"/>
  <c r="E27" i="10"/>
  <c r="F27" i="10" s="1"/>
  <c r="E26" i="10"/>
  <c r="F26" i="10" s="1"/>
  <c r="E25" i="10"/>
  <c r="F25" i="10" s="1"/>
  <c r="E24" i="10"/>
  <c r="E38" i="10" s="1"/>
  <c r="E20" i="10"/>
  <c r="E19" i="10"/>
  <c r="F19" i="10" s="1"/>
  <c r="E18" i="10"/>
  <c r="F18" i="10" s="1"/>
  <c r="E17" i="10"/>
  <c r="F17" i="10" s="1"/>
  <c r="E16" i="10"/>
  <c r="F16" i="10" s="1"/>
  <c r="E49" i="9"/>
  <c r="F49" i="9" s="1"/>
  <c r="E48" i="9"/>
  <c r="F48" i="9" s="1"/>
  <c r="E47" i="9"/>
  <c r="F47" i="9" s="1"/>
  <c r="E46" i="9"/>
  <c r="E42" i="9"/>
  <c r="F42" i="9" s="1"/>
  <c r="E41" i="9"/>
  <c r="F41" i="9" s="1"/>
  <c r="E39" i="9"/>
  <c r="F39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E28" i="9"/>
  <c r="E27" i="9"/>
  <c r="F27" i="9" s="1"/>
  <c r="F26" i="9"/>
  <c r="E26" i="9"/>
  <c r="E25" i="9"/>
  <c r="F25" i="9" s="1"/>
  <c r="E24" i="9"/>
  <c r="F24" i="9" s="1"/>
  <c r="E23" i="9"/>
  <c r="E22" i="9"/>
  <c r="F22" i="9" s="1"/>
  <c r="E21" i="9"/>
  <c r="F21" i="9" s="1"/>
  <c r="E20" i="9"/>
  <c r="F20" i="9" s="1"/>
  <c r="E19" i="9"/>
  <c r="E15" i="9"/>
  <c r="E14" i="9"/>
  <c r="F14" i="9" s="1"/>
  <c r="E13" i="9"/>
  <c r="F13" i="9" s="1"/>
  <c r="E51" i="8"/>
  <c r="F51" i="8" s="1"/>
  <c r="E50" i="8"/>
  <c r="F50" i="8" s="1"/>
  <c r="E49" i="8"/>
  <c r="F49" i="8" s="1"/>
  <c r="E43" i="8"/>
  <c r="F43" i="8" s="1"/>
  <c r="E42" i="8"/>
  <c r="E40" i="8"/>
  <c r="E36" i="8"/>
  <c r="F36" i="8" s="1"/>
  <c r="E35" i="8"/>
  <c r="F35" i="8" s="1"/>
  <c r="E34" i="8"/>
  <c r="F34" i="8" s="1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E25" i="8"/>
  <c r="F25" i="8" s="1"/>
  <c r="E24" i="8"/>
  <c r="F24" i="8" s="1"/>
  <c r="E23" i="8"/>
  <c r="F23" i="8" s="1"/>
  <c r="E22" i="8"/>
  <c r="E21" i="8"/>
  <c r="E20" i="8"/>
  <c r="F20" i="8" s="1"/>
  <c r="E19" i="8"/>
  <c r="E15" i="8"/>
  <c r="E14" i="8"/>
  <c r="F14" i="8" s="1"/>
  <c r="E13" i="8"/>
  <c r="F13" i="8" s="1"/>
  <c r="E51" i="7"/>
  <c r="F51" i="7" s="1"/>
  <c r="E50" i="7"/>
  <c r="F50" i="7" s="1"/>
  <c r="E49" i="7"/>
  <c r="E44" i="7"/>
  <c r="F44" i="7" s="1"/>
  <c r="E39" i="7"/>
  <c r="F39" i="7" s="1"/>
  <c r="E38" i="7"/>
  <c r="F38" i="7" s="1"/>
  <c r="E37" i="7"/>
  <c r="F37" i="7" s="1"/>
  <c r="E36" i="7"/>
  <c r="F36" i="7" s="1"/>
  <c r="E35" i="7"/>
  <c r="F35" i="7" s="1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E27" i="7"/>
  <c r="F27" i="7" s="1"/>
  <c r="E26" i="7"/>
  <c r="F26" i="7" s="1"/>
  <c r="E25" i="7"/>
  <c r="E21" i="7"/>
  <c r="E20" i="7"/>
  <c r="F20" i="7" s="1"/>
  <c r="E19" i="7"/>
  <c r="F19" i="7" s="1"/>
  <c r="E18" i="7"/>
  <c r="F18" i="7" s="1"/>
  <c r="E48" i="1"/>
  <c r="F48" i="1" s="1"/>
  <c r="E47" i="1"/>
  <c r="F47" i="1" s="1"/>
  <c r="E46" i="1"/>
  <c r="F46" i="1" s="1"/>
  <c r="E45" i="1"/>
  <c r="F45" i="1" s="1"/>
  <c r="E44" i="1"/>
  <c r="E38" i="1"/>
  <c r="F38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6" i="1"/>
  <c r="F26" i="1" s="1"/>
  <c r="E25" i="1"/>
  <c r="F25" i="1" s="1"/>
  <c r="E24" i="1"/>
  <c r="F24" i="1" s="1"/>
  <c r="E23" i="1"/>
  <c r="F23" i="1" s="1"/>
  <c r="E22" i="1"/>
  <c r="E18" i="1"/>
  <c r="E8" i="10"/>
  <c r="E8" i="9"/>
  <c r="E8" i="8"/>
  <c r="F8" i="8" s="1"/>
  <c r="E12" i="7"/>
  <c r="E17" i="1"/>
  <c r="F17" i="1" s="1"/>
  <c r="E8" i="1"/>
  <c r="E35" i="11" l="1"/>
  <c r="F8" i="10"/>
  <c r="F46" i="10"/>
  <c r="F46" i="9"/>
  <c r="F8" i="9"/>
  <c r="E36" i="9"/>
  <c r="E38" i="8"/>
  <c r="F40" i="8"/>
  <c r="F25" i="7"/>
  <c r="E41" i="7"/>
  <c r="F12" i="7"/>
  <c r="F49" i="7"/>
  <c r="F8" i="1"/>
  <c r="F22" i="1"/>
  <c r="F44" i="1"/>
  <c r="E50" i="1"/>
  <c r="F5" i="11"/>
  <c r="E20" i="11"/>
  <c r="E49" i="11"/>
  <c r="F43" i="11"/>
  <c r="E41" i="11"/>
  <c r="F22" i="11"/>
  <c r="E51" i="11" l="1"/>
  <c r="D49" i="11" l="1"/>
  <c r="D41" i="11"/>
  <c r="D35" i="11"/>
  <c r="D20" i="11"/>
  <c r="D51" i="11" l="1"/>
  <c r="C40" i="10"/>
  <c r="E40" i="10" s="1"/>
  <c r="C50" i="10"/>
  <c r="E50" i="10" s="1"/>
  <c r="C38" i="9"/>
  <c r="E38" i="9" s="1"/>
  <c r="C50" i="9"/>
  <c r="E50" i="9" s="1"/>
  <c r="C48" i="8"/>
  <c r="E48" i="8" s="1"/>
  <c r="C52" i="8"/>
  <c r="E52" i="8" s="1"/>
  <c r="F52" i="8" s="1"/>
  <c r="C43" i="7"/>
  <c r="E43" i="7" s="1"/>
  <c r="F50" i="10" l="1"/>
  <c r="E52" i="10"/>
  <c r="F40" i="10"/>
  <c r="F50" i="9"/>
  <c r="E52" i="9"/>
  <c r="F38" i="9"/>
  <c r="F48" i="8"/>
  <c r="E54" i="8"/>
  <c r="F43" i="7"/>
  <c r="C53" i="7"/>
  <c r="E53" i="7" s="1"/>
  <c r="F53" i="7" s="1"/>
  <c r="C52" i="7"/>
  <c r="E52" i="7" s="1"/>
  <c r="F52" i="7" l="1"/>
  <c r="E55" i="7"/>
  <c r="C39" i="1"/>
  <c r="E39" i="1" s="1"/>
  <c r="F39" i="1" l="1"/>
  <c r="C40" i="1"/>
  <c r="E40" i="1" s="1"/>
  <c r="F40" i="1" s="1"/>
  <c r="C13" i="1"/>
  <c r="E13" i="1" s="1"/>
  <c r="F13" i="1" s="1"/>
  <c r="C27" i="1"/>
  <c r="E27" i="1" s="1"/>
  <c r="F27" i="1" l="1"/>
  <c r="E36" i="1"/>
  <c r="E42" i="1"/>
  <c r="D46" i="8"/>
  <c r="C41" i="10" l="1"/>
  <c r="C15" i="10"/>
  <c r="E15" i="10" s="1"/>
  <c r="F15" i="10" s="1"/>
  <c r="C9" i="10"/>
  <c r="E9" i="10" s="1"/>
  <c r="C52" i="10"/>
  <c r="C38" i="10"/>
  <c r="C22" i="10"/>
  <c r="C40" i="9"/>
  <c r="E40" i="9" s="1"/>
  <c r="C12" i="9"/>
  <c r="E12" i="9" s="1"/>
  <c r="F12" i="9" s="1"/>
  <c r="C9" i="9"/>
  <c r="E9" i="9" s="1"/>
  <c r="C52" i="9"/>
  <c r="C36" i="9"/>
  <c r="C41" i="8"/>
  <c r="C44" i="8"/>
  <c r="E44" i="8" s="1"/>
  <c r="F44" i="8" s="1"/>
  <c r="C12" i="8"/>
  <c r="E12" i="8" s="1"/>
  <c r="F12" i="8" s="1"/>
  <c r="C9" i="8"/>
  <c r="E9" i="8" s="1"/>
  <c r="C54" i="8"/>
  <c r="C38" i="8"/>
  <c r="C45" i="7"/>
  <c r="E45" i="7" s="1"/>
  <c r="C17" i="7"/>
  <c r="C13" i="7"/>
  <c r="E13" i="7" s="1"/>
  <c r="C55" i="7"/>
  <c r="C47" i="7"/>
  <c r="C41" i="7"/>
  <c r="C36" i="1"/>
  <c r="C50" i="1"/>
  <c r="C42" i="1"/>
  <c r="F9" i="10" l="1"/>
  <c r="E22" i="10"/>
  <c r="C44" i="10"/>
  <c r="E41" i="10"/>
  <c r="F40" i="9"/>
  <c r="E44" i="9"/>
  <c r="C17" i="9"/>
  <c r="C44" i="9"/>
  <c r="F9" i="9"/>
  <c r="E17" i="9"/>
  <c r="E54" i="9" s="1"/>
  <c r="E41" i="8"/>
  <c r="C46" i="8"/>
  <c r="F9" i="8"/>
  <c r="E17" i="8"/>
  <c r="C23" i="7"/>
  <c r="E17" i="7"/>
  <c r="F17" i="7" s="1"/>
  <c r="F13" i="7"/>
  <c r="E23" i="7"/>
  <c r="E57" i="7" s="1"/>
  <c r="F45" i="7"/>
  <c r="E47" i="7"/>
  <c r="C54" i="10"/>
  <c r="C17" i="8"/>
  <c r="C56" i="8" s="1"/>
  <c r="C57" i="7"/>
  <c r="F41" i="10" l="1"/>
  <c r="E44" i="10"/>
  <c r="E54" i="10" s="1"/>
  <c r="C54" i="9"/>
  <c r="F41" i="8"/>
  <c r="E46" i="8"/>
  <c r="E56" i="8" s="1"/>
  <c r="C9" i="1"/>
  <c r="C20" i="1" l="1"/>
  <c r="C52" i="1" s="1"/>
  <c r="E9" i="1"/>
  <c r="C49" i="11"/>
  <c r="C41" i="11"/>
  <c r="C35" i="11"/>
  <c r="C20" i="11"/>
  <c r="D52" i="10"/>
  <c r="D44" i="10"/>
  <c r="D38" i="10"/>
  <c r="D22" i="10"/>
  <c r="D52" i="9"/>
  <c r="D44" i="9"/>
  <c r="D36" i="9"/>
  <c r="D17" i="9"/>
  <c r="D54" i="8"/>
  <c r="D38" i="8"/>
  <c r="D17" i="8"/>
  <c r="D55" i="7"/>
  <c r="D47" i="7"/>
  <c r="D41" i="7"/>
  <c r="D23" i="7"/>
  <c r="D50" i="1"/>
  <c r="D42" i="1"/>
  <c r="F9" i="1" l="1"/>
  <c r="E20" i="1"/>
  <c r="E52" i="1" s="1"/>
  <c r="C51" i="11"/>
  <c r="D54" i="10"/>
  <c r="D54" i="9"/>
  <c r="D56" i="8"/>
  <c r="D57" i="7"/>
  <c r="D36" i="1"/>
  <c r="D20" i="1"/>
  <c r="D52" i="1" l="1"/>
</calcChain>
</file>

<file path=xl/sharedStrings.xml><?xml version="1.0" encoding="utf-8"?>
<sst xmlns="http://schemas.openxmlformats.org/spreadsheetml/2006/main" count="314" uniqueCount="126">
  <si>
    <t>Projects</t>
  </si>
  <si>
    <t xml:space="preserve"> Ref #</t>
  </si>
  <si>
    <t>System Access</t>
  </si>
  <si>
    <t>Customer Driven System Reinforcements for New Commercial Service Connections</t>
  </si>
  <si>
    <t>Commercial Connection Projects Less Than Materiality</t>
  </si>
  <si>
    <t>King St. Bell Joint Use Pole Replacement</t>
  </si>
  <si>
    <t>NRWC Wind Farm Line Conflicts</t>
  </si>
  <si>
    <t xml:space="preserve">Enercon Wind Farm Line Conflicts </t>
  </si>
  <si>
    <t>Eptcon Stringing Conflicts</t>
  </si>
  <si>
    <t>FWRN LP  Line Conflicts</t>
  </si>
  <si>
    <t>Oldfield Rd 3-Ph Pole Line</t>
  </si>
  <si>
    <t>Mcleod @ Montrose &amp; Oakwood</t>
  </si>
  <si>
    <t>Fallsview Entertainment Complex</t>
  </si>
  <si>
    <t>Garner Road Line Rebuild to 3-Phase</t>
  </si>
  <si>
    <t>Motor Vehicle Accidents</t>
  </si>
  <si>
    <t>Metering</t>
  </si>
  <si>
    <t>Warren Woods Subdivision Phase 3</t>
  </si>
  <si>
    <t>Oldfield Estates Subdivision Phase 1</t>
  </si>
  <si>
    <t>Oldfield Estates Subdivision Phase 2</t>
  </si>
  <si>
    <t>Warren Woods Subdivision Phase 4</t>
  </si>
  <si>
    <t>Warren Woods Subdivision Phase 4 Stage 2</t>
  </si>
  <si>
    <t>Warren Woods Subdivision Phase 5</t>
  </si>
  <si>
    <t>Cherry Heights Extension</t>
  </si>
  <si>
    <t>Vista Ridge Phase 1</t>
  </si>
  <si>
    <t>Warren Woods Phase 5 Stage 2</t>
  </si>
  <si>
    <t>Terravita Subdivision</t>
  </si>
  <si>
    <t>New Subdivision Projects Below Materiality</t>
  </si>
  <si>
    <t>New Connections in Existing Subdivisions</t>
  </si>
  <si>
    <t>Transfer of Expansion Facilities from Customers</t>
  </si>
  <si>
    <t xml:space="preserve">Road Relocation Projects </t>
  </si>
  <si>
    <t>RMN -  Reg Rd #18-Mountain Relocation</t>
  </si>
  <si>
    <t>CNF Level St U/G Relocate</t>
  </si>
  <si>
    <t>Clifton Hill Primary Upgrade</t>
  </si>
  <si>
    <t>KM3 - Link</t>
  </si>
  <si>
    <t>Pin Oak Main Loop</t>
  </si>
  <si>
    <t>GPI Feeder Build</t>
  </si>
  <si>
    <t>Thorold Stone - Bridge Roundabout</t>
  </si>
  <si>
    <t>Jordan UG Relocate</t>
  </si>
  <si>
    <t>RR20 Roundabouts</t>
  </si>
  <si>
    <t>Fallsview UG Relocate</t>
  </si>
  <si>
    <t xml:space="preserve">Kalar TS Additional Switchgear </t>
  </si>
  <si>
    <t>Miscellaneous</t>
  </si>
  <si>
    <t>Sub-Total</t>
  </si>
  <si>
    <t>System Renewal</t>
  </si>
  <si>
    <t>Crawford St. Rebuild - Thorold Stone to Sheldon</t>
  </si>
  <si>
    <t>Willodel Rd. - Gonder to Koabel</t>
  </si>
  <si>
    <t>Willoughby Dr. - Main to Cattell</t>
  </si>
  <si>
    <t>Willoughby Dr. - Cattell to Weinbrenner</t>
  </si>
  <si>
    <t>Transformer Replacements - PCB &gt; 50 ppm</t>
  </si>
  <si>
    <t>Downtown core PILCDSTA Decomissioning</t>
  </si>
  <si>
    <t>Station 22 Rebuild - Ph 1 Carryover / Phase 2</t>
  </si>
  <si>
    <t>Beck Road Rebuild - Marshall to Schisler</t>
  </si>
  <si>
    <t>Frederica St Rebuild - Dorchester to Drummond</t>
  </si>
  <si>
    <t>NS&amp;T ROW - Crossing the QEW</t>
  </si>
  <si>
    <t>Jordan Rd Rebuild Phase 2 - Honsberger from Jordan to Thirteenth</t>
  </si>
  <si>
    <t>Jordan Rd Rebuild Phase 3</t>
  </si>
  <si>
    <t>Jordan Rd Rebuild Phase 4</t>
  </si>
  <si>
    <t>Kalar TS Protection Equipment Refurbishment</t>
  </si>
  <si>
    <t>Kalar TS Relay Upgrade</t>
  </si>
  <si>
    <t>Dorchester Road Rebuild - McLeod to Dunn</t>
  </si>
  <si>
    <t>Concession 2 Rd - Caistorville Rd to Westbrook Rd</t>
  </si>
  <si>
    <t>Thorold Stone Rd Rebuild - Montrose to Kalar</t>
  </si>
  <si>
    <t>Portage Rd. Rebuild - Mountain to Church's Lane</t>
  </si>
  <si>
    <t>Campden DS Power Tx - Replace with Former Jordan DS Tx</t>
  </si>
  <si>
    <t>Station St. DS - Power Transformer Replacement</t>
  </si>
  <si>
    <t>Station 14 Voltage Conversion - Phase 1</t>
  </si>
  <si>
    <t>Station 14 Voltge Conversion Phase 2</t>
  </si>
  <si>
    <t>Station 14 Voltage Conversion - Phase 3</t>
  </si>
  <si>
    <t>Victoria Ave South of Fly Rd - Phase 1</t>
  </si>
  <si>
    <t>Victoria Ave South of Fly Rd - Phase 2</t>
  </si>
  <si>
    <t>Oakwood Drive - South of Smart Centre to QEW</t>
  </si>
  <si>
    <t>Dorchester Road Rebuild - Mountain to Riall</t>
  </si>
  <si>
    <t>Chippawa Redundant Supply - Phase 1</t>
  </si>
  <si>
    <t>Chippawa Redundant Supply - River Crossing</t>
  </si>
  <si>
    <t>Murray TS - J Bus Metering</t>
  </si>
  <si>
    <t>Victoria Ave Rebuild - 7th Ave Phase 2</t>
  </si>
  <si>
    <t xml:space="preserve">Campden DS Tx Failure </t>
  </si>
  <si>
    <t>Mountain Road - St. Paul St. to Mewburn</t>
  </si>
  <si>
    <t>Sinnicks Ave Rebuild - Thorold Stone to Swayze</t>
  </si>
  <si>
    <t>McRae St. Area Rebuild Ph 1</t>
  </si>
  <si>
    <t>King St. Rebuild Phase 1 - Bartlett Rd to Sann Rd.</t>
  </si>
  <si>
    <t>Pole Replacements</t>
  </si>
  <si>
    <t>Kiosk Replacements</t>
  </si>
  <si>
    <t>Switchgear Replacements</t>
  </si>
  <si>
    <t>Pole Mount Step Down Transformer Eliminations - Lincoln / West Lincoln</t>
  </si>
  <si>
    <t>Rolling Acres OH to UG Conversion Phase 3</t>
  </si>
  <si>
    <t>Stanley TS - HONI Initiated</t>
  </si>
  <si>
    <t>Subdivision Rehabilitation - Phase 1</t>
  </si>
  <si>
    <t>Subdivision Rehabilitation Phase 2</t>
  </si>
  <si>
    <t>System Service</t>
  </si>
  <si>
    <t>King St. 27.6 kV Extension to Martin Rd</t>
  </si>
  <si>
    <t>Heartland Road Extension - Brown Rd to Chippawa Creek</t>
  </si>
  <si>
    <t>Grid Modernization Program</t>
  </si>
  <si>
    <t>Glenholme to Franklin Ave - 600 MCM UG Install</t>
  </si>
  <si>
    <t>Brown Road Extension - Montrose to Blackburn</t>
  </si>
  <si>
    <t>Range Road 2 - East of Allen</t>
  </si>
  <si>
    <t>System Sustainment / Minor Betterments</t>
  </si>
  <si>
    <t>Willoughby Road Extension</t>
  </si>
  <si>
    <t>Kalar TS Power Transformer Dry Down Equipment</t>
  </si>
  <si>
    <t>Greenlane Rd at Ontario - Tie Point</t>
  </si>
  <si>
    <t>General Plant</t>
  </si>
  <si>
    <t>Building</t>
  </si>
  <si>
    <t>Hardware</t>
  </si>
  <si>
    <t>Software</t>
  </si>
  <si>
    <t>Vehicles</t>
  </si>
  <si>
    <t>General Equipment</t>
  </si>
  <si>
    <t>Total</t>
  </si>
  <si>
    <t>2020 Bridge Year Budget</t>
  </si>
  <si>
    <t>2020 Bridge Year Projected</t>
  </si>
  <si>
    <t>2015 Actual</t>
  </si>
  <si>
    <t>2015 Budget</t>
  </si>
  <si>
    <t>2016 Budget</t>
  </si>
  <si>
    <t>2016 Actual</t>
  </si>
  <si>
    <t>2017 Budget</t>
  </si>
  <si>
    <t>2017 Actual</t>
  </si>
  <si>
    <t>2018 Budget</t>
  </si>
  <si>
    <t>2018 Actual</t>
  </si>
  <si>
    <t>2019 Budget</t>
  </si>
  <si>
    <t>2019 Actual</t>
  </si>
  <si>
    <t>Montrose - Oakwood to Biggar</t>
  </si>
  <si>
    <t>NWTC Metering</t>
  </si>
  <si>
    <t>Difference Actual vs Budget ($)</t>
  </si>
  <si>
    <t>Difference Actual vs Budget (%)</t>
  </si>
  <si>
    <t>Difference Projected vs Original Application ($)</t>
  </si>
  <si>
    <t>Difference Projected vs Original Application (%)</t>
  </si>
  <si>
    <t>Rolling Acres OH to UG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</si>
</sst>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3" fontId="0" fillId="3" borderId="4" xfId="2" applyNumberFormat="1" applyFont="1" applyFill="1" applyBorder="1" applyProtection="1">
      <protection locked="0"/>
    </xf>
    <xf numFmtId="3" fontId="0" fillId="3" borderId="3" xfId="2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164" fontId="0" fillId="3" borderId="6" xfId="1" applyNumberFormat="1" applyFont="1" applyFill="1" applyBorder="1" applyProtection="1">
      <protection locked="0"/>
    </xf>
    <xf numFmtId="164" fontId="0" fillId="3" borderId="5" xfId="1" applyNumberFormat="1" applyFont="1" applyFill="1" applyBorder="1" applyProtection="1"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164" fontId="0" fillId="3" borderId="4" xfId="1" applyNumberFormat="1" applyFont="1" applyFill="1" applyBorder="1" applyProtection="1"/>
    <xf numFmtId="164" fontId="0" fillId="3" borderId="3" xfId="1" applyNumberFormat="1" applyFont="1" applyFill="1" applyBorder="1" applyProtection="1"/>
    <xf numFmtId="0" fontId="2" fillId="3" borderId="7" xfId="0" applyFont="1" applyFill="1" applyBorder="1" applyAlignment="1" applyProtection="1">
      <alignment wrapText="1"/>
      <protection locked="0"/>
    </xf>
    <xf numFmtId="164" fontId="0" fillId="3" borderId="8" xfId="1" applyNumberFormat="1" applyFont="1" applyFill="1" applyBorder="1" applyProtection="1">
      <protection locked="0"/>
    </xf>
    <xf numFmtId="164" fontId="0" fillId="3" borderId="7" xfId="1" applyNumberFormat="1" applyFont="1" applyFill="1" applyBorder="1" applyProtection="1">
      <protection locked="0"/>
    </xf>
    <xf numFmtId="3" fontId="2" fillId="3" borderId="9" xfId="0" applyNumberFormat="1" applyFont="1" applyFill="1" applyBorder="1" applyProtection="1"/>
    <xf numFmtId="3" fontId="2" fillId="3" borderId="10" xfId="0" applyNumberFormat="1" applyFont="1" applyFill="1" applyBorder="1" applyProtection="1"/>
    <xf numFmtId="164" fontId="2" fillId="3" borderId="11" xfId="1" applyNumberFormat="1" applyFont="1" applyFill="1" applyBorder="1" applyProtection="1"/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164" fontId="0" fillId="0" borderId="0" xfId="1" applyNumberFormat="1" applyFont="1"/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4" xfId="1" applyNumberFormat="1" applyFont="1" applyFill="1" applyBorder="1" applyProtection="1">
      <protection locked="0"/>
    </xf>
    <xf numFmtId="164" fontId="1" fillId="3" borderId="6" xfId="1" applyNumberFormat="1" applyFont="1" applyFill="1" applyBorder="1" applyProtection="1">
      <protection locked="0"/>
    </xf>
    <xf numFmtId="164" fontId="2" fillId="3" borderId="8" xfId="1" applyNumberFormat="1" applyFont="1" applyFill="1" applyBorder="1" applyAlignment="1" applyProtection="1">
      <alignment wrapText="1"/>
      <protection locked="0"/>
    </xf>
    <xf numFmtId="164" fontId="2" fillId="3" borderId="3" xfId="1" applyNumberFormat="1" applyFont="1" applyFill="1" applyBorder="1" applyProtection="1">
      <protection locked="0"/>
    </xf>
    <xf numFmtId="164" fontId="1" fillId="3" borderId="5" xfId="1" applyNumberFormat="1" applyFont="1" applyFill="1" applyBorder="1" applyProtection="1">
      <protection locked="0"/>
    </xf>
    <xf numFmtId="164" fontId="2" fillId="3" borderId="7" xfId="1" applyNumberFormat="1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>
      <alignment wrapText="1"/>
      <protection locked="0"/>
    </xf>
    <xf numFmtId="164" fontId="1" fillId="4" borderId="6" xfId="1" applyNumberFormat="1" applyFont="1" applyFill="1" applyBorder="1" applyProtection="1">
      <protection locked="0"/>
    </xf>
    <xf numFmtId="164" fontId="1" fillId="5" borderId="6" xfId="1" applyNumberFormat="1" applyFont="1" applyFill="1" applyBorder="1" applyProtection="1">
      <protection locked="0"/>
    </xf>
    <xf numFmtId="164" fontId="1" fillId="6" borderId="6" xfId="1" applyNumberFormat="1" applyFont="1" applyFill="1" applyBorder="1" applyProtection="1">
      <protection locked="0"/>
    </xf>
    <xf numFmtId="164" fontId="1" fillId="0" borderId="6" xfId="1" applyNumberFormat="1" applyFont="1" applyFill="1" applyBorder="1" applyProtection="1">
      <protection locked="0"/>
    </xf>
    <xf numFmtId="165" fontId="1" fillId="5" borderId="6" xfId="3" applyNumberFormat="1" applyFont="1" applyFill="1" applyBorder="1" applyProtection="1">
      <protection locked="0"/>
    </xf>
    <xf numFmtId="165" fontId="0" fillId="0" borderId="0" xfId="3" applyNumberFormat="1" applyFont="1"/>
    <xf numFmtId="165" fontId="2" fillId="2" borderId="1" xfId="3" applyNumberFormat="1" applyFont="1" applyFill="1" applyBorder="1" applyAlignment="1" applyProtection="1">
      <alignment horizontal="center" vertical="center" wrapText="1"/>
    </xf>
    <xf numFmtId="165" fontId="0" fillId="3" borderId="4" xfId="3" applyNumberFormat="1" applyFont="1" applyFill="1" applyBorder="1" applyProtection="1">
      <protection locked="0"/>
    </xf>
    <xf numFmtId="165" fontId="0" fillId="3" borderId="6" xfId="3" applyNumberFormat="1" applyFont="1" applyFill="1" applyBorder="1" applyProtection="1">
      <protection locked="0"/>
    </xf>
    <xf numFmtId="165" fontId="1" fillId="6" borderId="6" xfId="3" applyNumberFormat="1" applyFont="1" applyFill="1" applyBorder="1" applyProtection="1">
      <protection locked="0"/>
    </xf>
    <xf numFmtId="165" fontId="1" fillId="4" borderId="6" xfId="3" applyNumberFormat="1" applyFont="1" applyFill="1" applyBorder="1" applyProtection="1">
      <protection locked="0"/>
    </xf>
    <xf numFmtId="165" fontId="0" fillId="3" borderId="4" xfId="3" applyNumberFormat="1" applyFont="1" applyFill="1" applyBorder="1" applyProtection="1"/>
    <xf numFmtId="165" fontId="0" fillId="3" borderId="8" xfId="3" applyNumberFormat="1" applyFont="1" applyFill="1" applyBorder="1" applyProtection="1">
      <protection locked="0"/>
    </xf>
    <xf numFmtId="165" fontId="2" fillId="3" borderId="11" xfId="3" applyNumberFormat="1" applyFont="1" applyFill="1" applyBorder="1" applyProtection="1"/>
    <xf numFmtId="165" fontId="0" fillId="3" borderId="3" xfId="3" applyNumberFormat="1" applyFont="1" applyFill="1" applyBorder="1" applyProtection="1">
      <protection locked="0"/>
    </xf>
    <xf numFmtId="165" fontId="1" fillId="0" borderId="6" xfId="3" applyNumberFormat="1" applyFont="1" applyFill="1" applyBorder="1" applyProtection="1">
      <protection locked="0"/>
    </xf>
    <xf numFmtId="165" fontId="0" fillId="3" borderId="5" xfId="3" applyNumberFormat="1" applyFont="1" applyFill="1" applyBorder="1" applyProtection="1">
      <protection locked="0"/>
    </xf>
    <xf numFmtId="165" fontId="0" fillId="3" borderId="3" xfId="3" applyNumberFormat="1" applyFont="1" applyFill="1" applyBorder="1" applyProtection="1"/>
    <xf numFmtId="165" fontId="0" fillId="3" borderId="7" xfId="3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2021%20COS%20rate%20application/2020_Filing_Requirements_Chapter2_Appendic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Rebasing\2011%20Rate%20Application%20Files\Revenue%20Requirement%20Model%20-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/>
      <sheetData sheetId="2"/>
      <sheetData sheetId="3"/>
      <sheetData sheetId="4"/>
      <sheetData sheetId="5">
        <row r="16">
          <cell r="C16">
            <v>849328.70115274086</v>
          </cell>
        </row>
      </sheetData>
      <sheetData sheetId="6">
        <row r="17">
          <cell r="L17">
            <v>7462.9164967866946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B17">
            <v>2.31089364260307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7">
          <cell r="H27">
            <v>1.0396541424125987</v>
          </cell>
        </row>
      </sheetData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FA Continuity 2010"/>
      <sheetName val="FA Continuity 2011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2010 Balance Sheet"/>
      <sheetName val="2010 Income Statement"/>
      <sheetName val="2011 Balance Sheet"/>
      <sheetName val="2011 Income Statement"/>
      <sheetName val="Return on Capital"/>
      <sheetName val="Debt &amp; Capital Structure"/>
      <sheetName val="Tax rates"/>
      <sheetName val="CCA Continuity 2010"/>
      <sheetName val="CCA Continuity 2011"/>
      <sheetName val="Reserves Continuity"/>
      <sheetName val="Corporation Loss Continuity"/>
      <sheetName val="Tax Adjustments 2010"/>
      <sheetName val="Tax Adjustments 2011"/>
      <sheetName val="2011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topLeftCell="A34" zoomScaleNormal="100" workbookViewId="0">
      <selection activeCell="H48" sqref="H48"/>
    </sheetView>
  </sheetViews>
  <sheetFormatPr defaultRowHeight="12.75" x14ac:dyDescent="0.2"/>
  <cols>
    <col min="1" max="1" width="43.5703125" customWidth="1"/>
    <col min="2" max="2" width="6.140625" customWidth="1"/>
    <col min="3" max="3" width="13" style="26" customWidth="1"/>
    <col min="4" max="5" width="15.85546875" customWidth="1"/>
    <col min="6" max="6" width="15.85546875" style="40" customWidth="1"/>
  </cols>
  <sheetData>
    <row r="2" spans="1:6" ht="13.5" thickBot="1" x14ac:dyDescent="0.25"/>
    <row r="3" spans="1:6" s="22" customFormat="1" ht="48" customHeight="1" thickBot="1" x14ac:dyDescent="0.25">
      <c r="A3" s="20" t="s">
        <v>0</v>
      </c>
      <c r="B3" s="21" t="s">
        <v>1</v>
      </c>
      <c r="C3" s="27" t="s">
        <v>110</v>
      </c>
      <c r="D3" s="1" t="s">
        <v>109</v>
      </c>
      <c r="E3" s="1" t="s">
        <v>121</v>
      </c>
      <c r="F3" s="41" t="s">
        <v>122</v>
      </c>
    </row>
    <row r="4" spans="1:6" ht="13.5" thickBot="1" x14ac:dyDescent="0.25">
      <c r="A4" s="2" t="s">
        <v>2</v>
      </c>
      <c r="B4" s="3"/>
      <c r="C4" s="28"/>
      <c r="D4" s="4"/>
      <c r="E4" s="4"/>
      <c r="F4" s="42"/>
    </row>
    <row r="5" spans="1:6" ht="28.5" customHeight="1" x14ac:dyDescent="0.2">
      <c r="A5" s="6" t="s">
        <v>3</v>
      </c>
      <c r="B5" s="7">
        <v>1</v>
      </c>
      <c r="C5" s="36">
        <f>1007500+19447</f>
        <v>1026947</v>
      </c>
      <c r="D5" s="36">
        <v>849328.70115274086</v>
      </c>
      <c r="E5" s="8"/>
      <c r="F5" s="43"/>
    </row>
    <row r="6" spans="1:6" ht="32.25" customHeight="1" x14ac:dyDescent="0.2">
      <c r="A6" s="6" t="s">
        <v>4</v>
      </c>
      <c r="B6" s="7">
        <v>2</v>
      </c>
      <c r="C6" s="36"/>
      <c r="D6" s="36">
        <v>835479.10221294546</v>
      </c>
      <c r="E6" s="8"/>
      <c r="F6" s="43"/>
    </row>
    <row r="7" spans="1:6" x14ac:dyDescent="0.2">
      <c r="A7" s="6" t="s">
        <v>5</v>
      </c>
      <c r="B7" s="7">
        <v>3</v>
      </c>
      <c r="C7" s="36"/>
      <c r="D7" s="36">
        <v>241068.08335558113</v>
      </c>
      <c r="E7" s="8"/>
      <c r="F7" s="43"/>
    </row>
    <row r="8" spans="1:6" x14ac:dyDescent="0.2">
      <c r="A8" s="6" t="s">
        <v>14</v>
      </c>
      <c r="B8" s="7">
        <v>9</v>
      </c>
      <c r="C8" s="36"/>
      <c r="D8" s="36">
        <v>80382.171182171529</v>
      </c>
      <c r="E8" s="36">
        <f>SUM(D5:D8)-SUM(C5:C8)</f>
        <v>979311.05790343904</v>
      </c>
      <c r="F8" s="39">
        <f>E8/C5</f>
        <v>0.95361402088271263</v>
      </c>
    </row>
    <row r="9" spans="1:6" x14ac:dyDescent="0.2">
      <c r="A9" s="6" t="s">
        <v>15</v>
      </c>
      <c r="B9" s="7">
        <v>10</v>
      </c>
      <c r="C9" s="29">
        <f>193500+143150</f>
        <v>336650</v>
      </c>
      <c r="D9" s="8">
        <v>111449.96467385793</v>
      </c>
      <c r="E9" s="8">
        <f>D9-C9</f>
        <v>-225200.03532614207</v>
      </c>
      <c r="F9" s="43">
        <f>E9/C9</f>
        <v>-0.66894411206339544</v>
      </c>
    </row>
    <row r="10" spans="1:6" x14ac:dyDescent="0.2">
      <c r="A10" s="6" t="s">
        <v>16</v>
      </c>
      <c r="B10" s="7">
        <v>11</v>
      </c>
      <c r="C10" s="37"/>
      <c r="D10" s="37">
        <v>172666.72327448809</v>
      </c>
      <c r="E10" s="8"/>
      <c r="F10" s="43"/>
    </row>
    <row r="11" spans="1:6" x14ac:dyDescent="0.2">
      <c r="A11" s="6" t="s">
        <v>17</v>
      </c>
      <c r="B11" s="7">
        <v>11</v>
      </c>
      <c r="C11" s="37"/>
      <c r="D11" s="37">
        <v>160905.12869622299</v>
      </c>
      <c r="E11" s="8"/>
      <c r="F11" s="43"/>
    </row>
    <row r="12" spans="1:6" x14ac:dyDescent="0.2">
      <c r="A12" s="6" t="s">
        <v>26</v>
      </c>
      <c r="B12" s="7">
        <v>11</v>
      </c>
      <c r="C12" s="37"/>
      <c r="D12" s="37">
        <v>464908.03331240837</v>
      </c>
      <c r="E12" s="8"/>
      <c r="F12" s="43"/>
    </row>
    <row r="13" spans="1:6" x14ac:dyDescent="0.2">
      <c r="A13" s="6" t="s">
        <v>27</v>
      </c>
      <c r="B13" s="7">
        <v>11</v>
      </c>
      <c r="C13" s="37">
        <f>275000+312004</f>
        <v>587004</v>
      </c>
      <c r="D13" s="37">
        <v>395224.13928119175</v>
      </c>
      <c r="E13" s="37">
        <f>SUM(D10:D13)-SUM(C10:C13)</f>
        <v>606700.02456431137</v>
      </c>
      <c r="F13" s="44">
        <f>E13/C13</f>
        <v>1.0335534758950728</v>
      </c>
    </row>
    <row r="14" spans="1:6" x14ac:dyDescent="0.2">
      <c r="A14" s="6" t="s">
        <v>28</v>
      </c>
      <c r="B14" s="7">
        <v>11</v>
      </c>
      <c r="C14" s="29"/>
      <c r="D14" s="8">
        <v>3160319.09</v>
      </c>
      <c r="E14" s="8">
        <f>D14-C14</f>
        <v>3160319.09</v>
      </c>
      <c r="F14" s="43">
        <v>1</v>
      </c>
    </row>
    <row r="15" spans="1:6" x14ac:dyDescent="0.2">
      <c r="A15" s="6" t="s">
        <v>29</v>
      </c>
      <c r="B15" s="7">
        <v>12</v>
      </c>
      <c r="C15" s="35">
        <v>500000</v>
      </c>
      <c r="D15" s="35">
        <v>411611.78196544427</v>
      </c>
      <c r="E15" s="8"/>
      <c r="F15" s="43"/>
    </row>
    <row r="16" spans="1:6" x14ac:dyDescent="0.2">
      <c r="A16" s="6" t="s">
        <v>30</v>
      </c>
      <c r="B16" s="7">
        <v>12</v>
      </c>
      <c r="C16" s="35"/>
      <c r="D16" s="35">
        <v>311300.12972133938</v>
      </c>
      <c r="E16" s="8"/>
      <c r="F16" s="43"/>
    </row>
    <row r="17" spans="1:6" x14ac:dyDescent="0.2">
      <c r="A17" s="6" t="s">
        <v>31</v>
      </c>
      <c r="B17" s="7">
        <v>12</v>
      </c>
      <c r="C17" s="35"/>
      <c r="D17" s="35">
        <v>230733.32795830385</v>
      </c>
      <c r="E17" s="35">
        <f>SUM(D15:D17)-SUM(C15:C17)</f>
        <v>453645.23964508751</v>
      </c>
      <c r="F17" s="45">
        <f>E17/C15</f>
        <v>0.90729047929017503</v>
      </c>
    </row>
    <row r="18" spans="1:6" x14ac:dyDescent="0.2">
      <c r="A18" s="6" t="s">
        <v>41</v>
      </c>
      <c r="B18" s="7">
        <v>22</v>
      </c>
      <c r="C18" s="29"/>
      <c r="D18" s="8">
        <v>37540.119999999981</v>
      </c>
      <c r="E18" s="8">
        <f>D18-C18</f>
        <v>37540.119999999981</v>
      </c>
      <c r="F18" s="43">
        <v>1</v>
      </c>
    </row>
    <row r="19" spans="1:6" ht="13.5" thickBot="1" x14ac:dyDescent="0.25">
      <c r="A19" s="6"/>
      <c r="B19" s="7"/>
      <c r="C19" s="29"/>
      <c r="D19" s="8"/>
      <c r="E19" s="8"/>
      <c r="F19" s="43"/>
    </row>
    <row r="20" spans="1:6" ht="13.5" thickBot="1" x14ac:dyDescent="0.25">
      <c r="A20" s="10" t="s">
        <v>42</v>
      </c>
      <c r="B20" s="3"/>
      <c r="C20" s="11">
        <f>SUM(C5:C18)</f>
        <v>2450601</v>
      </c>
      <c r="D20" s="11">
        <f>SUM(D5:D18)</f>
        <v>7462916.496786695</v>
      </c>
      <c r="E20" s="11">
        <f>SUM(E5:E18)</f>
        <v>5012315.496786695</v>
      </c>
      <c r="F20" s="46"/>
    </row>
    <row r="21" spans="1:6" ht="13.5" thickBot="1" x14ac:dyDescent="0.25">
      <c r="A21" s="10" t="s">
        <v>43</v>
      </c>
      <c r="B21" s="3"/>
      <c r="C21" s="28"/>
      <c r="D21" s="4"/>
      <c r="E21" s="4"/>
      <c r="F21" s="42"/>
    </row>
    <row r="22" spans="1:6" x14ac:dyDescent="0.2">
      <c r="A22" s="6" t="s">
        <v>44</v>
      </c>
      <c r="B22" s="7">
        <v>23</v>
      </c>
      <c r="C22" s="29">
        <v>737691</v>
      </c>
      <c r="D22" s="8">
        <v>463166.18</v>
      </c>
      <c r="E22" s="8">
        <f t="shared" ref="E22:E35" si="0">D22-C22</f>
        <v>-274524.82</v>
      </c>
      <c r="F22" s="43">
        <f t="shared" ref="F22:F35" si="1">E22/C22</f>
        <v>-0.37214066594278633</v>
      </c>
    </row>
    <row r="23" spans="1:6" x14ac:dyDescent="0.2">
      <c r="A23" s="6" t="s">
        <v>45</v>
      </c>
      <c r="B23" s="7">
        <v>24</v>
      </c>
      <c r="C23" s="29">
        <v>310710</v>
      </c>
      <c r="D23" s="8">
        <v>313260.63</v>
      </c>
      <c r="E23" s="8">
        <f t="shared" si="0"/>
        <v>2550.6300000000047</v>
      </c>
      <c r="F23" s="43">
        <f t="shared" si="1"/>
        <v>8.2090373660326493E-3</v>
      </c>
    </row>
    <row r="24" spans="1:6" x14ac:dyDescent="0.2">
      <c r="A24" s="6" t="s">
        <v>46</v>
      </c>
      <c r="B24" s="7">
        <v>25</v>
      </c>
      <c r="C24" s="29">
        <v>372191</v>
      </c>
      <c r="D24" s="8">
        <v>12798.74</v>
      </c>
      <c r="E24" s="8">
        <f t="shared" si="0"/>
        <v>-359392.26</v>
      </c>
      <c r="F24" s="43">
        <f t="shared" si="1"/>
        <v>-0.96561244092414922</v>
      </c>
    </row>
    <row r="25" spans="1:6" x14ac:dyDescent="0.2">
      <c r="A25" s="34" t="s">
        <v>47</v>
      </c>
      <c r="B25" s="7">
        <v>26</v>
      </c>
      <c r="C25" s="29">
        <v>383293</v>
      </c>
      <c r="D25" s="8"/>
      <c r="E25" s="8">
        <f t="shared" si="0"/>
        <v>-383293</v>
      </c>
      <c r="F25" s="43">
        <f t="shared" si="1"/>
        <v>-1</v>
      </c>
    </row>
    <row r="26" spans="1:6" x14ac:dyDescent="0.2">
      <c r="A26" s="6" t="s">
        <v>48</v>
      </c>
      <c r="B26" s="7">
        <v>27</v>
      </c>
      <c r="C26" s="29">
        <v>495104</v>
      </c>
      <c r="D26" s="8">
        <v>235322.16</v>
      </c>
      <c r="E26" s="8">
        <f t="shared" si="0"/>
        <v>-259781.84</v>
      </c>
      <c r="F26" s="43">
        <f t="shared" si="1"/>
        <v>-0.52470155765253357</v>
      </c>
    </row>
    <row r="27" spans="1:6" x14ac:dyDescent="0.2">
      <c r="A27" s="6" t="s">
        <v>50</v>
      </c>
      <c r="B27" s="7">
        <v>29</v>
      </c>
      <c r="C27" s="29">
        <f>143724+507139</f>
        <v>650863</v>
      </c>
      <c r="D27" s="8">
        <v>682134.54999999993</v>
      </c>
      <c r="E27" s="8">
        <f t="shared" si="0"/>
        <v>31271.54999999993</v>
      </c>
      <c r="F27" s="43">
        <f t="shared" si="1"/>
        <v>4.8046286238424878E-2</v>
      </c>
    </row>
    <row r="28" spans="1:6" x14ac:dyDescent="0.2">
      <c r="A28" s="6" t="s">
        <v>51</v>
      </c>
      <c r="B28" s="7">
        <v>30</v>
      </c>
      <c r="C28" s="29">
        <v>144237</v>
      </c>
      <c r="D28" s="8">
        <v>170696.15</v>
      </c>
      <c r="E28" s="8">
        <f t="shared" si="0"/>
        <v>26459.149999999994</v>
      </c>
      <c r="F28" s="43">
        <f t="shared" si="1"/>
        <v>0.18344218196440576</v>
      </c>
    </row>
    <row r="29" spans="1:6" x14ac:dyDescent="0.2">
      <c r="A29" s="6" t="s">
        <v>52</v>
      </c>
      <c r="B29" s="7">
        <v>31</v>
      </c>
      <c r="C29" s="29">
        <v>220777</v>
      </c>
      <c r="D29" s="8">
        <v>14695.58</v>
      </c>
      <c r="E29" s="8">
        <f t="shared" si="0"/>
        <v>-206081.42</v>
      </c>
      <c r="F29" s="43">
        <f t="shared" si="1"/>
        <v>-0.93343699751332798</v>
      </c>
    </row>
    <row r="30" spans="1:6" ht="25.5" x14ac:dyDescent="0.2">
      <c r="A30" s="6" t="s">
        <v>54</v>
      </c>
      <c r="B30" s="7">
        <v>33</v>
      </c>
      <c r="C30" s="29">
        <v>449324</v>
      </c>
      <c r="D30" s="8">
        <v>460242.45</v>
      </c>
      <c r="E30" s="8">
        <f t="shared" si="0"/>
        <v>10918.450000000012</v>
      </c>
      <c r="F30" s="43">
        <f t="shared" si="1"/>
        <v>2.4299725810328431E-2</v>
      </c>
    </row>
    <row r="31" spans="1:6" x14ac:dyDescent="0.2">
      <c r="A31" s="6" t="s">
        <v>81</v>
      </c>
      <c r="B31" s="7">
        <v>53</v>
      </c>
      <c r="C31" s="29">
        <v>431729</v>
      </c>
      <c r="D31" s="8">
        <v>546418.04</v>
      </c>
      <c r="E31" s="8">
        <f t="shared" si="0"/>
        <v>114689.04000000004</v>
      </c>
      <c r="F31" s="43">
        <f t="shared" si="1"/>
        <v>0.26565053540531219</v>
      </c>
    </row>
    <row r="32" spans="1:6" x14ac:dyDescent="0.2">
      <c r="A32" s="6" t="s">
        <v>82</v>
      </c>
      <c r="B32" s="7">
        <v>54</v>
      </c>
      <c r="C32" s="29">
        <v>647029</v>
      </c>
      <c r="D32" s="8">
        <v>311260.3</v>
      </c>
      <c r="E32" s="8">
        <f t="shared" si="0"/>
        <v>-335768.7</v>
      </c>
      <c r="F32" s="43">
        <f t="shared" si="1"/>
        <v>-0.51893918201502565</v>
      </c>
    </row>
    <row r="33" spans="1:6" x14ac:dyDescent="0.2">
      <c r="A33" s="6" t="s">
        <v>83</v>
      </c>
      <c r="B33" s="7">
        <v>55</v>
      </c>
      <c r="C33" s="29">
        <v>250002</v>
      </c>
      <c r="D33" s="8">
        <v>201851.72</v>
      </c>
      <c r="E33" s="8">
        <f t="shared" si="0"/>
        <v>-48150.28</v>
      </c>
      <c r="F33" s="43">
        <f t="shared" si="1"/>
        <v>-0.19259957920336637</v>
      </c>
    </row>
    <row r="34" spans="1:6" x14ac:dyDescent="0.2">
      <c r="A34" s="34" t="s">
        <v>125</v>
      </c>
      <c r="B34" s="7">
        <v>57</v>
      </c>
      <c r="C34" s="29">
        <v>1061077</v>
      </c>
      <c r="D34" s="8">
        <v>764210.63</v>
      </c>
      <c r="E34" s="8">
        <f t="shared" si="0"/>
        <v>-296866.37</v>
      </c>
      <c r="F34" s="43">
        <f t="shared" si="1"/>
        <v>-0.27977834784845962</v>
      </c>
    </row>
    <row r="35" spans="1:6" ht="13.5" thickBot="1" x14ac:dyDescent="0.25">
      <c r="A35" s="34" t="s">
        <v>120</v>
      </c>
      <c r="B35" s="7"/>
      <c r="C35" s="29">
        <v>289605</v>
      </c>
      <c r="D35" s="8"/>
      <c r="E35" s="8">
        <f t="shared" si="0"/>
        <v>-289605</v>
      </c>
      <c r="F35" s="43">
        <f t="shared" si="1"/>
        <v>-1</v>
      </c>
    </row>
    <row r="36" spans="1:6" ht="13.5" thickBot="1" x14ac:dyDescent="0.25">
      <c r="A36" s="10" t="s">
        <v>42</v>
      </c>
      <c r="B36" s="3"/>
      <c r="C36" s="11">
        <f>SUM(C22:C35)</f>
        <v>6443632</v>
      </c>
      <c r="D36" s="11">
        <f>SUM(D22:D35)</f>
        <v>4176057.13</v>
      </c>
      <c r="E36" s="11">
        <f>SUM(E22:E35)</f>
        <v>-2267574.87</v>
      </c>
      <c r="F36" s="46"/>
    </row>
    <row r="37" spans="1:6" ht="13.5" thickBot="1" x14ac:dyDescent="0.25">
      <c r="A37" s="10" t="s">
        <v>89</v>
      </c>
      <c r="B37" s="3"/>
      <c r="C37" s="28"/>
      <c r="D37" s="4"/>
      <c r="E37" s="4"/>
      <c r="F37" s="42"/>
    </row>
    <row r="38" spans="1:6" x14ac:dyDescent="0.2">
      <c r="A38" s="6" t="s">
        <v>90</v>
      </c>
      <c r="B38" s="7">
        <v>60</v>
      </c>
      <c r="C38" s="29">
        <v>217014</v>
      </c>
      <c r="D38" s="8">
        <v>130845.14</v>
      </c>
      <c r="E38" s="8">
        <f t="shared" ref="E38:E40" si="2">D38-C38</f>
        <v>-86168.86</v>
      </c>
      <c r="F38" s="43">
        <f t="shared" ref="F38:F40" si="3">E38/C38</f>
        <v>-0.39706590358225735</v>
      </c>
    </row>
    <row r="39" spans="1:6" x14ac:dyDescent="0.2">
      <c r="A39" s="6" t="s">
        <v>92</v>
      </c>
      <c r="B39" s="7">
        <v>62</v>
      </c>
      <c r="C39" s="29">
        <f>30000+73000+215000</f>
        <v>318000</v>
      </c>
      <c r="D39" s="8">
        <v>143148.46</v>
      </c>
      <c r="E39" s="8">
        <f t="shared" si="2"/>
        <v>-174851.54</v>
      </c>
      <c r="F39" s="43">
        <f t="shared" si="3"/>
        <v>-0.54984761006289307</v>
      </c>
    </row>
    <row r="40" spans="1:6" x14ac:dyDescent="0.2">
      <c r="A40" s="6" t="s">
        <v>96</v>
      </c>
      <c r="B40" s="7">
        <v>66</v>
      </c>
      <c r="C40" s="29">
        <f>680000+100000</f>
        <v>780000</v>
      </c>
      <c r="D40" s="8">
        <v>1570561.58</v>
      </c>
      <c r="E40" s="8">
        <f t="shared" si="2"/>
        <v>790561.58000000007</v>
      </c>
      <c r="F40" s="43">
        <f t="shared" si="3"/>
        <v>1.0135404871794873</v>
      </c>
    </row>
    <row r="41" spans="1:6" ht="13.5" thickBot="1" x14ac:dyDescent="0.25">
      <c r="A41" s="6"/>
      <c r="B41" s="7"/>
      <c r="C41" s="29"/>
      <c r="D41" s="8"/>
      <c r="E41" s="8"/>
      <c r="F41" s="43"/>
    </row>
    <row r="42" spans="1:6" ht="13.5" thickBot="1" x14ac:dyDescent="0.25">
      <c r="A42" s="10" t="s">
        <v>42</v>
      </c>
      <c r="B42" s="3"/>
      <c r="C42" s="11">
        <f>SUM(C38:C41)</f>
        <v>1315014</v>
      </c>
      <c r="D42" s="11">
        <f>SUM(D38:D41)</f>
        <v>1844555.1800000002</v>
      </c>
      <c r="E42" s="11">
        <f>SUM(E38:E41)</f>
        <v>529541.18000000005</v>
      </c>
      <c r="F42" s="46"/>
    </row>
    <row r="43" spans="1:6" x14ac:dyDescent="0.2">
      <c r="A43" s="6" t="s">
        <v>100</v>
      </c>
      <c r="B43" s="7"/>
      <c r="C43" s="29"/>
      <c r="D43" s="8"/>
      <c r="E43" s="8"/>
      <c r="F43" s="43"/>
    </row>
    <row r="44" spans="1:6" x14ac:dyDescent="0.2">
      <c r="A44" s="6" t="s">
        <v>101</v>
      </c>
      <c r="B44" s="7"/>
      <c r="C44" s="29">
        <v>86000</v>
      </c>
      <c r="D44" s="8">
        <v>468659.6499999892</v>
      </c>
      <c r="E44" s="8">
        <f t="shared" ref="E44:E48" si="4">D44-C44</f>
        <v>382659.6499999892</v>
      </c>
      <c r="F44" s="43">
        <f t="shared" ref="F44:F48" si="5">E44/C44</f>
        <v>4.4495308139533627</v>
      </c>
    </row>
    <row r="45" spans="1:6" x14ac:dyDescent="0.2">
      <c r="A45" s="6" t="s">
        <v>102</v>
      </c>
      <c r="B45" s="7"/>
      <c r="C45" s="29">
        <v>240248</v>
      </c>
      <c r="D45" s="8">
        <v>248788.79999999935</v>
      </c>
      <c r="E45" s="8">
        <f t="shared" si="4"/>
        <v>8540.7999999993481</v>
      </c>
      <c r="F45" s="43">
        <f t="shared" si="5"/>
        <v>3.5549931737202174E-2</v>
      </c>
    </row>
    <row r="46" spans="1:6" x14ac:dyDescent="0.2">
      <c r="A46" s="6" t="s">
        <v>103</v>
      </c>
      <c r="B46" s="7"/>
      <c r="C46" s="29">
        <v>368740</v>
      </c>
      <c r="D46" s="8">
        <v>183006.46000000043</v>
      </c>
      <c r="E46" s="8">
        <f t="shared" si="4"/>
        <v>-185733.53999999957</v>
      </c>
      <c r="F46" s="43">
        <f t="shared" si="5"/>
        <v>-0.50369783587351402</v>
      </c>
    </row>
    <row r="47" spans="1:6" x14ac:dyDescent="0.2">
      <c r="A47" s="6" t="s">
        <v>104</v>
      </c>
      <c r="B47" s="7"/>
      <c r="C47" s="29">
        <v>698877.94</v>
      </c>
      <c r="D47" s="8">
        <v>490774.46000000066</v>
      </c>
      <c r="E47" s="8">
        <f t="shared" si="4"/>
        <v>-208103.47999999928</v>
      </c>
      <c r="F47" s="43">
        <f t="shared" si="5"/>
        <v>-0.29776799078820443</v>
      </c>
    </row>
    <row r="48" spans="1:6" x14ac:dyDescent="0.2">
      <c r="A48" s="6" t="s">
        <v>105</v>
      </c>
      <c r="B48" s="7"/>
      <c r="C48" s="29">
        <v>95626.51</v>
      </c>
      <c r="D48" s="8">
        <v>146974.06000000011</v>
      </c>
      <c r="E48" s="8">
        <f t="shared" si="4"/>
        <v>51347.550000000119</v>
      </c>
      <c r="F48" s="43">
        <f t="shared" si="5"/>
        <v>0.53695936409265721</v>
      </c>
    </row>
    <row r="49" spans="1:6" ht="13.5" thickBot="1" x14ac:dyDescent="0.25">
      <c r="A49" s="6"/>
      <c r="B49" s="7"/>
      <c r="C49" s="29"/>
      <c r="D49" s="8"/>
      <c r="E49" s="8"/>
      <c r="F49" s="43"/>
    </row>
    <row r="50" spans="1:6" ht="13.5" thickBot="1" x14ac:dyDescent="0.25">
      <c r="A50" s="10" t="s">
        <v>42</v>
      </c>
      <c r="B50" s="3"/>
      <c r="C50" s="11">
        <f t="shared" ref="C50:E50" si="6">SUM(C44:C49)</f>
        <v>1489492.45</v>
      </c>
      <c r="D50" s="11">
        <f t="shared" si="6"/>
        <v>1538203.4299999897</v>
      </c>
      <c r="E50" s="11">
        <f t="shared" si="6"/>
        <v>48710.97999998981</v>
      </c>
      <c r="F50" s="46"/>
    </row>
    <row r="51" spans="1:6" ht="13.5" thickBot="1" x14ac:dyDescent="0.25">
      <c r="A51" s="13"/>
      <c r="B51" s="13"/>
      <c r="C51" s="30"/>
      <c r="D51" s="14"/>
      <c r="E51" s="14"/>
      <c r="F51" s="47"/>
    </row>
    <row r="52" spans="1:6" ht="14.25" thickTop="1" thickBot="1" x14ac:dyDescent="0.25">
      <c r="A52" s="16" t="s">
        <v>106</v>
      </c>
      <c r="B52" s="17"/>
      <c r="C52" s="18">
        <f>C20+C36+C42+C50</f>
        <v>11698739.449999999</v>
      </c>
      <c r="D52" s="18">
        <f>D20+D36+D42+D50</f>
        <v>15021732.236786684</v>
      </c>
      <c r="E52" s="18">
        <f>E20+E36+E42+E50</f>
        <v>3322992.7867866848</v>
      </c>
      <c r="F52" s="48"/>
    </row>
  </sheetData>
  <pageMargins left="0.7" right="0.7" top="0.75" bottom="0.75" header="0.3" footer="0.3"/>
  <pageSetup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"/>
  <sheetViews>
    <sheetView topLeftCell="A45" zoomScaleNormal="100" workbookViewId="0">
      <selection activeCell="G60" sqref="G60"/>
    </sheetView>
  </sheetViews>
  <sheetFormatPr defaultRowHeight="12.75" x14ac:dyDescent="0.2"/>
  <cols>
    <col min="1" max="1" width="43.5703125" customWidth="1"/>
    <col min="2" max="2" width="11.140625" customWidth="1"/>
    <col min="3" max="3" width="16.42578125" style="26" customWidth="1"/>
    <col min="4" max="4" width="12.7109375" customWidth="1"/>
    <col min="5" max="5" width="14.85546875" customWidth="1"/>
    <col min="6" max="6" width="17.85546875" style="40" customWidth="1"/>
  </cols>
  <sheetData>
    <row r="2" spans="1:6" ht="13.5" thickBot="1" x14ac:dyDescent="0.25"/>
    <row r="3" spans="1:6" s="22" customFormat="1" ht="39.75" customHeight="1" thickBot="1" x14ac:dyDescent="0.25">
      <c r="A3" s="20" t="s">
        <v>0</v>
      </c>
      <c r="B3" s="21" t="s">
        <v>1</v>
      </c>
      <c r="C3" s="27" t="s">
        <v>111</v>
      </c>
      <c r="D3" s="1" t="s">
        <v>112</v>
      </c>
      <c r="E3" s="1" t="s">
        <v>121</v>
      </c>
      <c r="F3" s="41" t="s">
        <v>122</v>
      </c>
    </row>
    <row r="4" spans="1:6" ht="13.5" thickBot="1" x14ac:dyDescent="0.25">
      <c r="A4" s="2" t="s">
        <v>2</v>
      </c>
      <c r="B4" s="3"/>
      <c r="C4" s="31"/>
      <c r="D4" s="5"/>
      <c r="E4" s="5"/>
      <c r="F4" s="49"/>
    </row>
    <row r="5" spans="1:6" ht="28.5" customHeight="1" x14ac:dyDescent="0.2">
      <c r="A5" s="6" t="s">
        <v>3</v>
      </c>
      <c r="B5" s="7">
        <v>1</v>
      </c>
      <c r="C5" s="36">
        <v>1007500</v>
      </c>
      <c r="D5" s="36">
        <v>736317.3806627146</v>
      </c>
      <c r="E5" s="38"/>
      <c r="F5" s="50"/>
    </row>
    <row r="6" spans="1:6" ht="32.25" customHeight="1" x14ac:dyDescent="0.2">
      <c r="A6" s="6" t="s">
        <v>4</v>
      </c>
      <c r="B6" s="7">
        <v>2</v>
      </c>
      <c r="C6" s="36"/>
      <c r="D6" s="36">
        <v>1243722.4651481879</v>
      </c>
      <c r="E6" s="38"/>
      <c r="F6" s="50"/>
    </row>
    <row r="7" spans="1:6" x14ac:dyDescent="0.2">
      <c r="A7" s="6" t="s">
        <v>6</v>
      </c>
      <c r="B7" s="7">
        <v>4</v>
      </c>
      <c r="C7" s="36"/>
      <c r="D7" s="36">
        <v>607960.80054397252</v>
      </c>
      <c r="E7" s="38"/>
      <c r="F7" s="50"/>
    </row>
    <row r="8" spans="1:6" x14ac:dyDescent="0.2">
      <c r="A8" s="6" t="s">
        <v>7</v>
      </c>
      <c r="B8" s="7">
        <v>4</v>
      </c>
      <c r="C8" s="36"/>
      <c r="D8" s="36">
        <v>430071.19335169333</v>
      </c>
      <c r="E8" s="38"/>
      <c r="F8" s="50"/>
    </row>
    <row r="9" spans="1:6" x14ac:dyDescent="0.2">
      <c r="A9" s="6" t="s">
        <v>8</v>
      </c>
      <c r="B9" s="7">
        <v>4</v>
      </c>
      <c r="C9" s="36"/>
      <c r="D9" s="36">
        <v>279260.53585573571</v>
      </c>
      <c r="E9" s="38"/>
      <c r="F9" s="50"/>
    </row>
    <row r="10" spans="1:6" x14ac:dyDescent="0.2">
      <c r="A10" s="6" t="s">
        <v>9</v>
      </c>
      <c r="B10" s="7">
        <v>4</v>
      </c>
      <c r="C10" s="36"/>
      <c r="D10" s="36">
        <v>210544.8</v>
      </c>
      <c r="E10" s="38"/>
      <c r="F10" s="50"/>
    </row>
    <row r="11" spans="1:6" x14ac:dyDescent="0.2">
      <c r="A11" s="6" t="s">
        <v>10</v>
      </c>
      <c r="B11" s="7">
        <v>5</v>
      </c>
      <c r="C11" s="36"/>
      <c r="D11" s="36">
        <v>293937.27177446347</v>
      </c>
      <c r="E11" s="38"/>
      <c r="F11" s="50"/>
    </row>
    <row r="12" spans="1:6" x14ac:dyDescent="0.2">
      <c r="A12" s="6" t="s">
        <v>14</v>
      </c>
      <c r="B12" s="7">
        <v>9</v>
      </c>
      <c r="C12" s="36"/>
      <c r="D12" s="36">
        <v>115957.68489628144</v>
      </c>
      <c r="E12" s="36">
        <f>SUM(D5:D12)-SUM(C5:C12)</f>
        <v>2910272.1322330488</v>
      </c>
      <c r="F12" s="39">
        <f>E12/C5</f>
        <v>2.8886075754174181</v>
      </c>
    </row>
    <row r="13" spans="1:6" x14ac:dyDescent="0.2">
      <c r="A13" s="6" t="s">
        <v>15</v>
      </c>
      <c r="B13" s="7">
        <v>10</v>
      </c>
      <c r="C13" s="32">
        <f>193500+287360</f>
        <v>480860</v>
      </c>
      <c r="D13" s="9">
        <v>138788.70587026165</v>
      </c>
      <c r="E13" s="8">
        <f>D13-C13</f>
        <v>-342071.29412973835</v>
      </c>
      <c r="F13" s="43">
        <f>E13/C13</f>
        <v>-0.71137398438160448</v>
      </c>
    </row>
    <row r="14" spans="1:6" x14ac:dyDescent="0.2">
      <c r="A14" s="6" t="s">
        <v>18</v>
      </c>
      <c r="B14" s="7">
        <v>11</v>
      </c>
      <c r="C14" s="37"/>
      <c r="D14" s="37">
        <v>183380.70547537645</v>
      </c>
      <c r="E14" s="38"/>
      <c r="F14" s="50"/>
    </row>
    <row r="15" spans="1:6" x14ac:dyDescent="0.2">
      <c r="A15" s="6" t="s">
        <v>19</v>
      </c>
      <c r="B15" s="7">
        <v>11</v>
      </c>
      <c r="C15" s="37"/>
      <c r="D15" s="37">
        <v>171971.74677392107</v>
      </c>
      <c r="E15" s="38"/>
      <c r="F15" s="50"/>
    </row>
    <row r="16" spans="1:6" x14ac:dyDescent="0.2">
      <c r="A16" s="6" t="s">
        <v>26</v>
      </c>
      <c r="B16" s="7">
        <v>11</v>
      </c>
      <c r="C16" s="37"/>
      <c r="D16" s="37">
        <v>476662.98398783774</v>
      </c>
      <c r="E16" s="38"/>
      <c r="F16" s="50"/>
    </row>
    <row r="17" spans="1:6" x14ac:dyDescent="0.2">
      <c r="A17" s="6" t="s">
        <v>27</v>
      </c>
      <c r="B17" s="7">
        <v>11</v>
      </c>
      <c r="C17" s="37">
        <f>150000+312004+275000</f>
        <v>737004</v>
      </c>
      <c r="D17" s="37">
        <v>564008.34472882026</v>
      </c>
      <c r="E17" s="37">
        <f>SUM(D14:D17)-SUM(C14:C17)</f>
        <v>659019.78096595546</v>
      </c>
      <c r="F17" s="44">
        <f>E17/C17</f>
        <v>0.89418752268095625</v>
      </c>
    </row>
    <row r="18" spans="1:6" x14ac:dyDescent="0.2">
      <c r="A18" s="6" t="s">
        <v>28</v>
      </c>
      <c r="B18" s="7">
        <v>11</v>
      </c>
      <c r="C18" s="32">
        <v>1000000</v>
      </c>
      <c r="D18" s="9">
        <v>688451.72</v>
      </c>
      <c r="E18" s="8">
        <f>D18-C18</f>
        <v>-311548.28000000003</v>
      </c>
      <c r="F18" s="43">
        <f>E18/C18</f>
        <v>-0.31154828000000001</v>
      </c>
    </row>
    <row r="19" spans="1:6" x14ac:dyDescent="0.2">
      <c r="A19" s="6" t="s">
        <v>29</v>
      </c>
      <c r="B19" s="7">
        <v>12</v>
      </c>
      <c r="C19" s="32">
        <v>500000</v>
      </c>
      <c r="D19" s="9">
        <v>142942.12000000002</v>
      </c>
      <c r="E19" s="8">
        <f>D19-C19</f>
        <v>-357057.88</v>
      </c>
      <c r="F19" s="43">
        <f>E19/C19</f>
        <v>-0.71411575999999999</v>
      </c>
    </row>
    <row r="20" spans="1:6" x14ac:dyDescent="0.2">
      <c r="A20" s="6" t="s">
        <v>32</v>
      </c>
      <c r="B20" s="7">
        <v>13</v>
      </c>
      <c r="C20" s="32">
        <v>237796</v>
      </c>
      <c r="D20" s="9">
        <v>309572.71999999997</v>
      </c>
      <c r="E20" s="8">
        <f>D20-C20</f>
        <v>71776.719999999972</v>
      </c>
      <c r="F20" s="43">
        <f>E20/C20</f>
        <v>0.30184157849585347</v>
      </c>
    </row>
    <row r="21" spans="1:6" x14ac:dyDescent="0.2">
      <c r="A21" s="6" t="s">
        <v>41</v>
      </c>
      <c r="B21" s="7">
        <v>22</v>
      </c>
      <c r="C21" s="32"/>
      <c r="D21" s="9">
        <v>-103819.07999999996</v>
      </c>
      <c r="E21" s="8">
        <f>D21-C21</f>
        <v>-103819.07999999996</v>
      </c>
      <c r="F21" s="43">
        <v>1</v>
      </c>
    </row>
    <row r="22" spans="1:6" ht="13.5" thickBot="1" x14ac:dyDescent="0.25">
      <c r="A22" s="6"/>
      <c r="B22" s="7"/>
      <c r="C22" s="32"/>
      <c r="D22" s="9"/>
      <c r="E22" s="9"/>
      <c r="F22" s="51"/>
    </row>
    <row r="23" spans="1:6" ht="13.5" thickBot="1" x14ac:dyDescent="0.25">
      <c r="A23" s="10" t="s">
        <v>42</v>
      </c>
      <c r="B23" s="3"/>
      <c r="C23" s="12">
        <f>SUM(C5:C21)</f>
        <v>3963160</v>
      </c>
      <c r="D23" s="12">
        <f>SUM(D5:D21)</f>
        <v>6489732.0990692647</v>
      </c>
      <c r="E23" s="12">
        <f>SUM(E5:E21)</f>
        <v>2526572.0990692656</v>
      </c>
      <c r="F23" s="52"/>
    </row>
    <row r="24" spans="1:6" ht="13.5" thickBot="1" x14ac:dyDescent="0.25">
      <c r="A24" s="10" t="s">
        <v>43</v>
      </c>
      <c r="B24" s="3"/>
      <c r="C24" s="31"/>
      <c r="D24" s="5"/>
      <c r="E24" s="5"/>
      <c r="F24" s="49"/>
    </row>
    <row r="25" spans="1:6" x14ac:dyDescent="0.2">
      <c r="A25" s="6" t="s">
        <v>46</v>
      </c>
      <c r="B25" s="7">
        <v>25</v>
      </c>
      <c r="C25" s="32">
        <v>369271</v>
      </c>
      <c r="D25" s="9">
        <v>458728.92</v>
      </c>
      <c r="E25" s="8">
        <f t="shared" ref="E25:E39" si="0">D25-C25</f>
        <v>89457.919999999984</v>
      </c>
      <c r="F25" s="43">
        <f>E25/C25</f>
        <v>0.24225547091431493</v>
      </c>
    </row>
    <row r="26" spans="1:6" x14ac:dyDescent="0.2">
      <c r="A26" s="6" t="s">
        <v>47</v>
      </c>
      <c r="B26" s="7">
        <v>26</v>
      </c>
      <c r="C26" s="32">
        <v>380290</v>
      </c>
      <c r="D26" s="9">
        <v>375385.21</v>
      </c>
      <c r="E26" s="8">
        <f t="shared" si="0"/>
        <v>-4904.789999999979</v>
      </c>
      <c r="F26" s="43">
        <f>E26/C26</f>
        <v>-1.2897499276867598E-2</v>
      </c>
    </row>
    <row r="27" spans="1:6" x14ac:dyDescent="0.2">
      <c r="A27" s="6" t="s">
        <v>49</v>
      </c>
      <c r="B27" s="7">
        <v>28</v>
      </c>
      <c r="C27" s="32">
        <v>795701</v>
      </c>
      <c r="D27" s="9">
        <v>382898.77</v>
      </c>
      <c r="E27" s="8">
        <f t="shared" si="0"/>
        <v>-412802.23</v>
      </c>
      <c r="F27" s="43">
        <f>E27/C27</f>
        <v>-0.51879063869468556</v>
      </c>
    </row>
    <row r="28" spans="1:6" x14ac:dyDescent="0.2">
      <c r="A28" s="6" t="s">
        <v>50</v>
      </c>
      <c r="B28" s="7">
        <v>29</v>
      </c>
      <c r="C28" s="32"/>
      <c r="D28" s="9">
        <v>202991.58</v>
      </c>
      <c r="E28" s="8">
        <f t="shared" si="0"/>
        <v>202991.58</v>
      </c>
      <c r="F28" s="43">
        <v>1</v>
      </c>
    </row>
    <row r="29" spans="1:6" x14ac:dyDescent="0.2">
      <c r="A29" s="6" t="s">
        <v>52</v>
      </c>
      <c r="B29" s="7">
        <v>31</v>
      </c>
      <c r="C29" s="32">
        <v>671753</v>
      </c>
      <c r="D29" s="9">
        <v>689883.55</v>
      </c>
      <c r="E29" s="8">
        <f t="shared" si="0"/>
        <v>18130.550000000047</v>
      </c>
      <c r="F29" s="43">
        <f t="shared" ref="F29:F39" si="1">E29/C29</f>
        <v>2.6989905515866764E-2</v>
      </c>
    </row>
    <row r="30" spans="1:6" x14ac:dyDescent="0.2">
      <c r="A30" s="6" t="s">
        <v>53</v>
      </c>
      <c r="B30" s="7">
        <v>32</v>
      </c>
      <c r="C30" s="32">
        <v>272236</v>
      </c>
      <c r="D30" s="9">
        <v>207136.19</v>
      </c>
      <c r="E30" s="8">
        <f t="shared" si="0"/>
        <v>-65099.81</v>
      </c>
      <c r="F30" s="43">
        <f t="shared" si="1"/>
        <v>-0.23913005627470282</v>
      </c>
    </row>
    <row r="31" spans="1:6" x14ac:dyDescent="0.2">
      <c r="A31" s="6" t="s">
        <v>55</v>
      </c>
      <c r="B31" s="7">
        <v>33</v>
      </c>
      <c r="C31" s="32">
        <v>335377</v>
      </c>
      <c r="D31" s="9">
        <v>307408.15999999997</v>
      </c>
      <c r="E31" s="8">
        <f t="shared" si="0"/>
        <v>-27968.840000000026</v>
      </c>
      <c r="F31" s="43">
        <f t="shared" si="1"/>
        <v>-8.3395223882377217E-2</v>
      </c>
    </row>
    <row r="32" spans="1:6" x14ac:dyDescent="0.2">
      <c r="A32" s="6" t="s">
        <v>59</v>
      </c>
      <c r="B32" s="7">
        <v>35</v>
      </c>
      <c r="C32" s="32">
        <v>531912</v>
      </c>
      <c r="D32" s="9">
        <v>377754.73</v>
      </c>
      <c r="E32" s="8">
        <f t="shared" si="0"/>
        <v>-154157.27000000002</v>
      </c>
      <c r="F32" s="43">
        <f t="shared" si="1"/>
        <v>-0.28981724420580851</v>
      </c>
    </row>
    <row r="33" spans="1:6" x14ac:dyDescent="0.2">
      <c r="A33" s="6" t="s">
        <v>68</v>
      </c>
      <c r="B33" s="7">
        <v>42</v>
      </c>
      <c r="C33" s="32">
        <v>298862</v>
      </c>
      <c r="D33" s="9">
        <v>8935.93</v>
      </c>
      <c r="E33" s="8">
        <f t="shared" si="0"/>
        <v>-289926.07</v>
      </c>
      <c r="F33" s="43">
        <f t="shared" si="1"/>
        <v>-0.97010014655593557</v>
      </c>
    </row>
    <row r="34" spans="1:6" x14ac:dyDescent="0.2">
      <c r="A34" s="6" t="s">
        <v>70</v>
      </c>
      <c r="B34" s="7">
        <v>43</v>
      </c>
      <c r="C34" s="32">
        <v>611940</v>
      </c>
      <c r="D34" s="9"/>
      <c r="E34" s="8">
        <f t="shared" si="0"/>
        <v>-611940</v>
      </c>
      <c r="F34" s="43">
        <f t="shared" si="1"/>
        <v>-1</v>
      </c>
    </row>
    <row r="35" spans="1:6" x14ac:dyDescent="0.2">
      <c r="A35" s="6" t="s">
        <v>71</v>
      </c>
      <c r="B35" s="7">
        <v>44</v>
      </c>
      <c r="C35" s="32">
        <v>626867</v>
      </c>
      <c r="D35" s="9">
        <v>1943.46</v>
      </c>
      <c r="E35" s="8">
        <f t="shared" si="0"/>
        <v>-624923.54</v>
      </c>
      <c r="F35" s="43">
        <f t="shared" si="1"/>
        <v>-0.99689972514105873</v>
      </c>
    </row>
    <row r="36" spans="1:6" x14ac:dyDescent="0.2">
      <c r="A36" s="6" t="s">
        <v>81</v>
      </c>
      <c r="B36" s="7">
        <v>53</v>
      </c>
      <c r="C36" s="32">
        <v>535930</v>
      </c>
      <c r="D36" s="9">
        <v>583550.09</v>
      </c>
      <c r="E36" s="8">
        <f t="shared" si="0"/>
        <v>47620.089999999967</v>
      </c>
      <c r="F36" s="43">
        <f t="shared" si="1"/>
        <v>8.8855055697572377E-2</v>
      </c>
    </row>
    <row r="37" spans="1:6" x14ac:dyDescent="0.2">
      <c r="A37" s="6" t="s">
        <v>82</v>
      </c>
      <c r="B37" s="7">
        <v>54</v>
      </c>
      <c r="C37" s="32">
        <v>841137</v>
      </c>
      <c r="D37" s="9">
        <v>1165578.74</v>
      </c>
      <c r="E37" s="8">
        <f t="shared" si="0"/>
        <v>324441.74</v>
      </c>
      <c r="F37" s="43">
        <f t="shared" si="1"/>
        <v>0.38571806970802613</v>
      </c>
    </row>
    <row r="38" spans="1:6" x14ac:dyDescent="0.2">
      <c r="A38" s="6" t="s">
        <v>83</v>
      </c>
      <c r="B38" s="7">
        <v>55</v>
      </c>
      <c r="C38" s="32">
        <v>250002</v>
      </c>
      <c r="D38" s="9">
        <v>222441.11</v>
      </c>
      <c r="E38" s="8">
        <f t="shared" si="0"/>
        <v>-27560.890000000014</v>
      </c>
      <c r="F38" s="43">
        <f t="shared" si="1"/>
        <v>-0.11024267805857559</v>
      </c>
    </row>
    <row r="39" spans="1:6" x14ac:dyDescent="0.2">
      <c r="A39" s="6" t="s">
        <v>85</v>
      </c>
      <c r="B39" s="7">
        <v>57</v>
      </c>
      <c r="C39" s="32">
        <v>405867</v>
      </c>
      <c r="D39" s="9">
        <v>640910.65</v>
      </c>
      <c r="E39" s="8">
        <f t="shared" si="0"/>
        <v>235043.65000000002</v>
      </c>
      <c r="F39" s="43">
        <f t="shared" si="1"/>
        <v>0.57911495637733545</v>
      </c>
    </row>
    <row r="40" spans="1:6" ht="13.5" thickBot="1" x14ac:dyDescent="0.25">
      <c r="A40" s="6"/>
      <c r="B40" s="7"/>
      <c r="C40" s="32"/>
      <c r="D40" s="9"/>
      <c r="E40" s="9"/>
      <c r="F40" s="51"/>
    </row>
    <row r="41" spans="1:6" ht="13.5" thickBot="1" x14ac:dyDescent="0.25">
      <c r="A41" s="10" t="s">
        <v>42</v>
      </c>
      <c r="B41" s="3"/>
      <c r="C41" s="12">
        <f>SUM(C25:C40)</f>
        <v>6927145</v>
      </c>
      <c r="D41" s="12">
        <f>SUM(D25:D40)</f>
        <v>5625547.0900000008</v>
      </c>
      <c r="E41" s="12">
        <f>SUM(E25:E40)</f>
        <v>-1301597.9100000001</v>
      </c>
      <c r="F41" s="52"/>
    </row>
    <row r="42" spans="1:6" ht="13.5" thickBot="1" x14ac:dyDescent="0.25">
      <c r="A42" s="10" t="s">
        <v>89</v>
      </c>
      <c r="B42" s="3"/>
      <c r="C42" s="31"/>
      <c r="D42" s="5"/>
      <c r="E42" s="5"/>
      <c r="F42" s="49"/>
    </row>
    <row r="43" spans="1:6" x14ac:dyDescent="0.2">
      <c r="A43" s="6" t="s">
        <v>92</v>
      </c>
      <c r="B43" s="7">
        <v>62</v>
      </c>
      <c r="C43" s="32">
        <f>30000+73000+150000</f>
        <v>253000</v>
      </c>
      <c r="D43" s="9">
        <v>575199.52</v>
      </c>
      <c r="E43" s="8">
        <f>D43-C43</f>
        <v>322199.52</v>
      </c>
      <c r="F43" s="43">
        <f>E43/C43</f>
        <v>1.2735158893280634</v>
      </c>
    </row>
    <row r="44" spans="1:6" x14ac:dyDescent="0.2">
      <c r="A44" s="6" t="s">
        <v>93</v>
      </c>
      <c r="B44" s="7">
        <v>63</v>
      </c>
      <c r="C44" s="32">
        <v>133262</v>
      </c>
      <c r="D44" s="9">
        <v>68206.58</v>
      </c>
      <c r="E44" s="8">
        <f>D44-C44</f>
        <v>-65055.42</v>
      </c>
      <c r="F44" s="43">
        <f>E44/C44</f>
        <v>-0.48817682460116163</v>
      </c>
    </row>
    <row r="45" spans="1:6" x14ac:dyDescent="0.2">
      <c r="A45" s="6" t="s">
        <v>96</v>
      </c>
      <c r="B45" s="7">
        <v>66</v>
      </c>
      <c r="C45" s="32">
        <f>680000+100000</f>
        <v>780000</v>
      </c>
      <c r="D45" s="9">
        <v>1089323.0900000001</v>
      </c>
      <c r="E45" s="8">
        <f>D45-C45</f>
        <v>309323.09000000008</v>
      </c>
      <c r="F45" s="43">
        <f>E45/C45</f>
        <v>0.39656806410256423</v>
      </c>
    </row>
    <row r="46" spans="1:6" ht="13.5" thickBot="1" x14ac:dyDescent="0.25">
      <c r="A46" s="6"/>
      <c r="B46" s="7"/>
      <c r="C46" s="32"/>
      <c r="D46" s="9"/>
      <c r="E46" s="9"/>
      <c r="F46" s="51"/>
    </row>
    <row r="47" spans="1:6" ht="13.5" thickBot="1" x14ac:dyDescent="0.25">
      <c r="A47" s="10" t="s">
        <v>42</v>
      </c>
      <c r="B47" s="3"/>
      <c r="C47" s="12">
        <f>SUM(C43:C46)</f>
        <v>1166262</v>
      </c>
      <c r="D47" s="12">
        <f>SUM(D43:D46)</f>
        <v>1732729.19</v>
      </c>
      <c r="E47" s="12">
        <f>SUM(E43:E46)</f>
        <v>566467.19000000018</v>
      </c>
      <c r="F47" s="52"/>
    </row>
    <row r="48" spans="1:6" x14ac:dyDescent="0.2">
      <c r="A48" s="6" t="s">
        <v>100</v>
      </c>
      <c r="B48" s="7"/>
      <c r="C48" s="32"/>
      <c r="D48" s="9"/>
      <c r="E48" s="9"/>
      <c r="F48" s="51"/>
    </row>
    <row r="49" spans="1:6" x14ac:dyDescent="0.2">
      <c r="A49" s="6" t="s">
        <v>101</v>
      </c>
      <c r="B49" s="7"/>
      <c r="C49" s="32">
        <v>87000</v>
      </c>
      <c r="D49" s="9">
        <v>52753.45</v>
      </c>
      <c r="E49" s="8">
        <f>D49-C49</f>
        <v>-34246.550000000003</v>
      </c>
      <c r="F49" s="43">
        <f>E49/C49</f>
        <v>-0.39363850574712644</v>
      </c>
    </row>
    <row r="50" spans="1:6" x14ac:dyDescent="0.2">
      <c r="A50" s="6" t="s">
        <v>102</v>
      </c>
      <c r="B50" s="7"/>
      <c r="C50" s="32">
        <v>243100</v>
      </c>
      <c r="D50" s="9">
        <v>241216.89</v>
      </c>
      <c r="E50" s="8">
        <f>D50-C50</f>
        <v>-1883.109999999986</v>
      </c>
      <c r="F50" s="43">
        <f>E50/C50</f>
        <v>-7.7462361168242943E-3</v>
      </c>
    </row>
    <row r="51" spans="1:6" x14ac:dyDescent="0.2">
      <c r="A51" s="6" t="s">
        <v>103</v>
      </c>
      <c r="B51" s="7"/>
      <c r="C51" s="32">
        <v>356800</v>
      </c>
      <c r="D51" s="9">
        <v>342477.02</v>
      </c>
      <c r="E51" s="8">
        <f>D51-C51</f>
        <v>-14322.979999999981</v>
      </c>
      <c r="F51" s="43">
        <f>E51/C51</f>
        <v>-4.0142881165919228E-2</v>
      </c>
    </row>
    <row r="52" spans="1:6" x14ac:dyDescent="0.2">
      <c r="A52" s="6" t="s">
        <v>104</v>
      </c>
      <c r="B52" s="7"/>
      <c r="C52" s="32">
        <f>90000+750000</f>
        <v>840000</v>
      </c>
      <c r="D52" s="9">
        <v>792445.48</v>
      </c>
      <c r="E52" s="8">
        <f>D52-C52</f>
        <v>-47554.520000000019</v>
      </c>
      <c r="F52" s="43">
        <f>E52/C52</f>
        <v>-5.6612523809523835E-2</v>
      </c>
    </row>
    <row r="53" spans="1:6" x14ac:dyDescent="0.2">
      <c r="A53" s="6" t="s">
        <v>105</v>
      </c>
      <c r="B53" s="7"/>
      <c r="C53" s="32">
        <f>19843+70000</f>
        <v>89843</v>
      </c>
      <c r="D53" s="9">
        <v>149530.53</v>
      </c>
      <c r="E53" s="8">
        <f>D53-C53</f>
        <v>59687.53</v>
      </c>
      <c r="F53" s="43">
        <f>E53/C53</f>
        <v>0.66435370590919718</v>
      </c>
    </row>
    <row r="54" spans="1:6" ht="13.5" thickBot="1" x14ac:dyDescent="0.25">
      <c r="A54" s="6"/>
      <c r="B54" s="7"/>
      <c r="C54" s="32"/>
      <c r="D54" s="9"/>
      <c r="E54" s="9"/>
      <c r="F54" s="51"/>
    </row>
    <row r="55" spans="1:6" ht="13.5" thickBot="1" x14ac:dyDescent="0.25">
      <c r="A55" s="10" t="s">
        <v>42</v>
      </c>
      <c r="B55" s="3"/>
      <c r="C55" s="12">
        <f t="shared" ref="C55:E55" si="2">SUM(C49:C54)</f>
        <v>1616743</v>
      </c>
      <c r="D55" s="12">
        <f t="shared" si="2"/>
        <v>1578423.37</v>
      </c>
      <c r="E55" s="12">
        <f t="shared" si="2"/>
        <v>-38319.62999999999</v>
      </c>
      <c r="F55" s="52"/>
    </row>
    <row r="56" spans="1:6" ht="13.5" thickBot="1" x14ac:dyDescent="0.25">
      <c r="A56" s="13"/>
      <c r="B56" s="13"/>
      <c r="C56" s="33"/>
      <c r="D56" s="15"/>
      <c r="E56" s="15"/>
      <c r="F56" s="53"/>
    </row>
    <row r="57" spans="1:6" ht="14.25" thickTop="1" thickBot="1" x14ac:dyDescent="0.25">
      <c r="A57" s="16" t="s">
        <v>106</v>
      </c>
      <c r="B57" s="17"/>
      <c r="C57" s="18">
        <f>C23+C41+C47+C55</f>
        <v>13673310</v>
      </c>
      <c r="D57" s="18">
        <f>D23+D41+D47+D55</f>
        <v>15426431.749069266</v>
      </c>
      <c r="E57" s="18">
        <f>E23+E41+E47+E55</f>
        <v>1753121.7490692658</v>
      </c>
      <c r="F57" s="48"/>
    </row>
  </sheetData>
  <pageMargins left="0.7" right="0.7" top="0.75" bottom="0.75" header="0.3" footer="0.3"/>
  <pageSetup scale="8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6"/>
  <sheetViews>
    <sheetView topLeftCell="A43" zoomScaleNormal="100" workbookViewId="0">
      <selection activeCell="E50" sqref="E50"/>
    </sheetView>
  </sheetViews>
  <sheetFormatPr defaultRowHeight="12.75" x14ac:dyDescent="0.2"/>
  <cols>
    <col min="1" max="1" width="43.5703125" customWidth="1"/>
    <col min="2" max="2" width="7.28515625" customWidth="1"/>
    <col min="3" max="3" width="12.5703125" style="26" customWidth="1"/>
    <col min="4" max="5" width="12.7109375" customWidth="1"/>
    <col min="6" max="6" width="12.7109375" style="40" customWidth="1"/>
  </cols>
  <sheetData>
    <row r="2" spans="1:6" ht="13.5" thickBot="1" x14ac:dyDescent="0.25"/>
    <row r="3" spans="1:6" s="22" customFormat="1" ht="45.75" customHeight="1" thickBot="1" x14ac:dyDescent="0.25">
      <c r="A3" s="20" t="s">
        <v>0</v>
      </c>
      <c r="B3" s="21" t="s">
        <v>1</v>
      </c>
      <c r="C3" s="27" t="s">
        <v>113</v>
      </c>
      <c r="D3" s="1" t="s">
        <v>114</v>
      </c>
      <c r="E3" s="1" t="s">
        <v>121</v>
      </c>
      <c r="F3" s="41" t="s">
        <v>122</v>
      </c>
    </row>
    <row r="4" spans="1:6" ht="13.5" thickBot="1" x14ac:dyDescent="0.25">
      <c r="A4" s="2" t="s">
        <v>2</v>
      </c>
      <c r="B4" s="3"/>
      <c r="C4" s="31"/>
      <c r="D4" s="5"/>
      <c r="E4" s="5"/>
      <c r="F4" s="49"/>
    </row>
    <row r="5" spans="1:6" ht="28.5" customHeight="1" x14ac:dyDescent="0.2">
      <c r="A5" s="6" t="s">
        <v>3</v>
      </c>
      <c r="B5" s="7">
        <v>1</v>
      </c>
      <c r="C5" s="36">
        <v>1124500</v>
      </c>
      <c r="D5" s="36">
        <v>933982.60210196115</v>
      </c>
      <c r="E5" s="38"/>
      <c r="F5" s="50"/>
    </row>
    <row r="6" spans="1:6" ht="32.25" customHeight="1" x14ac:dyDescent="0.2">
      <c r="A6" s="6" t="s">
        <v>4</v>
      </c>
      <c r="B6" s="7">
        <v>2</v>
      </c>
      <c r="C6" s="36"/>
      <c r="D6" s="36">
        <v>1019677.316102236</v>
      </c>
      <c r="E6" s="38"/>
      <c r="F6" s="50"/>
    </row>
    <row r="7" spans="1:6" x14ac:dyDescent="0.2">
      <c r="A7" s="6" t="s">
        <v>11</v>
      </c>
      <c r="B7" s="7">
        <v>6</v>
      </c>
      <c r="C7" s="36"/>
      <c r="D7" s="36">
        <v>166309.71599265304</v>
      </c>
      <c r="E7" s="38"/>
      <c r="F7" s="50"/>
    </row>
    <row r="8" spans="1:6" x14ac:dyDescent="0.2">
      <c r="A8" s="6" t="s">
        <v>14</v>
      </c>
      <c r="B8" s="7">
        <v>9</v>
      </c>
      <c r="C8" s="36"/>
      <c r="D8" s="36">
        <v>258090.74216371353</v>
      </c>
      <c r="E8" s="36">
        <f>SUM(D5:D8)-SUM(C5:C8)</f>
        <v>1253560.376360564</v>
      </c>
      <c r="F8" s="39">
        <f>E8/C5</f>
        <v>1.1147713440289586</v>
      </c>
    </row>
    <row r="9" spans="1:6" x14ac:dyDescent="0.2">
      <c r="A9" s="6" t="s">
        <v>15</v>
      </c>
      <c r="B9" s="7">
        <v>10</v>
      </c>
      <c r="C9" s="32">
        <f>343500+200000</f>
        <v>543500</v>
      </c>
      <c r="D9" s="9">
        <v>601440.97945246077</v>
      </c>
      <c r="E9" s="8">
        <f>D9-C9</f>
        <v>57940.979452460771</v>
      </c>
      <c r="F9" s="43">
        <f>E9/C9</f>
        <v>0.10660713790701154</v>
      </c>
    </row>
    <row r="10" spans="1:6" x14ac:dyDescent="0.2">
      <c r="A10" s="6" t="s">
        <v>20</v>
      </c>
      <c r="B10" s="7">
        <v>11</v>
      </c>
      <c r="C10" s="37"/>
      <c r="D10" s="37">
        <v>184982.89192095087</v>
      </c>
      <c r="E10" s="37"/>
      <c r="F10" s="44"/>
    </row>
    <row r="11" spans="1:6" x14ac:dyDescent="0.2">
      <c r="A11" s="6" t="s">
        <v>26</v>
      </c>
      <c r="B11" s="7">
        <v>11</v>
      </c>
      <c r="C11" s="37"/>
      <c r="D11" s="37">
        <v>340921.35709179053</v>
      </c>
      <c r="E11" s="37"/>
      <c r="F11" s="44"/>
    </row>
    <row r="12" spans="1:6" x14ac:dyDescent="0.2">
      <c r="A12" s="6" t="s">
        <v>27</v>
      </c>
      <c r="B12" s="7">
        <v>11</v>
      </c>
      <c r="C12" s="37">
        <f>250000+312004+275000</f>
        <v>837004</v>
      </c>
      <c r="D12" s="37">
        <v>577899.12419332855</v>
      </c>
      <c r="E12" s="37">
        <f>SUM(D10:D12)-SUM(C10:C12)</f>
        <v>266799.37320606993</v>
      </c>
      <c r="F12" s="44">
        <f>E12/C12</f>
        <v>0.31875519496450427</v>
      </c>
    </row>
    <row r="13" spans="1:6" x14ac:dyDescent="0.2">
      <c r="A13" s="6" t="s">
        <v>28</v>
      </c>
      <c r="B13" s="7">
        <v>11</v>
      </c>
      <c r="C13" s="38">
        <v>1000000</v>
      </c>
      <c r="D13" s="9">
        <v>901555.03</v>
      </c>
      <c r="E13" s="8">
        <f>D13-C13</f>
        <v>-98444.969999999972</v>
      </c>
      <c r="F13" s="43">
        <f>E13/C13</f>
        <v>-9.8444969999999979E-2</v>
      </c>
    </row>
    <row r="14" spans="1:6" x14ac:dyDescent="0.2">
      <c r="A14" s="6" t="s">
        <v>29</v>
      </c>
      <c r="B14" s="7">
        <v>12</v>
      </c>
      <c r="C14" s="38">
        <v>500000</v>
      </c>
      <c r="D14" s="9">
        <v>93776.61</v>
      </c>
      <c r="E14" s="8">
        <f>D14-C14</f>
        <v>-406223.39</v>
      </c>
      <c r="F14" s="43">
        <f>E14/C14</f>
        <v>-0.81244678000000004</v>
      </c>
    </row>
    <row r="15" spans="1:6" x14ac:dyDescent="0.2">
      <c r="A15" s="6" t="s">
        <v>41</v>
      </c>
      <c r="B15" s="7">
        <v>22</v>
      </c>
      <c r="C15" s="32"/>
      <c r="D15" s="9">
        <v>622402.69000000006</v>
      </c>
      <c r="E15" s="8">
        <f>D15-C15</f>
        <v>622402.69000000006</v>
      </c>
      <c r="F15" s="43">
        <v>1</v>
      </c>
    </row>
    <row r="16" spans="1:6" ht="13.5" thickBot="1" x14ac:dyDescent="0.25">
      <c r="A16" s="6"/>
      <c r="B16" s="7"/>
      <c r="C16" s="32"/>
      <c r="D16" s="9"/>
      <c r="E16" s="9"/>
      <c r="F16" s="51"/>
    </row>
    <row r="17" spans="1:6" ht="13.5" thickBot="1" x14ac:dyDescent="0.25">
      <c r="A17" s="10" t="s">
        <v>42</v>
      </c>
      <c r="B17" s="3"/>
      <c r="C17" s="12">
        <f>SUM(C5:C15)</f>
        <v>4005004</v>
      </c>
      <c r="D17" s="12">
        <f>SUM(D5:D15)</f>
        <v>5701039.0590190953</v>
      </c>
      <c r="E17" s="12">
        <f>SUM(E5:E15)</f>
        <v>1696035.0590190948</v>
      </c>
      <c r="F17" s="52"/>
    </row>
    <row r="18" spans="1:6" ht="13.5" thickBot="1" x14ac:dyDescent="0.25">
      <c r="A18" s="10" t="s">
        <v>43</v>
      </c>
      <c r="B18" s="3"/>
      <c r="C18" s="31"/>
      <c r="D18" s="5"/>
      <c r="E18" s="5"/>
      <c r="F18" s="49"/>
    </row>
    <row r="19" spans="1:6" x14ac:dyDescent="0.2">
      <c r="A19" s="6" t="s">
        <v>47</v>
      </c>
      <c r="B19" s="7">
        <v>26</v>
      </c>
      <c r="C19" s="32"/>
      <c r="D19" s="9">
        <v>317.5</v>
      </c>
      <c r="E19" s="8">
        <f t="shared" ref="E19:E36" si="0">D19-C19</f>
        <v>317.5</v>
      </c>
      <c r="F19" s="43">
        <v>1</v>
      </c>
    </row>
    <row r="20" spans="1:6" x14ac:dyDescent="0.2">
      <c r="A20" s="6" t="s">
        <v>49</v>
      </c>
      <c r="B20" s="7">
        <v>28</v>
      </c>
      <c r="C20" s="32">
        <v>292171</v>
      </c>
      <c r="D20" s="9">
        <v>469444.1</v>
      </c>
      <c r="E20" s="8">
        <f t="shared" si="0"/>
        <v>177273.09999999998</v>
      </c>
      <c r="F20" s="43">
        <f>E20/C20</f>
        <v>0.60674433807598971</v>
      </c>
    </row>
    <row r="21" spans="1:6" x14ac:dyDescent="0.2">
      <c r="A21" s="6" t="s">
        <v>52</v>
      </c>
      <c r="B21" s="7">
        <v>31</v>
      </c>
      <c r="C21" s="32"/>
      <c r="D21" s="9">
        <v>26364.83</v>
      </c>
      <c r="E21" s="8">
        <f t="shared" si="0"/>
        <v>26364.83</v>
      </c>
      <c r="F21" s="43">
        <v>1</v>
      </c>
    </row>
    <row r="22" spans="1:6" x14ac:dyDescent="0.2">
      <c r="A22" s="6" t="s">
        <v>53</v>
      </c>
      <c r="B22" s="7">
        <v>32</v>
      </c>
      <c r="C22" s="32"/>
      <c r="D22" s="9">
        <v>159228.88</v>
      </c>
      <c r="E22" s="8">
        <f t="shared" si="0"/>
        <v>159228.88</v>
      </c>
      <c r="F22" s="43">
        <v>1</v>
      </c>
    </row>
    <row r="23" spans="1:6" x14ac:dyDescent="0.2">
      <c r="A23" s="6" t="s">
        <v>56</v>
      </c>
      <c r="B23" s="7">
        <v>33</v>
      </c>
      <c r="C23" s="32">
        <v>561614</v>
      </c>
      <c r="D23" s="9">
        <v>582371.19999999995</v>
      </c>
      <c r="E23" s="8">
        <f t="shared" si="0"/>
        <v>20757.199999999953</v>
      </c>
      <c r="F23" s="43">
        <f>E23/C23</f>
        <v>3.6959904845676843E-2</v>
      </c>
    </row>
    <row r="24" spans="1:6" x14ac:dyDescent="0.2">
      <c r="A24" s="6" t="s">
        <v>57</v>
      </c>
      <c r="B24" s="7">
        <v>34</v>
      </c>
      <c r="C24" s="32">
        <v>400000</v>
      </c>
      <c r="D24" s="9">
        <v>56943.41</v>
      </c>
      <c r="E24" s="8">
        <f t="shared" si="0"/>
        <v>-343056.58999999997</v>
      </c>
      <c r="F24" s="43">
        <f>E24/C24</f>
        <v>-0.85764147499999988</v>
      </c>
    </row>
    <row r="25" spans="1:6" x14ac:dyDescent="0.2">
      <c r="A25" s="6" t="s">
        <v>59</v>
      </c>
      <c r="B25" s="7">
        <v>35</v>
      </c>
      <c r="C25" s="32">
        <v>359131</v>
      </c>
      <c r="D25" s="9">
        <v>232047.73</v>
      </c>
      <c r="E25" s="8">
        <f t="shared" si="0"/>
        <v>-127083.26999999999</v>
      </c>
      <c r="F25" s="43">
        <f>E25/C25</f>
        <v>-0.3538632699488487</v>
      </c>
    </row>
    <row r="26" spans="1:6" ht="25.5" x14ac:dyDescent="0.2">
      <c r="A26" s="6" t="s">
        <v>63</v>
      </c>
      <c r="B26" s="7">
        <v>39</v>
      </c>
      <c r="C26" s="32"/>
      <c r="D26" s="9">
        <v>35884.07</v>
      </c>
      <c r="E26" s="8">
        <f t="shared" si="0"/>
        <v>35884.07</v>
      </c>
      <c r="F26" s="43">
        <v>1</v>
      </c>
    </row>
    <row r="27" spans="1:6" x14ac:dyDescent="0.2">
      <c r="A27" s="6" t="s">
        <v>64</v>
      </c>
      <c r="B27" s="7">
        <v>40</v>
      </c>
      <c r="C27" s="32">
        <v>200000</v>
      </c>
      <c r="D27" s="9">
        <v>179626.02</v>
      </c>
      <c r="E27" s="8">
        <f t="shared" si="0"/>
        <v>-20373.98000000001</v>
      </c>
      <c r="F27" s="43">
        <f t="shared" ref="F27:F36" si="1">E27/C27</f>
        <v>-0.10186990000000005</v>
      </c>
    </row>
    <row r="28" spans="1:6" x14ac:dyDescent="0.2">
      <c r="A28" s="6" t="s">
        <v>65</v>
      </c>
      <c r="B28" s="7">
        <v>41</v>
      </c>
      <c r="C28" s="32">
        <v>589623</v>
      </c>
      <c r="D28" s="9">
        <v>399195.29</v>
      </c>
      <c r="E28" s="8">
        <f t="shared" si="0"/>
        <v>-190427.71000000002</v>
      </c>
      <c r="F28" s="43">
        <f t="shared" si="1"/>
        <v>-0.32296519979715854</v>
      </c>
    </row>
    <row r="29" spans="1:6" x14ac:dyDescent="0.2">
      <c r="A29" s="6" t="s">
        <v>68</v>
      </c>
      <c r="B29" s="7">
        <v>42</v>
      </c>
      <c r="C29" s="32">
        <v>308719</v>
      </c>
      <c r="D29" s="9">
        <v>137553.23000000001</v>
      </c>
      <c r="E29" s="8">
        <f t="shared" si="0"/>
        <v>-171165.77</v>
      </c>
      <c r="F29" s="43">
        <f t="shared" si="1"/>
        <v>-0.55443872907077307</v>
      </c>
    </row>
    <row r="30" spans="1:6" x14ac:dyDescent="0.2">
      <c r="A30" s="6" t="s">
        <v>70</v>
      </c>
      <c r="B30" s="7">
        <v>43</v>
      </c>
      <c r="C30" s="32">
        <v>600819</v>
      </c>
      <c r="D30" s="9">
        <v>11807.92</v>
      </c>
      <c r="E30" s="8">
        <f t="shared" si="0"/>
        <v>-589011.07999999996</v>
      </c>
      <c r="F30" s="43">
        <f t="shared" si="1"/>
        <v>-0.98034695973329733</v>
      </c>
    </row>
    <row r="31" spans="1:6" x14ac:dyDescent="0.2">
      <c r="A31" s="6" t="s">
        <v>71</v>
      </c>
      <c r="B31" s="7">
        <v>44</v>
      </c>
      <c r="C31" s="32">
        <v>678670</v>
      </c>
      <c r="D31" s="9">
        <v>510844.61</v>
      </c>
      <c r="E31" s="8">
        <f t="shared" si="0"/>
        <v>-167825.39</v>
      </c>
      <c r="F31" s="43">
        <f t="shared" si="1"/>
        <v>-0.24728570586588478</v>
      </c>
    </row>
    <row r="32" spans="1:6" x14ac:dyDescent="0.2">
      <c r="A32" s="6" t="s">
        <v>72</v>
      </c>
      <c r="B32" s="7">
        <v>45</v>
      </c>
      <c r="C32" s="32">
        <v>343719</v>
      </c>
      <c r="D32" s="9">
        <v>279777.13</v>
      </c>
      <c r="E32" s="8">
        <f t="shared" si="0"/>
        <v>-63941.869999999995</v>
      </c>
      <c r="F32" s="43">
        <f t="shared" si="1"/>
        <v>-0.18602948920484463</v>
      </c>
    </row>
    <row r="33" spans="1:6" x14ac:dyDescent="0.2">
      <c r="A33" s="6" t="s">
        <v>81</v>
      </c>
      <c r="B33" s="7">
        <v>53</v>
      </c>
      <c r="C33" s="32">
        <v>626236</v>
      </c>
      <c r="D33" s="9">
        <v>1009358.34</v>
      </c>
      <c r="E33" s="8">
        <f t="shared" si="0"/>
        <v>383122.33999999997</v>
      </c>
      <c r="F33" s="43">
        <f t="shared" si="1"/>
        <v>0.61178587625112568</v>
      </c>
    </row>
    <row r="34" spans="1:6" x14ac:dyDescent="0.2">
      <c r="A34" s="6" t="s">
        <v>82</v>
      </c>
      <c r="B34" s="7">
        <v>54</v>
      </c>
      <c r="C34" s="32">
        <v>1001137</v>
      </c>
      <c r="D34" s="9">
        <v>937053.82000000007</v>
      </c>
      <c r="E34" s="8">
        <f t="shared" si="0"/>
        <v>-64083.179999999935</v>
      </c>
      <c r="F34" s="43">
        <f t="shared" si="1"/>
        <v>-6.4010400175000953E-2</v>
      </c>
    </row>
    <row r="35" spans="1:6" x14ac:dyDescent="0.2">
      <c r="A35" s="6" t="s">
        <v>83</v>
      </c>
      <c r="B35" s="7">
        <v>55</v>
      </c>
      <c r="C35" s="32">
        <v>250000</v>
      </c>
      <c r="D35" s="9">
        <v>205351.74</v>
      </c>
      <c r="E35" s="8">
        <f t="shared" si="0"/>
        <v>-44648.260000000009</v>
      </c>
      <c r="F35" s="43">
        <f t="shared" si="1"/>
        <v>-0.17859304000000004</v>
      </c>
    </row>
    <row r="36" spans="1:6" x14ac:dyDescent="0.2">
      <c r="A36" s="6" t="s">
        <v>87</v>
      </c>
      <c r="B36" s="7">
        <v>59</v>
      </c>
      <c r="C36" s="32">
        <v>245151</v>
      </c>
      <c r="D36" s="9">
        <v>301743.09000000003</v>
      </c>
      <c r="E36" s="8">
        <f t="shared" si="0"/>
        <v>56592.090000000026</v>
      </c>
      <c r="F36" s="43">
        <f t="shared" si="1"/>
        <v>0.23084584602959002</v>
      </c>
    </row>
    <row r="37" spans="1:6" ht="13.5" thickBot="1" x14ac:dyDescent="0.25">
      <c r="A37" s="6"/>
      <c r="B37" s="7"/>
      <c r="C37" s="32"/>
      <c r="D37" s="9"/>
      <c r="E37" s="9"/>
      <c r="F37" s="51"/>
    </row>
    <row r="38" spans="1:6" ht="13.5" thickBot="1" x14ac:dyDescent="0.25">
      <c r="A38" s="10" t="s">
        <v>42</v>
      </c>
      <c r="B38" s="3"/>
      <c r="C38" s="12">
        <f>SUM(C19:C37)</f>
        <v>6456990</v>
      </c>
      <c r="D38" s="12">
        <f>SUM(D19:D37)</f>
        <v>5534912.9099999992</v>
      </c>
      <c r="E38" s="12">
        <f>SUM(E19:E37)</f>
        <v>-922077.09000000008</v>
      </c>
      <c r="F38" s="52"/>
    </row>
    <row r="39" spans="1:6" ht="13.5" thickBot="1" x14ac:dyDescent="0.25">
      <c r="A39" s="10" t="s">
        <v>89</v>
      </c>
      <c r="B39" s="3"/>
      <c r="C39" s="31"/>
      <c r="D39" s="5"/>
      <c r="E39" s="5"/>
      <c r="F39" s="49"/>
    </row>
    <row r="40" spans="1:6" ht="25.5" x14ac:dyDescent="0.2">
      <c r="A40" s="6" t="s">
        <v>91</v>
      </c>
      <c r="B40" s="7">
        <v>61</v>
      </c>
      <c r="C40" s="32">
        <v>114583</v>
      </c>
      <c r="D40" s="9">
        <v>109606.52</v>
      </c>
      <c r="E40" s="8">
        <f>D40-C40</f>
        <v>-4976.4799999999959</v>
      </c>
      <c r="F40" s="43">
        <f>E40/C40</f>
        <v>-4.3431224527198588E-2</v>
      </c>
    </row>
    <row r="41" spans="1:6" x14ac:dyDescent="0.2">
      <c r="A41" s="6" t="s">
        <v>92</v>
      </c>
      <c r="B41" s="7">
        <v>62</v>
      </c>
      <c r="C41" s="32">
        <f>73000+30000</f>
        <v>103000</v>
      </c>
      <c r="D41" s="9">
        <v>-47511.83</v>
      </c>
      <c r="E41" s="8">
        <f>D41-C41</f>
        <v>-150511.83000000002</v>
      </c>
      <c r="F41" s="43">
        <f>E41/C41</f>
        <v>-1.4612799029126216</v>
      </c>
    </row>
    <row r="42" spans="1:6" x14ac:dyDescent="0.2">
      <c r="A42" s="6" t="s">
        <v>93</v>
      </c>
      <c r="B42" s="7">
        <v>63</v>
      </c>
      <c r="C42" s="32"/>
      <c r="D42" s="9">
        <v>42618.31</v>
      </c>
      <c r="E42" s="8">
        <f>D42-C42</f>
        <v>42618.31</v>
      </c>
      <c r="F42" s="43">
        <v>1</v>
      </c>
    </row>
    <row r="43" spans="1:6" x14ac:dyDescent="0.2">
      <c r="A43" s="6" t="s">
        <v>94</v>
      </c>
      <c r="B43" s="7">
        <v>64</v>
      </c>
      <c r="C43" s="32">
        <v>189664</v>
      </c>
      <c r="D43" s="9">
        <v>77945.2</v>
      </c>
      <c r="E43" s="8">
        <f>D43-C43</f>
        <v>-111718.8</v>
      </c>
      <c r="F43" s="43">
        <f>E43/C43</f>
        <v>-0.58903534671840729</v>
      </c>
    </row>
    <row r="44" spans="1:6" x14ac:dyDescent="0.2">
      <c r="A44" s="6" t="s">
        <v>96</v>
      </c>
      <c r="B44" s="7">
        <v>66</v>
      </c>
      <c r="C44" s="32">
        <f>100000+820000</f>
        <v>920000</v>
      </c>
      <c r="D44" s="9">
        <v>1075853.7000000002</v>
      </c>
      <c r="E44" s="8">
        <f>D44-C44</f>
        <v>155853.70000000019</v>
      </c>
      <c r="F44" s="43">
        <f>E44/C44</f>
        <v>0.1694061956521741</v>
      </c>
    </row>
    <row r="45" spans="1:6" ht="13.5" thickBot="1" x14ac:dyDescent="0.25">
      <c r="A45" s="6"/>
      <c r="B45" s="7"/>
      <c r="C45" s="32"/>
      <c r="D45" s="9"/>
      <c r="E45" s="9"/>
      <c r="F45" s="51"/>
    </row>
    <row r="46" spans="1:6" ht="13.5" thickBot="1" x14ac:dyDescent="0.25">
      <c r="A46" s="10" t="s">
        <v>42</v>
      </c>
      <c r="B46" s="3"/>
      <c r="C46" s="12">
        <f>SUM(C40:C45)</f>
        <v>1327247</v>
      </c>
      <c r="D46" s="12">
        <f>SUM(D40:D45)</f>
        <v>1258511.9000000001</v>
      </c>
      <c r="E46" s="12">
        <f>SUM(E40:E45)</f>
        <v>-68735.099999999802</v>
      </c>
      <c r="F46" s="52"/>
    </row>
    <row r="47" spans="1:6" x14ac:dyDescent="0.2">
      <c r="A47" s="6" t="s">
        <v>100</v>
      </c>
      <c r="B47" s="7"/>
      <c r="C47" s="32"/>
      <c r="D47" s="9"/>
      <c r="E47" s="9"/>
      <c r="F47" s="51"/>
    </row>
    <row r="48" spans="1:6" x14ac:dyDescent="0.2">
      <c r="A48" s="6" t="s">
        <v>101</v>
      </c>
      <c r="B48" s="7"/>
      <c r="C48" s="32">
        <f>192500+300000</f>
        <v>492500</v>
      </c>
      <c r="D48" s="9">
        <v>403007.02000000328</v>
      </c>
      <c r="E48" s="8">
        <f>D48-C48</f>
        <v>-89492.979999996722</v>
      </c>
      <c r="F48" s="43">
        <f>E48/C48</f>
        <v>-0.18171163451775985</v>
      </c>
    </row>
    <row r="49" spans="1:6" x14ac:dyDescent="0.2">
      <c r="A49" s="6" t="s">
        <v>102</v>
      </c>
      <c r="B49" s="7"/>
      <c r="C49" s="32">
        <v>401390</v>
      </c>
      <c r="D49" s="9">
        <v>332121.28000000009</v>
      </c>
      <c r="E49" s="8">
        <f>D49-C49</f>
        <v>-69268.719999999914</v>
      </c>
      <c r="F49" s="43">
        <f>E49/C49</f>
        <v>-0.17257211191110869</v>
      </c>
    </row>
    <row r="50" spans="1:6" x14ac:dyDescent="0.2">
      <c r="A50" s="6" t="s">
        <v>103</v>
      </c>
      <c r="B50" s="7"/>
      <c r="C50" s="32">
        <v>1120860</v>
      </c>
      <c r="D50" s="9">
        <v>710895.68999999948</v>
      </c>
      <c r="E50" s="8">
        <f>D50-C50</f>
        <v>-409964.31000000052</v>
      </c>
      <c r="F50" s="43">
        <f>E50/C50</f>
        <v>-0.36575871206038268</v>
      </c>
    </row>
    <row r="51" spans="1:6" x14ac:dyDescent="0.2">
      <c r="A51" s="6" t="s">
        <v>104</v>
      </c>
      <c r="B51" s="7"/>
      <c r="C51" s="32">
        <v>695250</v>
      </c>
      <c r="D51" s="9">
        <v>876512.72000000032</v>
      </c>
      <c r="E51" s="8">
        <f>D51-C51</f>
        <v>181262.72000000032</v>
      </c>
      <c r="F51" s="43">
        <f>E51/C51</f>
        <v>0.26071588637180915</v>
      </c>
    </row>
    <row r="52" spans="1:6" x14ac:dyDescent="0.2">
      <c r="A52" s="6" t="s">
        <v>105</v>
      </c>
      <c r="B52" s="7"/>
      <c r="C52" s="32">
        <f>20000+82000</f>
        <v>102000</v>
      </c>
      <c r="D52" s="9">
        <v>116015.93000000031</v>
      </c>
      <c r="E52" s="8">
        <f>D52-C52</f>
        <v>14015.930000000313</v>
      </c>
      <c r="F52" s="43">
        <f>E52/C52</f>
        <v>0.13741107843137562</v>
      </c>
    </row>
    <row r="53" spans="1:6" ht="13.5" thickBot="1" x14ac:dyDescent="0.25">
      <c r="A53" s="6"/>
      <c r="B53" s="7"/>
      <c r="C53" s="32"/>
      <c r="D53" s="9"/>
      <c r="E53" s="9"/>
      <c r="F53" s="51"/>
    </row>
    <row r="54" spans="1:6" ht="13.5" thickBot="1" x14ac:dyDescent="0.25">
      <c r="A54" s="10" t="s">
        <v>42</v>
      </c>
      <c r="B54" s="3"/>
      <c r="C54" s="12">
        <f t="shared" ref="C54:E54" si="2">SUM(C48:C53)</f>
        <v>2812000</v>
      </c>
      <c r="D54" s="12">
        <f t="shared" si="2"/>
        <v>2438552.6400000034</v>
      </c>
      <c r="E54" s="12">
        <f t="shared" si="2"/>
        <v>-373447.35999999661</v>
      </c>
      <c r="F54" s="52"/>
    </row>
    <row r="55" spans="1:6" ht="13.5" thickBot="1" x14ac:dyDescent="0.25">
      <c r="A55" s="13"/>
      <c r="B55" s="13"/>
      <c r="C55" s="33"/>
      <c r="D55" s="15"/>
      <c r="E55" s="15"/>
      <c r="F55" s="53"/>
    </row>
    <row r="56" spans="1:6" ht="14.25" thickTop="1" thickBot="1" x14ac:dyDescent="0.25">
      <c r="A56" s="16" t="s">
        <v>106</v>
      </c>
      <c r="B56" s="17"/>
      <c r="C56" s="18">
        <f>C17+C38+C46+C54</f>
        <v>14601241</v>
      </c>
      <c r="D56" s="18">
        <f>D17+D38+D46+D54</f>
        <v>14933016.509019099</v>
      </c>
      <c r="E56" s="18">
        <f>E17+E38+E46+E54</f>
        <v>331775.50901909824</v>
      </c>
      <c r="F56" s="48"/>
    </row>
  </sheetData>
  <pageMargins left="0.7" right="0.7" top="0.75" bottom="0.75" header="0.3" footer="0.3"/>
  <pageSetup scale="82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topLeftCell="A37" zoomScaleNormal="100" workbookViewId="0">
      <selection activeCell="E47" sqref="E47"/>
    </sheetView>
  </sheetViews>
  <sheetFormatPr defaultRowHeight="12.75" x14ac:dyDescent="0.2"/>
  <cols>
    <col min="1" max="1" width="43.5703125" customWidth="1"/>
    <col min="2" max="2" width="6.140625" customWidth="1"/>
    <col min="3" max="3" width="18.7109375" style="26" customWidth="1"/>
    <col min="4" max="5" width="12.7109375" customWidth="1"/>
    <col min="6" max="6" width="12.7109375" style="40" customWidth="1"/>
  </cols>
  <sheetData>
    <row r="2" spans="1:6" ht="13.5" thickBot="1" x14ac:dyDescent="0.25"/>
    <row r="3" spans="1:6" s="22" customFormat="1" ht="51.75" customHeight="1" thickBot="1" x14ac:dyDescent="0.25">
      <c r="A3" s="20" t="s">
        <v>0</v>
      </c>
      <c r="B3" s="21" t="s">
        <v>1</v>
      </c>
      <c r="C3" s="27" t="s">
        <v>115</v>
      </c>
      <c r="D3" s="1" t="s">
        <v>116</v>
      </c>
      <c r="E3" s="1" t="s">
        <v>121</v>
      </c>
      <c r="F3" s="41" t="s">
        <v>122</v>
      </c>
    </row>
    <row r="4" spans="1:6" ht="13.5" thickBot="1" x14ac:dyDescent="0.25">
      <c r="A4" s="2" t="s">
        <v>2</v>
      </c>
      <c r="B4" s="3"/>
      <c r="C4" s="31"/>
      <c r="D4" s="5"/>
      <c r="E4" s="5"/>
      <c r="F4" s="49"/>
    </row>
    <row r="5" spans="1:6" ht="28.5" customHeight="1" x14ac:dyDescent="0.2">
      <c r="A5" s="6" t="s">
        <v>3</v>
      </c>
      <c r="B5" s="7">
        <v>1</v>
      </c>
      <c r="C5" s="36">
        <v>1269425</v>
      </c>
      <c r="D5" s="36">
        <v>1104335.7858366938</v>
      </c>
      <c r="E5" s="38"/>
      <c r="F5" s="50"/>
    </row>
    <row r="6" spans="1:6" ht="32.25" customHeight="1" x14ac:dyDescent="0.2">
      <c r="A6" s="6" t="s">
        <v>4</v>
      </c>
      <c r="B6" s="7">
        <v>2</v>
      </c>
      <c r="C6" s="36"/>
      <c r="D6" s="36">
        <v>1428763.1924808733</v>
      </c>
      <c r="E6" s="38"/>
      <c r="F6" s="50"/>
    </row>
    <row r="7" spans="1:6" x14ac:dyDescent="0.2">
      <c r="A7" s="6" t="s">
        <v>12</v>
      </c>
      <c r="B7" s="7">
        <v>7</v>
      </c>
      <c r="C7" s="36"/>
      <c r="D7" s="36">
        <v>204129.42553240462</v>
      </c>
      <c r="E7" s="38"/>
      <c r="F7" s="50"/>
    </row>
    <row r="8" spans="1:6" x14ac:dyDescent="0.2">
      <c r="A8" s="6" t="s">
        <v>14</v>
      </c>
      <c r="B8" s="7">
        <v>9</v>
      </c>
      <c r="C8" s="36"/>
      <c r="D8" s="36">
        <v>179627.50419578064</v>
      </c>
      <c r="E8" s="36">
        <f>SUM(D5:D8)-SUM(C5:C8)</f>
        <v>1647430.9080457524</v>
      </c>
      <c r="F8" s="39">
        <f>E8/C5</f>
        <v>1.2977772676965968</v>
      </c>
    </row>
    <row r="9" spans="1:6" x14ac:dyDescent="0.2">
      <c r="A9" s="6" t="s">
        <v>15</v>
      </c>
      <c r="B9" s="7">
        <v>10</v>
      </c>
      <c r="C9" s="32">
        <f>255000+410000</f>
        <v>665000</v>
      </c>
      <c r="D9" s="9">
        <v>585647.81514633715</v>
      </c>
      <c r="E9" s="8">
        <f>D9-C9</f>
        <v>-79352.184853662853</v>
      </c>
      <c r="F9" s="43">
        <f>E9/C9</f>
        <v>-0.11932659376490655</v>
      </c>
    </row>
    <row r="10" spans="1:6" x14ac:dyDescent="0.2">
      <c r="A10" s="6" t="s">
        <v>21</v>
      </c>
      <c r="B10" s="7">
        <v>11</v>
      </c>
      <c r="C10" s="37"/>
      <c r="D10" s="37">
        <v>237426.5125912712</v>
      </c>
      <c r="E10" s="38"/>
      <c r="F10" s="50"/>
    </row>
    <row r="11" spans="1:6" x14ac:dyDescent="0.2">
      <c r="A11" s="6" t="s">
        <v>26</v>
      </c>
      <c r="B11" s="7">
        <v>11</v>
      </c>
      <c r="C11" s="37"/>
      <c r="D11" s="37">
        <v>448832.65814671101</v>
      </c>
      <c r="E11" s="38"/>
      <c r="F11" s="50"/>
    </row>
    <row r="12" spans="1:6" x14ac:dyDescent="0.2">
      <c r="A12" s="6" t="s">
        <v>27</v>
      </c>
      <c r="B12" s="7">
        <v>11</v>
      </c>
      <c r="C12" s="37">
        <f>417000+482004</f>
        <v>899004</v>
      </c>
      <c r="D12" s="37">
        <v>333344.71247804759</v>
      </c>
      <c r="E12" s="37">
        <f>SUM(D10:D12)-SUM(C10:C12)</f>
        <v>120599.88321602985</v>
      </c>
      <c r="F12" s="44">
        <f>E12/C12</f>
        <v>0.13414832772271296</v>
      </c>
    </row>
    <row r="13" spans="1:6" x14ac:dyDescent="0.2">
      <c r="A13" s="6" t="s">
        <v>28</v>
      </c>
      <c r="B13" s="7">
        <v>11</v>
      </c>
      <c r="C13" s="32">
        <v>1000000</v>
      </c>
      <c r="D13" s="9">
        <v>913711.35</v>
      </c>
      <c r="E13" s="8">
        <f>D13-C13</f>
        <v>-86288.650000000023</v>
      </c>
      <c r="F13" s="43">
        <f>E13/C13</f>
        <v>-8.6288650000000022E-2</v>
      </c>
    </row>
    <row r="14" spans="1:6" x14ac:dyDescent="0.2">
      <c r="A14" s="6" t="s">
        <v>29</v>
      </c>
      <c r="B14" s="7">
        <v>12</v>
      </c>
      <c r="C14" s="32">
        <v>520813</v>
      </c>
      <c r="D14" s="9">
        <v>125864.33000000002</v>
      </c>
      <c r="E14" s="8">
        <f>D14-C14</f>
        <v>-394948.67</v>
      </c>
      <c r="F14" s="43">
        <f>E14/C14</f>
        <v>-0.75833105164425618</v>
      </c>
    </row>
    <row r="15" spans="1:6" x14ac:dyDescent="0.2">
      <c r="A15" s="6" t="s">
        <v>41</v>
      </c>
      <c r="B15" s="7">
        <v>22</v>
      </c>
      <c r="C15" s="32"/>
      <c r="D15" s="9">
        <v>431219.55000000005</v>
      </c>
      <c r="E15" s="8">
        <f>D15-C15</f>
        <v>431219.55000000005</v>
      </c>
      <c r="F15" s="43">
        <v>1</v>
      </c>
    </row>
    <row r="16" spans="1:6" ht="13.5" thickBot="1" x14ac:dyDescent="0.25">
      <c r="A16" s="6"/>
      <c r="B16" s="7"/>
      <c r="C16" s="32"/>
      <c r="D16" s="9"/>
      <c r="E16" s="9"/>
      <c r="F16" s="51"/>
    </row>
    <row r="17" spans="1:6" ht="13.5" thickBot="1" x14ac:dyDescent="0.25">
      <c r="A17" s="10" t="s">
        <v>42</v>
      </c>
      <c r="B17" s="3"/>
      <c r="C17" s="12">
        <f>SUM(C5:C15)</f>
        <v>4354242</v>
      </c>
      <c r="D17" s="12">
        <f>SUM(D5:D15)</f>
        <v>5992902.8364081187</v>
      </c>
      <c r="E17" s="12">
        <f>SUM(E5:E15)</f>
        <v>1638660.8364081199</v>
      </c>
      <c r="F17" s="52"/>
    </row>
    <row r="18" spans="1:6" ht="13.5" thickBot="1" x14ac:dyDescent="0.25">
      <c r="A18" s="10" t="s">
        <v>43</v>
      </c>
      <c r="B18" s="3"/>
      <c r="C18" s="31"/>
      <c r="D18" s="5"/>
      <c r="E18" s="5"/>
      <c r="F18" s="49"/>
    </row>
    <row r="19" spans="1:6" x14ac:dyDescent="0.2">
      <c r="A19" s="6" t="s">
        <v>49</v>
      </c>
      <c r="B19" s="7">
        <v>28</v>
      </c>
      <c r="C19" s="32"/>
      <c r="D19" s="9">
        <v>53355.43</v>
      </c>
      <c r="E19" s="8">
        <f t="shared" ref="E19:E34" si="0">D19-C19</f>
        <v>53355.43</v>
      </c>
      <c r="F19" s="43">
        <v>1</v>
      </c>
    </row>
    <row r="20" spans="1:6" x14ac:dyDescent="0.2">
      <c r="A20" s="6" t="s">
        <v>57</v>
      </c>
      <c r="B20" s="7">
        <v>34</v>
      </c>
      <c r="C20" s="32">
        <v>200000</v>
      </c>
      <c r="D20" s="9">
        <v>128307.66</v>
      </c>
      <c r="E20" s="8">
        <f t="shared" si="0"/>
        <v>-71692.34</v>
      </c>
      <c r="F20" s="43">
        <f>E20/C20</f>
        <v>-0.35846169999999999</v>
      </c>
    </row>
    <row r="21" spans="1:6" x14ac:dyDescent="0.2">
      <c r="A21" s="6" t="s">
        <v>61</v>
      </c>
      <c r="B21" s="7">
        <v>37</v>
      </c>
      <c r="C21" s="32">
        <v>457676</v>
      </c>
      <c r="D21" s="9">
        <v>10017.15</v>
      </c>
      <c r="E21" s="8">
        <f t="shared" si="0"/>
        <v>-447658.85</v>
      </c>
      <c r="F21" s="43">
        <f>E21/C21</f>
        <v>-0.97811301007699769</v>
      </c>
    </row>
    <row r="22" spans="1:6" x14ac:dyDescent="0.2">
      <c r="A22" s="6" t="s">
        <v>62</v>
      </c>
      <c r="B22" s="7">
        <v>38</v>
      </c>
      <c r="C22" s="32">
        <v>383291</v>
      </c>
      <c r="D22" s="9">
        <v>119863.29</v>
      </c>
      <c r="E22" s="8">
        <f t="shared" si="0"/>
        <v>-263427.71000000002</v>
      </c>
      <c r="F22" s="43">
        <f>E22/C22</f>
        <v>-0.68727862120425476</v>
      </c>
    </row>
    <row r="23" spans="1:6" x14ac:dyDescent="0.2">
      <c r="A23" s="6" t="s">
        <v>65</v>
      </c>
      <c r="B23" s="7">
        <v>41</v>
      </c>
      <c r="C23" s="32"/>
      <c r="D23" s="9">
        <v>2437.08</v>
      </c>
      <c r="E23" s="8">
        <f t="shared" si="0"/>
        <v>2437.08</v>
      </c>
      <c r="F23" s="43">
        <v>1</v>
      </c>
    </row>
    <row r="24" spans="1:6" x14ac:dyDescent="0.2">
      <c r="A24" s="6" t="s">
        <v>66</v>
      </c>
      <c r="B24" s="7">
        <v>41</v>
      </c>
      <c r="C24" s="32">
        <v>971639</v>
      </c>
      <c r="D24" s="9">
        <v>712832.04</v>
      </c>
      <c r="E24" s="8">
        <f t="shared" si="0"/>
        <v>-258806.95999999996</v>
      </c>
      <c r="F24" s="43">
        <f>E24/C24</f>
        <v>-0.2663612308686662</v>
      </c>
    </row>
    <row r="25" spans="1:6" x14ac:dyDescent="0.2">
      <c r="A25" s="6" t="s">
        <v>68</v>
      </c>
      <c r="B25" s="7">
        <v>42</v>
      </c>
      <c r="C25" s="32">
        <v>401629</v>
      </c>
      <c r="D25" s="9">
        <v>694068.92999999993</v>
      </c>
      <c r="E25" s="8">
        <f t="shared" si="0"/>
        <v>292439.92999999993</v>
      </c>
      <c r="F25" s="43">
        <f>E25/C25</f>
        <v>0.72813449725990886</v>
      </c>
    </row>
    <row r="26" spans="1:6" x14ac:dyDescent="0.2">
      <c r="A26" s="6" t="s">
        <v>69</v>
      </c>
      <c r="B26" s="7">
        <v>42</v>
      </c>
      <c r="C26" s="32">
        <v>558441</v>
      </c>
      <c r="D26" s="9">
        <v>567881.55000000005</v>
      </c>
      <c r="E26" s="8">
        <f t="shared" si="0"/>
        <v>9440.5500000000466</v>
      </c>
      <c r="F26" s="43">
        <f>E26/C26</f>
        <v>1.6905187835420478E-2</v>
      </c>
    </row>
    <row r="27" spans="1:6" x14ac:dyDescent="0.2">
      <c r="A27" s="6" t="s">
        <v>70</v>
      </c>
      <c r="B27" s="7">
        <v>43</v>
      </c>
      <c r="C27" s="32">
        <v>648476</v>
      </c>
      <c r="D27" s="9">
        <v>583572.22</v>
      </c>
      <c r="E27" s="8">
        <f t="shared" si="0"/>
        <v>-64903.780000000028</v>
      </c>
      <c r="F27" s="43">
        <f>E27/C27</f>
        <v>-0.10008663389238773</v>
      </c>
    </row>
    <row r="28" spans="1:6" x14ac:dyDescent="0.2">
      <c r="A28" s="6" t="s">
        <v>71</v>
      </c>
      <c r="B28" s="7">
        <v>44</v>
      </c>
      <c r="C28" s="32"/>
      <c r="D28" s="9">
        <v>204558.01</v>
      </c>
      <c r="E28" s="8">
        <f t="shared" si="0"/>
        <v>204558.01</v>
      </c>
      <c r="F28" s="43">
        <v>1</v>
      </c>
    </row>
    <row r="29" spans="1:6" x14ac:dyDescent="0.2">
      <c r="A29" s="6" t="s">
        <v>72</v>
      </c>
      <c r="B29" s="7">
        <v>45</v>
      </c>
      <c r="C29" s="32"/>
      <c r="D29" s="9">
        <v>67328.72</v>
      </c>
      <c r="E29" s="8">
        <f t="shared" si="0"/>
        <v>67328.72</v>
      </c>
      <c r="F29" s="43">
        <v>1</v>
      </c>
    </row>
    <row r="30" spans="1:6" x14ac:dyDescent="0.2">
      <c r="A30" s="6" t="s">
        <v>73</v>
      </c>
      <c r="B30" s="7">
        <v>45</v>
      </c>
      <c r="C30" s="32">
        <v>400396</v>
      </c>
      <c r="D30" s="9">
        <v>492481.94</v>
      </c>
      <c r="E30" s="8">
        <f t="shared" si="0"/>
        <v>92085.94</v>
      </c>
      <c r="F30" s="43">
        <f>E30/C30</f>
        <v>0.22998716270891817</v>
      </c>
    </row>
    <row r="31" spans="1:6" x14ac:dyDescent="0.2">
      <c r="A31" s="6" t="s">
        <v>81</v>
      </c>
      <c r="B31" s="7">
        <v>53</v>
      </c>
      <c r="C31" s="32">
        <v>624352</v>
      </c>
      <c r="D31" s="9">
        <v>881937.57000000007</v>
      </c>
      <c r="E31" s="8">
        <f t="shared" si="0"/>
        <v>257585.57000000007</v>
      </c>
      <c r="F31" s="43">
        <f>E31/C31</f>
        <v>0.41256465903849121</v>
      </c>
    </row>
    <row r="32" spans="1:6" x14ac:dyDescent="0.2">
      <c r="A32" s="6" t="s">
        <v>82</v>
      </c>
      <c r="B32" s="7">
        <v>54</v>
      </c>
      <c r="C32" s="32">
        <v>100407</v>
      </c>
      <c r="D32" s="9">
        <v>122612.51000000001</v>
      </c>
      <c r="E32" s="8">
        <f t="shared" si="0"/>
        <v>22205.510000000009</v>
      </c>
      <c r="F32" s="43">
        <f>E32/C32</f>
        <v>0.22115499915344558</v>
      </c>
    </row>
    <row r="33" spans="1:6" x14ac:dyDescent="0.2">
      <c r="A33" s="6" t="s">
        <v>83</v>
      </c>
      <c r="B33" s="7">
        <v>55</v>
      </c>
      <c r="C33" s="32">
        <v>257493</v>
      </c>
      <c r="D33" s="9">
        <v>164315.81</v>
      </c>
      <c r="E33" s="8">
        <f t="shared" si="0"/>
        <v>-93177.19</v>
      </c>
      <c r="F33" s="43">
        <f>E33/C33</f>
        <v>-0.36186300210102801</v>
      </c>
    </row>
    <row r="34" spans="1:6" x14ac:dyDescent="0.2">
      <c r="A34" s="6" t="s">
        <v>88</v>
      </c>
      <c r="B34" s="7">
        <v>59</v>
      </c>
      <c r="C34" s="32">
        <v>361965</v>
      </c>
      <c r="D34" s="9">
        <v>450650.72</v>
      </c>
      <c r="E34" s="8">
        <f t="shared" si="0"/>
        <v>88685.719999999972</v>
      </c>
      <c r="F34" s="43">
        <f>E34/C34</f>
        <v>0.24501186578812861</v>
      </c>
    </row>
    <row r="35" spans="1:6" ht="13.5" thickBot="1" x14ac:dyDescent="0.25">
      <c r="A35" s="6"/>
      <c r="B35" s="7"/>
      <c r="C35" s="32"/>
      <c r="D35" s="9"/>
      <c r="E35" s="9"/>
      <c r="F35" s="51"/>
    </row>
    <row r="36" spans="1:6" ht="13.5" thickBot="1" x14ac:dyDescent="0.25">
      <c r="A36" s="10" t="s">
        <v>42</v>
      </c>
      <c r="B36" s="3"/>
      <c r="C36" s="12">
        <f>SUM(C19:C35)</f>
        <v>5365765</v>
      </c>
      <c r="D36" s="12">
        <f>SUM(D19:D35)</f>
        <v>5256220.629999999</v>
      </c>
      <c r="E36" s="12">
        <f>SUM(E19:E35)</f>
        <v>-109544.37</v>
      </c>
      <c r="F36" s="52"/>
    </row>
    <row r="37" spans="1:6" ht="13.5" thickBot="1" x14ac:dyDescent="0.25">
      <c r="A37" s="10" t="s">
        <v>89</v>
      </c>
      <c r="B37" s="3"/>
      <c r="C37" s="31"/>
      <c r="D37" s="5"/>
      <c r="E37" s="5"/>
      <c r="F37" s="49"/>
    </row>
    <row r="38" spans="1:6" x14ac:dyDescent="0.2">
      <c r="A38" s="6" t="s">
        <v>92</v>
      </c>
      <c r="B38" s="7">
        <v>62</v>
      </c>
      <c r="C38" s="32">
        <f>76750+125000</f>
        <v>201750</v>
      </c>
      <c r="D38" s="9">
        <v>161240.29</v>
      </c>
      <c r="E38" s="8">
        <f>D38-C38</f>
        <v>-40509.709999999992</v>
      </c>
      <c r="F38" s="43">
        <f>E38/C38</f>
        <v>-0.20079162329615857</v>
      </c>
    </row>
    <row r="39" spans="1:6" x14ac:dyDescent="0.2">
      <c r="A39" s="6" t="s">
        <v>95</v>
      </c>
      <c r="B39" s="7">
        <v>65</v>
      </c>
      <c r="C39" s="32">
        <v>120655</v>
      </c>
      <c r="D39" s="9">
        <v>38951.32</v>
      </c>
      <c r="E39" s="8">
        <f>D39-C39</f>
        <v>-81703.679999999993</v>
      </c>
      <c r="F39" s="43">
        <f>E39/C39</f>
        <v>-0.67716779246612235</v>
      </c>
    </row>
    <row r="40" spans="1:6" x14ac:dyDescent="0.2">
      <c r="A40" s="6" t="s">
        <v>96</v>
      </c>
      <c r="B40" s="7">
        <v>66</v>
      </c>
      <c r="C40" s="32">
        <f>869500+53900</f>
        <v>923400</v>
      </c>
      <c r="D40" s="9">
        <v>931129.25</v>
      </c>
      <c r="E40" s="8">
        <f>D40-C40</f>
        <v>7729.25</v>
      </c>
      <c r="F40" s="43">
        <f>E40/C40</f>
        <v>8.3704245180853364E-3</v>
      </c>
    </row>
    <row r="41" spans="1:6" x14ac:dyDescent="0.2">
      <c r="A41" s="6" t="s">
        <v>97</v>
      </c>
      <c r="B41" s="7">
        <v>67</v>
      </c>
      <c r="C41" s="32">
        <v>280737</v>
      </c>
      <c r="D41" s="9">
        <v>259547.13</v>
      </c>
      <c r="E41" s="8">
        <f>D41-C41</f>
        <v>-21189.869999999995</v>
      </c>
      <c r="F41" s="43">
        <f>E41/C41</f>
        <v>-7.5479434488507025E-2</v>
      </c>
    </row>
    <row r="42" spans="1:6" x14ac:dyDescent="0.2">
      <c r="A42" s="6" t="s">
        <v>99</v>
      </c>
      <c r="B42" s="7">
        <v>69</v>
      </c>
      <c r="C42" s="32">
        <v>160194</v>
      </c>
      <c r="D42" s="9">
        <v>1008.32</v>
      </c>
      <c r="E42" s="8">
        <f>D42-C42</f>
        <v>-159185.68</v>
      </c>
      <c r="F42" s="43">
        <f>E42/C42</f>
        <v>-0.99370563192129535</v>
      </c>
    </row>
    <row r="43" spans="1:6" ht="13.5" thickBot="1" x14ac:dyDescent="0.25">
      <c r="A43" s="6"/>
      <c r="B43" s="7"/>
      <c r="C43" s="32"/>
      <c r="D43" s="9"/>
      <c r="E43" s="9"/>
      <c r="F43" s="51"/>
    </row>
    <row r="44" spans="1:6" ht="13.5" thickBot="1" x14ac:dyDescent="0.25">
      <c r="A44" s="10" t="s">
        <v>42</v>
      </c>
      <c r="B44" s="3"/>
      <c r="C44" s="12">
        <f>SUM(C38:C43)</f>
        <v>1686736</v>
      </c>
      <c r="D44" s="12">
        <f>SUM(D38:D43)</f>
        <v>1391876.3100000003</v>
      </c>
      <c r="E44" s="12">
        <f>SUM(E38:E43)</f>
        <v>-294859.68999999994</v>
      </c>
      <c r="F44" s="52"/>
    </row>
    <row r="45" spans="1:6" x14ac:dyDescent="0.2">
      <c r="A45" s="6" t="s">
        <v>100</v>
      </c>
      <c r="B45" s="7"/>
      <c r="C45" s="32"/>
      <c r="D45" s="9"/>
      <c r="E45" s="9"/>
      <c r="F45" s="51"/>
    </row>
    <row r="46" spans="1:6" x14ac:dyDescent="0.2">
      <c r="A46" s="6" t="s">
        <v>101</v>
      </c>
      <c r="B46" s="7"/>
      <c r="C46" s="32">
        <v>1435000</v>
      </c>
      <c r="D46" s="9">
        <v>1024864.2199999985</v>
      </c>
      <c r="E46" s="8">
        <f>D46-C46</f>
        <v>-410135.78000000154</v>
      </c>
      <c r="F46" s="43">
        <f>E46/C46</f>
        <v>-0.28580890592334601</v>
      </c>
    </row>
    <row r="47" spans="1:6" x14ac:dyDescent="0.2">
      <c r="A47" s="6" t="s">
        <v>102</v>
      </c>
      <c r="B47" s="7"/>
      <c r="C47" s="32">
        <v>291060</v>
      </c>
      <c r="D47" s="9">
        <v>326559.0499999997</v>
      </c>
      <c r="E47" s="8">
        <f>D47-C47</f>
        <v>35499.049999999697</v>
      </c>
      <c r="F47" s="43">
        <f>E47/C47</f>
        <v>0.12196471517899986</v>
      </c>
    </row>
    <row r="48" spans="1:6" x14ac:dyDescent="0.2">
      <c r="A48" s="6" t="s">
        <v>103</v>
      </c>
      <c r="B48" s="7"/>
      <c r="C48" s="32">
        <v>368500</v>
      </c>
      <c r="D48" s="9">
        <v>288890.79000000004</v>
      </c>
      <c r="E48" s="8">
        <f>D48-C48</f>
        <v>-79609.209999999963</v>
      </c>
      <c r="F48" s="43">
        <f>E48/C48</f>
        <v>-0.21603584803256434</v>
      </c>
    </row>
    <row r="49" spans="1:6" x14ac:dyDescent="0.2">
      <c r="A49" s="6" t="s">
        <v>104</v>
      </c>
      <c r="B49" s="7"/>
      <c r="C49" s="32">
        <v>343000</v>
      </c>
      <c r="D49" s="9">
        <v>518258.44999999995</v>
      </c>
      <c r="E49" s="8">
        <f>D49-C49</f>
        <v>175258.44999999995</v>
      </c>
      <c r="F49" s="43">
        <f>E49/C49</f>
        <v>0.51095758017492698</v>
      </c>
    </row>
    <row r="50" spans="1:6" x14ac:dyDescent="0.2">
      <c r="A50" s="6" t="s">
        <v>105</v>
      </c>
      <c r="B50" s="7"/>
      <c r="C50" s="32">
        <f>81120+61000</f>
        <v>142120</v>
      </c>
      <c r="D50" s="9">
        <v>186335.44</v>
      </c>
      <c r="E50" s="8">
        <f>D50-C50</f>
        <v>44215.44</v>
      </c>
      <c r="F50" s="43">
        <f>E50/C50</f>
        <v>0.31111342527441599</v>
      </c>
    </row>
    <row r="51" spans="1:6" ht="13.5" thickBot="1" x14ac:dyDescent="0.25">
      <c r="A51" s="6"/>
      <c r="B51" s="7"/>
      <c r="C51" s="32"/>
      <c r="D51" s="9"/>
      <c r="E51" s="9"/>
      <c r="F51" s="51"/>
    </row>
    <row r="52" spans="1:6" ht="13.5" thickBot="1" x14ac:dyDescent="0.25">
      <c r="A52" s="10" t="s">
        <v>42</v>
      </c>
      <c r="B52" s="3"/>
      <c r="C52" s="12">
        <f t="shared" ref="C52:E52" si="1">SUM(C46:C51)</f>
        <v>2579680</v>
      </c>
      <c r="D52" s="12">
        <f t="shared" si="1"/>
        <v>2344907.9499999979</v>
      </c>
      <c r="E52" s="12">
        <f t="shared" si="1"/>
        <v>-234772.05000000185</v>
      </c>
      <c r="F52" s="52"/>
    </row>
    <row r="53" spans="1:6" ht="13.5" thickBot="1" x14ac:dyDescent="0.25">
      <c r="A53" s="13"/>
      <c r="B53" s="13"/>
      <c r="C53" s="33"/>
      <c r="D53" s="15"/>
      <c r="E53" s="15"/>
      <c r="F53" s="53"/>
    </row>
    <row r="54" spans="1:6" ht="14.25" thickTop="1" thickBot="1" x14ac:dyDescent="0.25">
      <c r="A54" s="16" t="s">
        <v>106</v>
      </c>
      <c r="B54" s="17"/>
      <c r="C54" s="18">
        <f>C17+C36+C44+C52</f>
        <v>13986423</v>
      </c>
      <c r="D54" s="18">
        <f>D17+D36+D44+D52</f>
        <v>14985907.726408117</v>
      </c>
      <c r="E54" s="18">
        <f>E17+E36+E44+E52</f>
        <v>999484.72640811815</v>
      </c>
      <c r="F54" s="48"/>
    </row>
  </sheetData>
  <pageMargins left="0.7" right="0.7" top="0.75" bottom="0.75" header="0.3" footer="0.3"/>
  <pageSetup scale="8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tabSelected="1" topLeftCell="A40" zoomScaleNormal="100" workbookViewId="0">
      <selection activeCell="H47" sqref="H47"/>
    </sheetView>
  </sheetViews>
  <sheetFormatPr defaultRowHeight="12.75" x14ac:dyDescent="0.2"/>
  <cols>
    <col min="1" max="1" width="43.5703125" customWidth="1"/>
    <col min="2" max="2" width="6.140625" customWidth="1"/>
    <col min="3" max="3" width="14.5703125" style="26" customWidth="1"/>
    <col min="4" max="4" width="12.7109375" customWidth="1"/>
    <col min="5" max="5" width="15" customWidth="1"/>
    <col min="6" max="6" width="14.85546875" style="40" customWidth="1"/>
  </cols>
  <sheetData>
    <row r="2" spans="1:6" ht="13.5" thickBot="1" x14ac:dyDescent="0.25"/>
    <row r="3" spans="1:6" s="22" customFormat="1" ht="42.75" customHeight="1" thickBot="1" x14ac:dyDescent="0.25">
      <c r="A3" s="20" t="s">
        <v>0</v>
      </c>
      <c r="B3" s="21" t="s">
        <v>1</v>
      </c>
      <c r="C3" s="27" t="s">
        <v>117</v>
      </c>
      <c r="D3" s="1" t="s">
        <v>118</v>
      </c>
      <c r="E3" s="1" t="s">
        <v>121</v>
      </c>
      <c r="F3" s="41" t="s">
        <v>122</v>
      </c>
    </row>
    <row r="4" spans="1:6" ht="13.5" thickBot="1" x14ac:dyDescent="0.25">
      <c r="A4" s="2" t="s">
        <v>2</v>
      </c>
      <c r="B4" s="3"/>
      <c r="C4" s="31"/>
      <c r="D4" s="5"/>
      <c r="E4" s="5"/>
      <c r="F4" s="49"/>
    </row>
    <row r="5" spans="1:6" ht="28.5" customHeight="1" x14ac:dyDescent="0.2">
      <c r="A5" s="6" t="s">
        <v>3</v>
      </c>
      <c r="B5" s="7">
        <v>1</v>
      </c>
      <c r="C5" s="36">
        <v>1269425</v>
      </c>
      <c r="D5" s="36">
        <v>1022511.6817556509</v>
      </c>
      <c r="E5" s="38"/>
      <c r="F5" s="50"/>
    </row>
    <row r="6" spans="1:6" ht="32.25" customHeight="1" x14ac:dyDescent="0.2">
      <c r="A6" s="6" t="s">
        <v>4</v>
      </c>
      <c r="B6" s="7">
        <v>2</v>
      </c>
      <c r="C6" s="36"/>
      <c r="D6" s="36">
        <v>1509201.6098753375</v>
      </c>
      <c r="E6" s="38"/>
      <c r="F6" s="50"/>
    </row>
    <row r="7" spans="1:6" x14ac:dyDescent="0.2">
      <c r="A7" s="6" t="s">
        <v>13</v>
      </c>
      <c r="B7" s="7">
        <v>8</v>
      </c>
      <c r="C7" s="36"/>
      <c r="D7" s="36">
        <v>223043.99434336883</v>
      </c>
      <c r="E7" s="38"/>
      <c r="F7" s="50"/>
    </row>
    <row r="8" spans="1:6" x14ac:dyDescent="0.2">
      <c r="A8" s="6" t="s">
        <v>14</v>
      </c>
      <c r="B8" s="7">
        <v>9</v>
      </c>
      <c r="C8" s="36"/>
      <c r="D8" s="36">
        <v>147214.1957905209</v>
      </c>
      <c r="E8" s="36">
        <f>SUM(D5:D8)-SUM(C5:C8)</f>
        <v>1632546.4817648781</v>
      </c>
      <c r="F8" s="39">
        <f>E8/C5</f>
        <v>1.2860519382908626</v>
      </c>
    </row>
    <row r="9" spans="1:6" x14ac:dyDescent="0.2">
      <c r="A9" s="6" t="s">
        <v>15</v>
      </c>
      <c r="B9" s="7">
        <v>10</v>
      </c>
      <c r="C9" s="32">
        <f>252800+149000</f>
        <v>401800</v>
      </c>
      <c r="D9" s="9">
        <v>481484.22</v>
      </c>
      <c r="E9" s="8">
        <f>D9-C9</f>
        <v>79684.219999999972</v>
      </c>
      <c r="F9" s="43">
        <f>E9/C9</f>
        <v>0.1983181184668989</v>
      </c>
    </row>
    <row r="10" spans="1:6" x14ac:dyDescent="0.2">
      <c r="A10" s="6" t="s">
        <v>22</v>
      </c>
      <c r="B10" s="7">
        <v>11</v>
      </c>
      <c r="C10" s="37"/>
      <c r="D10" s="37">
        <v>341970.08997324517</v>
      </c>
      <c r="E10" s="38"/>
      <c r="F10" s="50"/>
    </row>
    <row r="11" spans="1:6" x14ac:dyDescent="0.2">
      <c r="A11" s="6" t="s">
        <v>23</v>
      </c>
      <c r="B11" s="7">
        <v>11</v>
      </c>
      <c r="C11" s="37"/>
      <c r="D11" s="37">
        <v>237541.16391214123</v>
      </c>
      <c r="E11" s="38"/>
      <c r="F11" s="50"/>
    </row>
    <row r="12" spans="1:6" x14ac:dyDescent="0.2">
      <c r="A12" s="6" t="s">
        <v>24</v>
      </c>
      <c r="B12" s="7">
        <v>11</v>
      </c>
      <c r="C12" s="37"/>
      <c r="D12" s="37">
        <v>166031.59017515348</v>
      </c>
      <c r="E12" s="38"/>
      <c r="F12" s="50"/>
    </row>
    <row r="13" spans="1:6" x14ac:dyDescent="0.2">
      <c r="A13" s="6" t="s">
        <v>25</v>
      </c>
      <c r="B13" s="7">
        <v>11</v>
      </c>
      <c r="C13" s="37"/>
      <c r="D13" s="37">
        <v>148562.48681662907</v>
      </c>
      <c r="E13" s="38"/>
      <c r="F13" s="50"/>
    </row>
    <row r="14" spans="1:6" x14ac:dyDescent="0.2">
      <c r="A14" s="6" t="s">
        <v>26</v>
      </c>
      <c r="B14" s="7">
        <v>11</v>
      </c>
      <c r="C14" s="37"/>
      <c r="D14" s="37">
        <v>660563.68661946128</v>
      </c>
      <c r="E14" s="38"/>
      <c r="F14" s="50"/>
    </row>
    <row r="15" spans="1:6" x14ac:dyDescent="0.2">
      <c r="A15" s="6" t="s">
        <v>27</v>
      </c>
      <c r="B15" s="7">
        <v>11</v>
      </c>
      <c r="C15" s="37">
        <f>482004+417000</f>
        <v>899004</v>
      </c>
      <c r="D15" s="37">
        <v>429566.39009442623</v>
      </c>
      <c r="E15" s="37">
        <f>SUM(D10:D15)-SUM(C10:C15)</f>
        <v>1085231.4075910563</v>
      </c>
      <c r="F15" s="44">
        <f>E15/C15</f>
        <v>1.2071485862032385</v>
      </c>
    </row>
    <row r="16" spans="1:6" x14ac:dyDescent="0.2">
      <c r="A16" s="6" t="s">
        <v>28</v>
      </c>
      <c r="B16" s="7">
        <v>11</v>
      </c>
      <c r="C16" s="32">
        <v>1000000</v>
      </c>
      <c r="D16" s="9">
        <v>2312131.9300000002</v>
      </c>
      <c r="E16" s="8">
        <f>D16-C16</f>
        <v>1312131.9300000002</v>
      </c>
      <c r="F16" s="43">
        <f>E16/C16</f>
        <v>1.3121319300000001</v>
      </c>
    </row>
    <row r="17" spans="1:6" x14ac:dyDescent="0.2">
      <c r="A17" s="6" t="s">
        <v>29</v>
      </c>
      <c r="B17" s="7">
        <v>12</v>
      </c>
      <c r="C17" s="32">
        <v>517813</v>
      </c>
      <c r="D17" s="9">
        <v>120411.98</v>
      </c>
      <c r="E17" s="8">
        <f>D17-C17</f>
        <v>-397401.02</v>
      </c>
      <c r="F17" s="43">
        <f>E17/C17</f>
        <v>-0.76746049249439474</v>
      </c>
    </row>
    <row r="18" spans="1:6" x14ac:dyDescent="0.2">
      <c r="A18" s="6" t="s">
        <v>33</v>
      </c>
      <c r="B18" s="7">
        <v>14</v>
      </c>
      <c r="C18" s="32">
        <v>965719</v>
      </c>
      <c r="D18" s="9">
        <v>11091.97</v>
      </c>
      <c r="E18" s="8">
        <f>D18-C18</f>
        <v>-954627.03</v>
      </c>
      <c r="F18" s="43">
        <f>E18/C18</f>
        <v>-0.98851428831782329</v>
      </c>
    </row>
    <row r="19" spans="1:6" x14ac:dyDescent="0.2">
      <c r="A19" s="6" t="s">
        <v>40</v>
      </c>
      <c r="B19" s="7">
        <v>21</v>
      </c>
      <c r="C19" s="32">
        <v>125000</v>
      </c>
      <c r="D19" s="9">
        <v>110321</v>
      </c>
      <c r="E19" s="8">
        <f>D19-C19</f>
        <v>-14679</v>
      </c>
      <c r="F19" s="43">
        <f>E19/C19</f>
        <v>-0.11743199999999999</v>
      </c>
    </row>
    <row r="20" spans="1:6" x14ac:dyDescent="0.2">
      <c r="A20" s="6" t="s">
        <v>41</v>
      </c>
      <c r="B20" s="7">
        <v>22</v>
      </c>
      <c r="C20" s="32"/>
      <c r="D20" s="9">
        <v>52113.95</v>
      </c>
      <c r="E20" s="8">
        <f>D20-C20</f>
        <v>52113.95</v>
      </c>
      <c r="F20" s="43">
        <v>1</v>
      </c>
    </row>
    <row r="21" spans="1:6" ht="13.5" thickBot="1" x14ac:dyDescent="0.25">
      <c r="A21" s="6"/>
      <c r="B21" s="7"/>
      <c r="C21" s="32"/>
      <c r="D21" s="9"/>
      <c r="E21" s="9"/>
      <c r="F21" s="51"/>
    </row>
    <row r="22" spans="1:6" ht="13.5" thickBot="1" x14ac:dyDescent="0.25">
      <c r="A22" s="10" t="s">
        <v>42</v>
      </c>
      <c r="B22" s="3"/>
      <c r="C22" s="12">
        <f>SUM(C5:C20)</f>
        <v>5178761</v>
      </c>
      <c r="D22" s="12">
        <f>SUM(D5:D20)</f>
        <v>7973761.9393559359</v>
      </c>
      <c r="E22" s="12">
        <f>SUM(E5:E20)</f>
        <v>2795000.939355935</v>
      </c>
      <c r="F22" s="52"/>
    </row>
    <row r="23" spans="1:6" ht="13.5" thickBot="1" x14ac:dyDescent="0.25">
      <c r="A23" s="10" t="s">
        <v>43</v>
      </c>
      <c r="B23" s="3"/>
      <c r="C23" s="31"/>
      <c r="D23" s="5"/>
      <c r="E23" s="5"/>
      <c r="F23" s="49"/>
    </row>
    <row r="24" spans="1:6" x14ac:dyDescent="0.2">
      <c r="A24" s="6" t="s">
        <v>49</v>
      </c>
      <c r="B24" s="7">
        <v>28</v>
      </c>
      <c r="C24" s="32"/>
      <c r="D24" s="9">
        <v>75377.08</v>
      </c>
      <c r="E24" s="8">
        <f t="shared" ref="E24:E37" si="0">D24-C24</f>
        <v>75377.08</v>
      </c>
      <c r="F24" s="43">
        <v>1</v>
      </c>
    </row>
    <row r="25" spans="1:6" ht="25.5" x14ac:dyDescent="0.2">
      <c r="A25" s="6" t="s">
        <v>60</v>
      </c>
      <c r="B25" s="7">
        <v>36</v>
      </c>
      <c r="C25" s="32">
        <v>263333</v>
      </c>
      <c r="D25" s="9">
        <v>157567.88</v>
      </c>
      <c r="E25" s="8">
        <f t="shared" si="0"/>
        <v>-105765.12</v>
      </c>
      <c r="F25" s="43">
        <f t="shared" ref="F25:F30" si="1">E25/C25</f>
        <v>-0.40164020460785393</v>
      </c>
    </row>
    <row r="26" spans="1:6" x14ac:dyDescent="0.2">
      <c r="A26" s="6" t="s">
        <v>61</v>
      </c>
      <c r="B26" s="7">
        <v>37</v>
      </c>
      <c r="C26" s="32">
        <v>427734</v>
      </c>
      <c r="D26" s="9">
        <v>162767.84</v>
      </c>
      <c r="E26" s="8">
        <f t="shared" si="0"/>
        <v>-264966.16000000003</v>
      </c>
      <c r="F26" s="43">
        <f t="shared" si="1"/>
        <v>-0.61946480756731992</v>
      </c>
    </row>
    <row r="27" spans="1:6" x14ac:dyDescent="0.2">
      <c r="A27" s="6" t="s">
        <v>62</v>
      </c>
      <c r="B27" s="7">
        <v>38</v>
      </c>
      <c r="C27" s="32">
        <v>420236</v>
      </c>
      <c r="D27" s="9">
        <v>288298.21999999997</v>
      </c>
      <c r="E27" s="8">
        <f t="shared" si="0"/>
        <v>-131937.78000000003</v>
      </c>
      <c r="F27" s="43">
        <f t="shared" si="1"/>
        <v>-0.31396115516043371</v>
      </c>
    </row>
    <row r="28" spans="1:6" x14ac:dyDescent="0.2">
      <c r="A28" s="6" t="s">
        <v>67</v>
      </c>
      <c r="B28" s="7">
        <v>41</v>
      </c>
      <c r="C28" s="32">
        <v>1475867</v>
      </c>
      <c r="D28" s="9">
        <v>816053.77</v>
      </c>
      <c r="E28" s="8">
        <f t="shared" si="0"/>
        <v>-659813.23</v>
      </c>
      <c r="F28" s="43">
        <f t="shared" si="1"/>
        <v>-0.4470682182066541</v>
      </c>
    </row>
    <row r="29" spans="1:6" x14ac:dyDescent="0.2">
      <c r="A29" s="6" t="s">
        <v>74</v>
      </c>
      <c r="B29" s="7">
        <v>46</v>
      </c>
      <c r="C29" s="32">
        <v>672623</v>
      </c>
      <c r="D29" s="9">
        <v>430258.41000000003</v>
      </c>
      <c r="E29" s="8">
        <f t="shared" si="0"/>
        <v>-242364.58999999997</v>
      </c>
      <c r="F29" s="43">
        <f t="shared" si="1"/>
        <v>-0.36032753860632177</v>
      </c>
    </row>
    <row r="30" spans="1:6" x14ac:dyDescent="0.2">
      <c r="A30" s="6" t="s">
        <v>75</v>
      </c>
      <c r="B30" s="7">
        <v>47</v>
      </c>
      <c r="C30" s="32">
        <v>657678</v>
      </c>
      <c r="D30" s="9">
        <v>232171.9</v>
      </c>
      <c r="E30" s="8">
        <f t="shared" si="0"/>
        <v>-425506.1</v>
      </c>
      <c r="F30" s="43">
        <f t="shared" si="1"/>
        <v>-0.64698241388643074</v>
      </c>
    </row>
    <row r="31" spans="1:6" x14ac:dyDescent="0.2">
      <c r="A31" s="6" t="s">
        <v>76</v>
      </c>
      <c r="B31" s="7">
        <v>48</v>
      </c>
      <c r="C31" s="32"/>
      <c r="D31" s="9">
        <v>150378.07</v>
      </c>
      <c r="E31" s="8">
        <f t="shared" si="0"/>
        <v>150378.07</v>
      </c>
      <c r="F31" s="43">
        <v>1</v>
      </c>
    </row>
    <row r="32" spans="1:6" x14ac:dyDescent="0.2">
      <c r="A32" s="6" t="s">
        <v>77</v>
      </c>
      <c r="B32" s="7">
        <v>49</v>
      </c>
      <c r="C32" s="32"/>
      <c r="D32" s="9">
        <v>297197.95</v>
      </c>
      <c r="E32" s="8">
        <f t="shared" si="0"/>
        <v>297197.95</v>
      </c>
      <c r="F32" s="43">
        <v>1</v>
      </c>
    </row>
    <row r="33" spans="1:6" x14ac:dyDescent="0.2">
      <c r="A33" s="6" t="s">
        <v>81</v>
      </c>
      <c r="B33" s="7">
        <v>53</v>
      </c>
      <c r="C33" s="32">
        <v>674777</v>
      </c>
      <c r="D33" s="9">
        <v>962984.15</v>
      </c>
      <c r="E33" s="8">
        <f t="shared" si="0"/>
        <v>288207.15000000002</v>
      </c>
      <c r="F33" s="43">
        <f>E33/C33</f>
        <v>0.42711466158449385</v>
      </c>
    </row>
    <row r="34" spans="1:6" x14ac:dyDescent="0.2">
      <c r="A34" s="6" t="s">
        <v>82</v>
      </c>
      <c r="B34" s="7">
        <v>54</v>
      </c>
      <c r="C34" s="32">
        <v>51200</v>
      </c>
      <c r="D34" s="9">
        <v>80094.5</v>
      </c>
      <c r="E34" s="8">
        <f t="shared" si="0"/>
        <v>28894.5</v>
      </c>
      <c r="F34" s="43">
        <f>E34/C34</f>
        <v>0.56434570312499999</v>
      </c>
    </row>
    <row r="35" spans="1:6" x14ac:dyDescent="0.2">
      <c r="A35" s="6" t="s">
        <v>83</v>
      </c>
      <c r="B35" s="7">
        <v>55</v>
      </c>
      <c r="C35" s="32">
        <v>83000</v>
      </c>
      <c r="D35" s="9">
        <v>308755.17000000004</v>
      </c>
      <c r="E35" s="8">
        <f t="shared" si="0"/>
        <v>225755.17000000004</v>
      </c>
      <c r="F35" s="43">
        <f>E35/C35</f>
        <v>2.7199418072289161</v>
      </c>
    </row>
    <row r="36" spans="1:6" x14ac:dyDescent="0.2">
      <c r="A36" s="6" t="s">
        <v>88</v>
      </c>
      <c r="B36" s="7">
        <v>59</v>
      </c>
      <c r="C36" s="32">
        <v>68585</v>
      </c>
      <c r="D36" s="9">
        <v>69938.25</v>
      </c>
      <c r="E36" s="8">
        <f t="shared" si="0"/>
        <v>1353.25</v>
      </c>
      <c r="F36" s="43">
        <f>E36/C36</f>
        <v>1.9730990741415762E-2</v>
      </c>
    </row>
    <row r="37" spans="1:6" ht="13.5" thickBot="1" x14ac:dyDescent="0.25">
      <c r="A37" s="34" t="s">
        <v>119</v>
      </c>
      <c r="B37" s="7"/>
      <c r="C37" s="32">
        <v>794610</v>
      </c>
      <c r="D37" s="9"/>
      <c r="E37" s="8">
        <f t="shared" si="0"/>
        <v>-794610</v>
      </c>
      <c r="F37" s="43">
        <f>E37/C37</f>
        <v>-1</v>
      </c>
    </row>
    <row r="38" spans="1:6" ht="13.5" thickBot="1" x14ac:dyDescent="0.25">
      <c r="A38" s="10" t="s">
        <v>42</v>
      </c>
      <c r="B38" s="3"/>
      <c r="C38" s="12">
        <f>SUM(C24:C37)</f>
        <v>5589643</v>
      </c>
      <c r="D38" s="12">
        <f>SUM(D24:D37)</f>
        <v>4031843.19</v>
      </c>
      <c r="E38" s="12">
        <f>SUM(E24:E37)</f>
        <v>-1557799.8099999998</v>
      </c>
      <c r="F38" s="52"/>
    </row>
    <row r="39" spans="1:6" ht="13.5" thickBot="1" x14ac:dyDescent="0.25">
      <c r="A39" s="10" t="s">
        <v>89</v>
      </c>
      <c r="B39" s="3"/>
      <c r="C39" s="31"/>
      <c r="D39" s="5"/>
      <c r="E39" s="5"/>
      <c r="F39" s="49"/>
    </row>
    <row r="40" spans="1:6" x14ac:dyDescent="0.2">
      <c r="A40" s="6" t="s">
        <v>92</v>
      </c>
      <c r="B40" s="7">
        <v>62</v>
      </c>
      <c r="C40" s="32">
        <f>21275+125000</f>
        <v>146275</v>
      </c>
      <c r="D40" s="9">
        <v>225928.64</v>
      </c>
      <c r="E40" s="8">
        <f>D40-C40</f>
        <v>79653.640000000014</v>
      </c>
      <c r="F40" s="43">
        <f>E40/C40</f>
        <v>0.5445471885147839</v>
      </c>
    </row>
    <row r="41" spans="1:6" x14ac:dyDescent="0.2">
      <c r="A41" s="6" t="s">
        <v>96</v>
      </c>
      <c r="B41" s="7">
        <v>66</v>
      </c>
      <c r="C41" s="32">
        <f>869500+23015</f>
        <v>892515</v>
      </c>
      <c r="D41" s="9">
        <v>1274030.3399999999</v>
      </c>
      <c r="E41" s="8">
        <f>D41-C41</f>
        <v>381515.33999999985</v>
      </c>
      <c r="F41" s="43">
        <f>E41/C41</f>
        <v>0.42746098384901077</v>
      </c>
    </row>
    <row r="42" spans="1:6" x14ac:dyDescent="0.2">
      <c r="A42" s="6" t="s">
        <v>98</v>
      </c>
      <c r="B42" s="7">
        <v>68</v>
      </c>
      <c r="C42" s="32">
        <v>70000</v>
      </c>
      <c r="D42" s="9">
        <v>72501.16</v>
      </c>
      <c r="E42" s="8">
        <f>D42-C42</f>
        <v>2501.1600000000035</v>
      </c>
      <c r="F42" s="43">
        <f>E42/C42</f>
        <v>3.5730857142857196E-2</v>
      </c>
    </row>
    <row r="43" spans="1:6" ht="13.5" thickBot="1" x14ac:dyDescent="0.25">
      <c r="A43" s="6"/>
      <c r="B43" s="7"/>
      <c r="C43" s="32"/>
      <c r="D43" s="9"/>
      <c r="E43" s="9"/>
      <c r="F43" s="51"/>
    </row>
    <row r="44" spans="1:6" ht="13.5" thickBot="1" x14ac:dyDescent="0.25">
      <c r="A44" s="10" t="s">
        <v>42</v>
      </c>
      <c r="B44" s="3"/>
      <c r="C44" s="12">
        <f>SUM(C40:C43)</f>
        <v>1108790</v>
      </c>
      <c r="D44" s="12">
        <f>SUM(D40:D43)</f>
        <v>1572460.14</v>
      </c>
      <c r="E44" s="12">
        <f>SUM(E40:E43)</f>
        <v>463670.1399999999</v>
      </c>
      <c r="F44" s="52"/>
    </row>
    <row r="45" spans="1:6" x14ac:dyDescent="0.2">
      <c r="A45" s="6" t="s">
        <v>100</v>
      </c>
      <c r="B45" s="7"/>
      <c r="C45" s="32"/>
      <c r="D45" s="9"/>
      <c r="E45" s="9"/>
      <c r="F45" s="51"/>
    </row>
    <row r="46" spans="1:6" x14ac:dyDescent="0.2">
      <c r="A46" s="6" t="s">
        <v>101</v>
      </c>
      <c r="B46" s="7"/>
      <c r="C46" s="32">
        <v>1634373</v>
      </c>
      <c r="D46" s="9">
        <v>2037896</v>
      </c>
      <c r="E46" s="8">
        <f>D46-C46</f>
        <v>403523</v>
      </c>
      <c r="F46" s="43">
        <f>E46/C46</f>
        <v>0.24689773998958622</v>
      </c>
    </row>
    <row r="47" spans="1:6" x14ac:dyDescent="0.2">
      <c r="A47" s="6" t="s">
        <v>102</v>
      </c>
      <c r="B47" s="7"/>
      <c r="C47" s="32">
        <v>322620</v>
      </c>
      <c r="D47" s="9">
        <v>193148.85000000056</v>
      </c>
      <c r="E47" s="8">
        <f>D47-C47</f>
        <v>-129471.14999999944</v>
      </c>
      <c r="F47" s="43">
        <f>E47/C47</f>
        <v>-0.40131160498419022</v>
      </c>
    </row>
    <row r="48" spans="1:6" x14ac:dyDescent="0.2">
      <c r="A48" s="6" t="s">
        <v>103</v>
      </c>
      <c r="B48" s="7"/>
      <c r="C48" s="32">
        <v>548649</v>
      </c>
      <c r="D48" s="9">
        <v>361772.66999999993</v>
      </c>
      <c r="E48" s="8">
        <f>D48-C48</f>
        <v>-186876.33000000007</v>
      </c>
      <c r="F48" s="43">
        <f>E48/C48</f>
        <v>-0.34061181192347034</v>
      </c>
    </row>
    <row r="49" spans="1:6" x14ac:dyDescent="0.2">
      <c r="A49" s="6" t="s">
        <v>104</v>
      </c>
      <c r="B49" s="7"/>
      <c r="C49" s="32">
        <v>600233</v>
      </c>
      <c r="D49" s="9">
        <v>599766.08999999985</v>
      </c>
      <c r="E49" s="8">
        <f>D49-C49</f>
        <v>-466.91000000014901</v>
      </c>
      <c r="F49" s="43">
        <f>E49/C49</f>
        <v>-7.7788125611245797E-4</v>
      </c>
    </row>
    <row r="50" spans="1:6" x14ac:dyDescent="0.2">
      <c r="A50" s="6" t="s">
        <v>105</v>
      </c>
      <c r="B50" s="7"/>
      <c r="C50" s="32">
        <f>44500+94700</f>
        <v>139200</v>
      </c>
      <c r="D50" s="9">
        <v>176544.0399999998</v>
      </c>
      <c r="E50" s="8">
        <f>D50-C50</f>
        <v>37344.039999999804</v>
      </c>
      <c r="F50" s="43">
        <f>E50/C50</f>
        <v>0.26827614942528594</v>
      </c>
    </row>
    <row r="51" spans="1:6" ht="13.5" thickBot="1" x14ac:dyDescent="0.25">
      <c r="A51" s="6"/>
      <c r="B51" s="7"/>
      <c r="C51" s="32"/>
      <c r="D51" s="9"/>
      <c r="E51" s="9"/>
      <c r="F51" s="51"/>
    </row>
    <row r="52" spans="1:6" ht="13.5" thickBot="1" x14ac:dyDescent="0.25">
      <c r="A52" s="10" t="s">
        <v>42</v>
      </c>
      <c r="B52" s="3"/>
      <c r="C52" s="12">
        <f t="shared" ref="C52:E52" si="2">SUM(C46:C51)</f>
        <v>3245075</v>
      </c>
      <c r="D52" s="12">
        <f t="shared" si="2"/>
        <v>3369127.6500000004</v>
      </c>
      <c r="E52" s="12">
        <f t="shared" si="2"/>
        <v>124052.65000000014</v>
      </c>
      <c r="F52" s="52"/>
    </row>
    <row r="53" spans="1:6" ht="13.5" thickBot="1" x14ac:dyDescent="0.25">
      <c r="A53" s="13"/>
      <c r="B53" s="13"/>
      <c r="C53" s="33"/>
      <c r="D53" s="15"/>
      <c r="E53" s="15"/>
      <c r="F53" s="53"/>
    </row>
    <row r="54" spans="1:6" ht="14.25" thickTop="1" thickBot="1" x14ac:dyDescent="0.25">
      <c r="A54" s="16" t="s">
        <v>106</v>
      </c>
      <c r="B54" s="17"/>
      <c r="C54" s="18">
        <f>C22+C38+C44+C52</f>
        <v>15122269</v>
      </c>
      <c r="D54" s="18">
        <f>D22+D38+D44+D52</f>
        <v>16947192.919355936</v>
      </c>
      <c r="E54" s="18">
        <f>E22+E38+E44+E52</f>
        <v>1824923.9193559352</v>
      </c>
      <c r="F54" s="48"/>
    </row>
  </sheetData>
  <pageMargins left="0.7" right="0.7" top="0.75" bottom="0.75" header="0.3" footer="0.3"/>
  <pageSetup scale="8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topLeftCell="A34" zoomScaleNormal="100" workbookViewId="0">
      <selection activeCell="E45" sqref="E45"/>
    </sheetView>
  </sheetViews>
  <sheetFormatPr defaultRowHeight="12.75" x14ac:dyDescent="0.2"/>
  <cols>
    <col min="1" max="1" width="43.5703125" customWidth="1"/>
    <col min="2" max="2" width="6.140625" customWidth="1"/>
    <col min="3" max="3" width="16.5703125" customWidth="1"/>
    <col min="4" max="6" width="18.5703125" customWidth="1"/>
  </cols>
  <sheetData>
    <row r="2" spans="1:6" ht="13.5" thickBot="1" x14ac:dyDescent="0.25"/>
    <row r="3" spans="1:6" s="24" customFormat="1" ht="51.75" thickBot="1" x14ac:dyDescent="0.25">
      <c r="A3" s="25" t="s">
        <v>0</v>
      </c>
      <c r="B3" s="23" t="s">
        <v>1</v>
      </c>
      <c r="C3" s="19" t="s">
        <v>107</v>
      </c>
      <c r="D3" s="19" t="s">
        <v>108</v>
      </c>
      <c r="E3" s="19" t="s">
        <v>123</v>
      </c>
      <c r="F3" s="19" t="s">
        <v>124</v>
      </c>
    </row>
    <row r="4" spans="1:6" ht="13.5" thickBot="1" x14ac:dyDescent="0.25">
      <c r="A4" s="2" t="s">
        <v>2</v>
      </c>
      <c r="B4" s="3"/>
      <c r="C4" s="5"/>
      <c r="D4" s="5"/>
      <c r="E4" s="5"/>
      <c r="F4" s="5"/>
    </row>
    <row r="5" spans="1:6" ht="28.5" customHeight="1" x14ac:dyDescent="0.2">
      <c r="A5" s="6" t="s">
        <v>3</v>
      </c>
      <c r="B5" s="7">
        <v>1</v>
      </c>
      <c r="C5" s="9">
        <v>2003963.5</v>
      </c>
      <c r="D5" s="9">
        <v>2714790</v>
      </c>
      <c r="E5" s="8">
        <f t="shared" ref="E5:E18" si="0">D5-C5</f>
        <v>710826.5</v>
      </c>
      <c r="F5" s="43">
        <f t="shared" ref="F5:F16" si="1">E5/C5</f>
        <v>0.35471030285731253</v>
      </c>
    </row>
    <row r="6" spans="1:6" x14ac:dyDescent="0.2">
      <c r="A6" s="6" t="s">
        <v>15</v>
      </c>
      <c r="B6" s="7">
        <v>10</v>
      </c>
      <c r="C6" s="9">
        <v>397300</v>
      </c>
      <c r="D6" s="9">
        <v>397321</v>
      </c>
      <c r="E6" s="8">
        <f t="shared" si="0"/>
        <v>21</v>
      </c>
      <c r="F6" s="43">
        <f t="shared" si="1"/>
        <v>5.2856783287188525E-5</v>
      </c>
    </row>
    <row r="7" spans="1:6" x14ac:dyDescent="0.2">
      <c r="A7" s="6" t="s">
        <v>27</v>
      </c>
      <c r="B7" s="7">
        <v>11</v>
      </c>
      <c r="C7" s="9">
        <v>901692.3</v>
      </c>
      <c r="D7" s="9">
        <v>1305314</v>
      </c>
      <c r="E7" s="8">
        <f t="shared" si="0"/>
        <v>403621.69999999995</v>
      </c>
      <c r="F7" s="43">
        <f t="shared" si="1"/>
        <v>0.44762686783506961</v>
      </c>
    </row>
    <row r="8" spans="1:6" x14ac:dyDescent="0.2">
      <c r="A8" s="6" t="s">
        <v>28</v>
      </c>
      <c r="B8" s="7">
        <v>11</v>
      </c>
      <c r="C8" s="9">
        <v>1000000</v>
      </c>
      <c r="D8" s="9">
        <v>1105600</v>
      </c>
      <c r="E8" s="8">
        <f t="shared" si="0"/>
        <v>105600</v>
      </c>
      <c r="F8" s="43">
        <f t="shared" si="1"/>
        <v>0.1056</v>
      </c>
    </row>
    <row r="9" spans="1:6" x14ac:dyDescent="0.2">
      <c r="A9" s="6" t="s">
        <v>29</v>
      </c>
      <c r="B9" s="7">
        <v>12</v>
      </c>
      <c r="C9" s="9">
        <v>54389.75</v>
      </c>
      <c r="D9" s="9">
        <v>518512</v>
      </c>
      <c r="E9" s="8">
        <f t="shared" si="0"/>
        <v>464122.25</v>
      </c>
      <c r="F9" s="43">
        <f t="shared" si="1"/>
        <v>8.5332668379611967</v>
      </c>
    </row>
    <row r="10" spans="1:6" x14ac:dyDescent="0.2">
      <c r="A10" s="6" t="s">
        <v>33</v>
      </c>
      <c r="B10" s="7">
        <v>14</v>
      </c>
      <c r="C10" s="9">
        <v>876667.99</v>
      </c>
      <c r="D10" s="9">
        <v>14374</v>
      </c>
      <c r="E10" s="8">
        <f t="shared" si="0"/>
        <v>-862293.99</v>
      </c>
      <c r="F10" s="43">
        <f t="shared" si="1"/>
        <v>-0.98360382703148541</v>
      </c>
    </row>
    <row r="11" spans="1:6" x14ac:dyDescent="0.2">
      <c r="A11" s="6" t="s">
        <v>34</v>
      </c>
      <c r="B11" s="7">
        <v>15</v>
      </c>
      <c r="C11" s="9">
        <v>1224074.8799999999</v>
      </c>
      <c r="D11" s="9">
        <v>1079989</v>
      </c>
      <c r="E11" s="8">
        <f t="shared" si="0"/>
        <v>-144085.87999999989</v>
      </c>
      <c r="F11" s="43">
        <f t="shared" si="1"/>
        <v>-0.11771002113857602</v>
      </c>
    </row>
    <row r="12" spans="1:6" x14ac:dyDescent="0.2">
      <c r="A12" s="6" t="s">
        <v>35</v>
      </c>
      <c r="B12" s="7">
        <v>16</v>
      </c>
      <c r="C12" s="9">
        <v>807177.94</v>
      </c>
      <c r="D12" s="9">
        <v>12447</v>
      </c>
      <c r="E12" s="8">
        <f t="shared" si="0"/>
        <v>-794730.94</v>
      </c>
      <c r="F12" s="43">
        <f t="shared" si="1"/>
        <v>-0.98457960830792779</v>
      </c>
    </row>
    <row r="13" spans="1:6" x14ac:dyDescent="0.2">
      <c r="A13" s="6" t="s">
        <v>36</v>
      </c>
      <c r="B13" s="7">
        <v>17</v>
      </c>
      <c r="C13" s="9">
        <v>452235.2</v>
      </c>
      <c r="D13" s="9"/>
      <c r="E13" s="8">
        <f t="shared" si="0"/>
        <v>-452235.2</v>
      </c>
      <c r="F13" s="43">
        <f t="shared" si="1"/>
        <v>-1</v>
      </c>
    </row>
    <row r="14" spans="1:6" x14ac:dyDescent="0.2">
      <c r="A14" s="6" t="s">
        <v>37</v>
      </c>
      <c r="B14" s="7">
        <v>18</v>
      </c>
      <c r="C14" s="9">
        <v>1062995.43</v>
      </c>
      <c r="D14" s="9">
        <v>596800</v>
      </c>
      <c r="E14" s="8">
        <f t="shared" si="0"/>
        <v>-466195.42999999993</v>
      </c>
      <c r="F14" s="43">
        <f t="shared" si="1"/>
        <v>-0.43856767098236721</v>
      </c>
    </row>
    <row r="15" spans="1:6" x14ac:dyDescent="0.2">
      <c r="A15" s="6" t="s">
        <v>38</v>
      </c>
      <c r="B15" s="7">
        <v>19</v>
      </c>
      <c r="C15" s="9">
        <v>254825.04</v>
      </c>
      <c r="D15" s="9">
        <v>36444</v>
      </c>
      <c r="E15" s="8">
        <f t="shared" si="0"/>
        <v>-218381.04</v>
      </c>
      <c r="F15" s="43">
        <f t="shared" si="1"/>
        <v>-0.85698422729571633</v>
      </c>
    </row>
    <row r="16" spans="1:6" x14ac:dyDescent="0.2">
      <c r="A16" s="6" t="s">
        <v>39</v>
      </c>
      <c r="B16" s="7">
        <v>20</v>
      </c>
      <c r="C16" s="9">
        <v>452244.1</v>
      </c>
      <c r="D16" s="9">
        <v>596534</v>
      </c>
      <c r="E16" s="8">
        <f t="shared" si="0"/>
        <v>144289.90000000002</v>
      </c>
      <c r="F16" s="43">
        <f t="shared" si="1"/>
        <v>0.31905313966506149</v>
      </c>
    </row>
    <row r="17" spans="1:6" x14ac:dyDescent="0.2">
      <c r="A17" s="6" t="s">
        <v>40</v>
      </c>
      <c r="B17" s="7">
        <v>21</v>
      </c>
      <c r="C17" s="9"/>
      <c r="D17" s="9">
        <v>470159</v>
      </c>
      <c r="E17" s="8">
        <f t="shared" si="0"/>
        <v>470159</v>
      </c>
      <c r="F17" s="43">
        <v>1</v>
      </c>
    </row>
    <row r="18" spans="1:6" x14ac:dyDescent="0.2">
      <c r="A18" s="6" t="s">
        <v>41</v>
      </c>
      <c r="B18" s="7">
        <v>22</v>
      </c>
      <c r="C18" s="9"/>
      <c r="D18" s="9">
        <v>152729</v>
      </c>
      <c r="E18" s="8">
        <f t="shared" si="0"/>
        <v>152729</v>
      </c>
      <c r="F18" s="43">
        <v>1</v>
      </c>
    </row>
    <row r="19" spans="1:6" ht="13.5" thickBot="1" x14ac:dyDescent="0.25">
      <c r="A19" s="6"/>
      <c r="B19" s="7"/>
      <c r="C19" s="9"/>
      <c r="D19" s="9"/>
      <c r="E19" s="9"/>
      <c r="F19" s="9"/>
    </row>
    <row r="20" spans="1:6" ht="13.5" thickBot="1" x14ac:dyDescent="0.25">
      <c r="A20" s="10" t="s">
        <v>42</v>
      </c>
      <c r="B20" s="3"/>
      <c r="C20" s="12">
        <f>SUM(C5:C18)</f>
        <v>9487566.129999999</v>
      </c>
      <c r="D20" s="12">
        <f>SUM(D5:D18)</f>
        <v>9001013</v>
      </c>
      <c r="E20" s="12">
        <f>SUM(E5:E18)</f>
        <v>-486553.12999999989</v>
      </c>
      <c r="F20" s="12"/>
    </row>
    <row r="21" spans="1:6" ht="13.5" thickBot="1" x14ac:dyDescent="0.25">
      <c r="A21" s="10" t="s">
        <v>43</v>
      </c>
      <c r="B21" s="3"/>
      <c r="C21" s="5"/>
      <c r="D21" s="5"/>
      <c r="E21" s="5"/>
      <c r="F21" s="5"/>
    </row>
    <row r="22" spans="1:6" x14ac:dyDescent="0.2">
      <c r="A22" s="6" t="s">
        <v>58</v>
      </c>
      <c r="B22" s="7">
        <v>34</v>
      </c>
      <c r="C22" s="9">
        <v>75000</v>
      </c>
      <c r="D22" s="9">
        <v>76551</v>
      </c>
      <c r="E22" s="8">
        <f t="shared" ref="E22:E33" si="2">D22-C22</f>
        <v>1551</v>
      </c>
      <c r="F22" s="43">
        <f>E22/C22</f>
        <v>2.068E-2</v>
      </c>
    </row>
    <row r="23" spans="1:6" x14ac:dyDescent="0.2">
      <c r="A23" s="6" t="s">
        <v>61</v>
      </c>
      <c r="B23" s="7">
        <v>37</v>
      </c>
      <c r="C23" s="9">
        <v>349274.1</v>
      </c>
      <c r="D23" s="9">
        <v>445332</v>
      </c>
      <c r="E23" s="8">
        <f t="shared" si="2"/>
        <v>96057.900000000023</v>
      </c>
      <c r="F23" s="43">
        <f>E23/C23</f>
        <v>0.2750215375259718</v>
      </c>
    </row>
    <row r="24" spans="1:6" x14ac:dyDescent="0.2">
      <c r="A24" s="6" t="s">
        <v>67</v>
      </c>
      <c r="B24" s="7">
        <v>41</v>
      </c>
      <c r="C24" s="9">
        <v>236611.24</v>
      </c>
      <c r="D24" s="9">
        <v>452602</v>
      </c>
      <c r="E24" s="8">
        <f t="shared" si="2"/>
        <v>215990.76</v>
      </c>
      <c r="F24" s="43">
        <f>E24/C24</f>
        <v>0.91285080117073059</v>
      </c>
    </row>
    <row r="25" spans="1:6" x14ac:dyDescent="0.2">
      <c r="A25" s="6" t="s">
        <v>77</v>
      </c>
      <c r="B25" s="7">
        <v>49</v>
      </c>
      <c r="C25" s="9"/>
      <c r="D25" s="9">
        <v>181055</v>
      </c>
      <c r="E25" s="8">
        <f t="shared" si="2"/>
        <v>181055</v>
      </c>
      <c r="F25" s="43">
        <v>1</v>
      </c>
    </row>
    <row r="26" spans="1:6" x14ac:dyDescent="0.2">
      <c r="A26" s="6" t="s">
        <v>78</v>
      </c>
      <c r="B26" s="7">
        <v>50</v>
      </c>
      <c r="C26" s="9">
        <v>824145.14</v>
      </c>
      <c r="D26" s="9">
        <v>130272</v>
      </c>
      <c r="E26" s="8">
        <f t="shared" si="2"/>
        <v>-693873.14</v>
      </c>
      <c r="F26" s="43">
        <f t="shared" ref="F26:F33" si="3">E26/C26</f>
        <v>-0.84193075506093507</v>
      </c>
    </row>
    <row r="27" spans="1:6" x14ac:dyDescent="0.2">
      <c r="A27" s="6" t="s">
        <v>79</v>
      </c>
      <c r="B27" s="7">
        <v>51</v>
      </c>
      <c r="C27" s="9">
        <v>351194.1</v>
      </c>
      <c r="D27" s="9"/>
      <c r="E27" s="8">
        <f t="shared" si="2"/>
        <v>-351194.1</v>
      </c>
      <c r="F27" s="43">
        <f t="shared" si="3"/>
        <v>-1</v>
      </c>
    </row>
    <row r="28" spans="1:6" ht="25.5" x14ac:dyDescent="0.2">
      <c r="A28" s="6" t="s">
        <v>80</v>
      </c>
      <c r="B28" s="7">
        <v>52</v>
      </c>
      <c r="C28" s="9">
        <v>344678.79</v>
      </c>
      <c r="D28" s="9">
        <v>436331</v>
      </c>
      <c r="E28" s="8">
        <f t="shared" si="2"/>
        <v>91652.210000000021</v>
      </c>
      <c r="F28" s="43">
        <f t="shared" si="3"/>
        <v>0.26590614989683592</v>
      </c>
    </row>
    <row r="29" spans="1:6" x14ac:dyDescent="0.2">
      <c r="A29" s="6" t="s">
        <v>81</v>
      </c>
      <c r="B29" s="7">
        <v>53</v>
      </c>
      <c r="C29" s="9">
        <v>700987.63</v>
      </c>
      <c r="D29" s="9">
        <v>1245691</v>
      </c>
      <c r="E29" s="8">
        <f t="shared" si="2"/>
        <v>544703.37</v>
      </c>
      <c r="F29" s="43">
        <f t="shared" si="3"/>
        <v>0.77705132970748714</v>
      </c>
    </row>
    <row r="30" spans="1:6" x14ac:dyDescent="0.2">
      <c r="A30" s="6" t="s">
        <v>82</v>
      </c>
      <c r="B30" s="7">
        <v>54</v>
      </c>
      <c r="C30" s="9">
        <v>52704</v>
      </c>
      <c r="D30" s="9"/>
      <c r="E30" s="8">
        <f t="shared" si="2"/>
        <v>-52704</v>
      </c>
      <c r="F30" s="43">
        <f t="shared" si="3"/>
        <v>-1</v>
      </c>
    </row>
    <row r="31" spans="1:6" x14ac:dyDescent="0.2">
      <c r="A31" s="6" t="s">
        <v>83</v>
      </c>
      <c r="B31" s="7">
        <v>55</v>
      </c>
      <c r="C31" s="9">
        <v>86218</v>
      </c>
      <c r="D31" s="9">
        <v>331154</v>
      </c>
      <c r="E31" s="8">
        <f t="shared" si="2"/>
        <v>244936</v>
      </c>
      <c r="F31" s="43">
        <f t="shared" si="3"/>
        <v>2.8408916931499224</v>
      </c>
    </row>
    <row r="32" spans="1:6" ht="25.5" x14ac:dyDescent="0.2">
      <c r="A32" s="6" t="s">
        <v>84</v>
      </c>
      <c r="B32" s="7">
        <v>56</v>
      </c>
      <c r="C32" s="9">
        <v>600105.66</v>
      </c>
      <c r="D32" s="9">
        <v>356567</v>
      </c>
      <c r="E32" s="8">
        <f t="shared" si="2"/>
        <v>-243538.66000000003</v>
      </c>
      <c r="F32" s="43">
        <f t="shared" si="3"/>
        <v>-0.40582630065512132</v>
      </c>
    </row>
    <row r="33" spans="1:6" x14ac:dyDescent="0.2">
      <c r="A33" s="6" t="s">
        <v>86</v>
      </c>
      <c r="B33" s="7">
        <v>58</v>
      </c>
      <c r="C33" s="9">
        <v>625765.25</v>
      </c>
      <c r="D33" s="9">
        <v>10563</v>
      </c>
      <c r="E33" s="8">
        <f t="shared" si="2"/>
        <v>-615202.25</v>
      </c>
      <c r="F33" s="43">
        <f t="shared" si="3"/>
        <v>-0.98311986803357965</v>
      </c>
    </row>
    <row r="34" spans="1:6" ht="13.5" thickBot="1" x14ac:dyDescent="0.25">
      <c r="A34" s="6"/>
      <c r="B34" s="7"/>
      <c r="C34" s="9"/>
      <c r="D34" s="9"/>
      <c r="E34" s="9"/>
      <c r="F34" s="9"/>
    </row>
    <row r="35" spans="1:6" ht="13.5" thickBot="1" x14ac:dyDescent="0.25">
      <c r="A35" s="10" t="s">
        <v>42</v>
      </c>
      <c r="B35" s="3"/>
      <c r="C35" s="12">
        <f>SUM(C22:C34)</f>
        <v>4246683.91</v>
      </c>
      <c r="D35" s="12">
        <f>SUM(D22:D34)</f>
        <v>3666118</v>
      </c>
      <c r="E35" s="12">
        <f>SUM(E22:E34)</f>
        <v>-580565.90999999992</v>
      </c>
      <c r="F35" s="12"/>
    </row>
    <row r="36" spans="1:6" ht="13.5" thickBot="1" x14ac:dyDescent="0.25">
      <c r="A36" s="10" t="s">
        <v>89</v>
      </c>
      <c r="B36" s="3"/>
      <c r="C36" s="5"/>
      <c r="D36" s="5"/>
      <c r="E36" s="5"/>
      <c r="F36" s="5"/>
    </row>
    <row r="37" spans="1:6" x14ac:dyDescent="0.2">
      <c r="A37" s="6" t="s">
        <v>92</v>
      </c>
      <c r="B37" s="7">
        <v>62</v>
      </c>
      <c r="C37" s="9">
        <v>168450</v>
      </c>
      <c r="D37" s="9">
        <v>14156</v>
      </c>
      <c r="E37" s="8">
        <f>D37-C37</f>
        <v>-154294</v>
      </c>
      <c r="F37" s="43">
        <f>E37/C37</f>
        <v>-0.91596319382606117</v>
      </c>
    </row>
    <row r="38" spans="1:6" x14ac:dyDescent="0.2">
      <c r="A38" s="6" t="s">
        <v>96</v>
      </c>
      <c r="B38" s="7">
        <v>66</v>
      </c>
      <c r="C38" s="9">
        <v>873020</v>
      </c>
      <c r="D38" s="9">
        <v>872827</v>
      </c>
      <c r="E38" s="8">
        <f>D38-C38</f>
        <v>-193</v>
      </c>
      <c r="F38" s="43">
        <f>E38/C38</f>
        <v>-2.210716822065932E-4</v>
      </c>
    </row>
    <row r="39" spans="1:6" x14ac:dyDescent="0.2">
      <c r="A39" s="6" t="s">
        <v>99</v>
      </c>
      <c r="B39" s="7">
        <v>69</v>
      </c>
      <c r="C39" s="9">
        <v>160278.09</v>
      </c>
      <c r="D39" s="9"/>
      <c r="E39" s="8">
        <f>D39-C39</f>
        <v>-160278.09</v>
      </c>
      <c r="F39" s="43">
        <f>E39/C39</f>
        <v>-1</v>
      </c>
    </row>
    <row r="40" spans="1:6" ht="13.5" thickBot="1" x14ac:dyDescent="0.25">
      <c r="A40" s="6"/>
      <c r="B40" s="7"/>
      <c r="C40" s="9"/>
      <c r="D40" s="9"/>
      <c r="E40" s="9"/>
      <c r="F40" s="9"/>
    </row>
    <row r="41" spans="1:6" ht="13.5" thickBot="1" x14ac:dyDescent="0.25">
      <c r="A41" s="10" t="s">
        <v>42</v>
      </c>
      <c r="B41" s="3"/>
      <c r="C41" s="12">
        <f>SUM(C37:C40)</f>
        <v>1201748.0900000001</v>
      </c>
      <c r="D41" s="12">
        <f>SUM(D37:D40)</f>
        <v>886983</v>
      </c>
      <c r="E41" s="12">
        <f>SUM(E37:E40)</f>
        <v>-314765.08999999997</v>
      </c>
      <c r="F41" s="12"/>
    </row>
    <row r="42" spans="1:6" x14ac:dyDescent="0.2">
      <c r="A42" s="6" t="s">
        <v>100</v>
      </c>
      <c r="B42" s="7"/>
      <c r="C42" s="9"/>
      <c r="D42" s="9"/>
      <c r="E42" s="9"/>
      <c r="F42" s="9"/>
    </row>
    <row r="43" spans="1:6" x14ac:dyDescent="0.2">
      <c r="A43" s="6" t="s">
        <v>101</v>
      </c>
      <c r="B43" s="7"/>
      <c r="C43" s="9">
        <v>1768100</v>
      </c>
      <c r="D43" s="9">
        <v>1680090</v>
      </c>
      <c r="E43" s="8">
        <f>D43-C43</f>
        <v>-88010</v>
      </c>
      <c r="F43" s="43">
        <f>E43/C43</f>
        <v>-4.9776596346360502E-2</v>
      </c>
    </row>
    <row r="44" spans="1:6" x14ac:dyDescent="0.2">
      <c r="A44" s="6" t="s">
        <v>102</v>
      </c>
      <c r="B44" s="7"/>
      <c r="C44" s="9">
        <v>170100</v>
      </c>
      <c r="D44" s="9">
        <v>173869</v>
      </c>
      <c r="E44" s="8">
        <f>D44-C44</f>
        <v>3769</v>
      </c>
      <c r="F44" s="43">
        <f>E44/C44</f>
        <v>2.2157554379776602E-2</v>
      </c>
    </row>
    <row r="45" spans="1:6" x14ac:dyDescent="0.2">
      <c r="A45" s="6" t="s">
        <v>103</v>
      </c>
      <c r="B45" s="7"/>
      <c r="C45" s="9">
        <v>341000</v>
      </c>
      <c r="D45" s="9">
        <v>197498</v>
      </c>
      <c r="E45" s="8">
        <f>D45-C45</f>
        <v>-143502</v>
      </c>
      <c r="F45" s="43">
        <f>E45/C45</f>
        <v>-0.42082697947214076</v>
      </c>
    </row>
    <row r="46" spans="1:6" x14ac:dyDescent="0.2">
      <c r="A46" s="6" t="s">
        <v>104</v>
      </c>
      <c r="B46" s="7"/>
      <c r="C46" s="9">
        <v>190000</v>
      </c>
      <c r="D46" s="9">
        <v>113650</v>
      </c>
      <c r="E46" s="8">
        <f>D46-C46</f>
        <v>-76350</v>
      </c>
      <c r="F46" s="43">
        <f>E46/C46</f>
        <v>-0.40184210526315789</v>
      </c>
    </row>
    <row r="47" spans="1:6" x14ac:dyDescent="0.2">
      <c r="A47" s="6" t="s">
        <v>105</v>
      </c>
      <c r="B47" s="7"/>
      <c r="C47" s="9">
        <v>159000</v>
      </c>
      <c r="D47" s="9">
        <v>269101</v>
      </c>
      <c r="E47" s="8">
        <f>D47-C47</f>
        <v>110101</v>
      </c>
      <c r="F47" s="43">
        <f>E47/C47</f>
        <v>0.69245911949685535</v>
      </c>
    </row>
    <row r="48" spans="1:6" ht="13.5" thickBot="1" x14ac:dyDescent="0.25">
      <c r="A48" s="6"/>
      <c r="B48" s="7"/>
      <c r="C48" s="9"/>
      <c r="D48" s="9"/>
      <c r="E48" s="9"/>
      <c r="F48" s="9"/>
    </row>
    <row r="49" spans="1:6" ht="13.5" thickBot="1" x14ac:dyDescent="0.25">
      <c r="A49" s="10" t="s">
        <v>42</v>
      </c>
      <c r="B49" s="3"/>
      <c r="C49" s="12">
        <f t="shared" ref="C49:E49" si="4">SUM(C43:C48)</f>
        <v>2628200</v>
      </c>
      <c r="D49" s="12">
        <f t="shared" si="4"/>
        <v>2434208</v>
      </c>
      <c r="E49" s="12">
        <f t="shared" si="4"/>
        <v>-193992</v>
      </c>
      <c r="F49" s="12"/>
    </row>
    <row r="50" spans="1:6" ht="13.5" thickBot="1" x14ac:dyDescent="0.25">
      <c r="A50" s="13"/>
      <c r="B50" s="13"/>
      <c r="C50" s="15"/>
      <c r="D50" s="15"/>
      <c r="E50" s="15"/>
      <c r="F50" s="15"/>
    </row>
    <row r="51" spans="1:6" ht="14.25" thickTop="1" thickBot="1" x14ac:dyDescent="0.25">
      <c r="A51" s="16" t="s">
        <v>106</v>
      </c>
      <c r="B51" s="17"/>
      <c r="C51" s="18">
        <f>C20+C35+C41+C49</f>
        <v>17564198.129999999</v>
      </c>
      <c r="D51" s="18">
        <f>D20+D35+D41+D49</f>
        <v>15988322</v>
      </c>
      <c r="E51" s="18">
        <f>E20+E35+E41+E49</f>
        <v>-1575876.13</v>
      </c>
      <c r="F51" s="18"/>
    </row>
  </sheetData>
  <pageMargins left="0.7" right="0.7" top="0.75" bottom="0.75" header="0.3" footer="0.3"/>
  <pageSetup scale="8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Company>Niagara Peninsula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NPEI</cp:lastModifiedBy>
  <cp:lastPrinted>2020-11-11T15:06:42Z</cp:lastPrinted>
  <dcterms:created xsi:type="dcterms:W3CDTF">2020-11-10T18:33:48Z</dcterms:created>
  <dcterms:modified xsi:type="dcterms:W3CDTF">2020-11-11T21:38:02Z</dcterms:modified>
</cp:coreProperties>
</file>