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.  Interrogatories\Interrogatories Submitted\"/>
    </mc:Choice>
  </mc:AlternateContent>
  <bookViews>
    <workbookView xWindow="120" yWindow="600" windowWidth="21912" windowHeight="12492"/>
  </bookViews>
  <sheets>
    <sheet name="Notional Debt" sheetId="2" r:id="rId1"/>
  </sheets>
  <definedNames>
    <definedName name="_xlnm.Print_Area" localSheetId="0">'Notional Debt'!$A$1:$S$65</definedName>
  </definedNames>
  <calcPr calcId="162913" calcMode="autoNoTable" iterate="1" iterateCount="25"/>
</workbook>
</file>

<file path=xl/calcChain.xml><?xml version="1.0" encoding="utf-8"?>
<calcChain xmlns="http://schemas.openxmlformats.org/spreadsheetml/2006/main">
  <c r="F14" i="2" l="1"/>
  <c r="M22" i="2" l="1"/>
  <c r="P11" i="2"/>
  <c r="R60" i="2"/>
  <c r="S60" i="2" s="1"/>
  <c r="R59" i="2"/>
  <c r="S59" i="2" s="1"/>
  <c r="R58" i="2"/>
  <c r="S58" i="2" s="1"/>
  <c r="R57" i="2"/>
  <c r="S57" i="2" s="1"/>
  <c r="R56" i="2"/>
  <c r="S56" i="2" s="1"/>
  <c r="R55" i="2"/>
  <c r="S55" i="2" s="1"/>
  <c r="M41" i="2"/>
  <c r="N41" i="2" s="1"/>
  <c r="O41" i="2" s="1"/>
  <c r="P41" i="2" s="1"/>
  <c r="D62" i="2" l="1"/>
  <c r="M39" i="2" l="1"/>
  <c r="N39" i="2" s="1"/>
  <c r="O39" i="2" s="1"/>
  <c r="P39" i="2" s="1"/>
  <c r="J12" i="2" l="1"/>
  <c r="H28" i="2" l="1"/>
  <c r="H15" i="2"/>
  <c r="G28" i="2"/>
  <c r="G15" i="2"/>
  <c r="D5" i="2"/>
  <c r="D7" i="2" s="1"/>
  <c r="C5" i="2"/>
  <c r="C7" i="2" s="1"/>
  <c r="E56" i="2"/>
  <c r="E28" i="2" l="1"/>
  <c r="P62" i="2" l="1"/>
  <c r="P5" i="2" s="1"/>
  <c r="O62" i="2"/>
  <c r="O5" i="2" s="1"/>
  <c r="N62" i="2"/>
  <c r="N5" i="2" s="1"/>
  <c r="R61" i="2" l="1"/>
  <c r="S61" i="2" s="1"/>
  <c r="M62" i="2"/>
  <c r="E62" i="2"/>
  <c r="E5" i="2" s="1"/>
  <c r="E7" i="2" s="1"/>
  <c r="J62" i="2"/>
  <c r="G62" i="2"/>
  <c r="E15" i="2" l="1"/>
  <c r="E16" i="2" s="1"/>
  <c r="D15" i="2"/>
  <c r="D16" i="2" s="1"/>
  <c r="G14" i="2"/>
  <c r="D18" i="2" l="1"/>
  <c r="D19" i="2"/>
  <c r="E18" i="2"/>
  <c r="E19" i="2"/>
  <c r="H14" i="2"/>
  <c r="J14" i="2" s="1"/>
  <c r="E42" i="2" l="1"/>
  <c r="H62" i="2" l="1"/>
  <c r="M5" i="2" l="1"/>
  <c r="G5" i="2" l="1"/>
  <c r="D42" i="2"/>
  <c r="D28" i="2"/>
  <c r="D30" i="2" s="1"/>
  <c r="H5" i="2"/>
  <c r="H7" i="2" s="1"/>
  <c r="J5" i="2"/>
  <c r="C28" i="2"/>
  <c r="C30" i="2" s="1"/>
  <c r="C15" i="2"/>
  <c r="E27" i="2"/>
  <c r="G43" i="2"/>
  <c r="H43" i="2" s="1"/>
  <c r="J43" i="2" s="1"/>
  <c r="K43" i="2" s="1"/>
  <c r="G7" i="2" l="1"/>
  <c r="E30" i="2"/>
  <c r="G27" i="2"/>
  <c r="H27" i="2" s="1"/>
  <c r="J27" i="2" s="1"/>
  <c r="K27" i="2" s="1"/>
  <c r="M27" i="2" s="1"/>
  <c r="N27" i="2" s="1"/>
  <c r="O27" i="2" s="1"/>
  <c r="P27" i="2" s="1"/>
  <c r="R62" i="2"/>
  <c r="K62" i="2"/>
  <c r="K5" i="2" s="1"/>
  <c r="C16" i="2"/>
  <c r="M43" i="2"/>
  <c r="N43" i="2" s="1"/>
  <c r="O43" i="2" s="1"/>
  <c r="P43" i="2" s="1"/>
  <c r="M40" i="2"/>
  <c r="D44" i="2"/>
  <c r="C42" i="2" l="1"/>
  <c r="C44" i="2" s="1"/>
  <c r="C46" i="2" s="1"/>
  <c r="C31" i="2" s="1"/>
  <c r="C32" i="2" s="1"/>
  <c r="D46" i="2"/>
  <c r="D31" i="2" s="1"/>
  <c r="D32" i="2" s="1"/>
  <c r="S62" i="2"/>
  <c r="S63" i="2" s="1"/>
  <c r="C19" i="2"/>
  <c r="C18" i="2"/>
  <c r="N40" i="2"/>
  <c r="O40" i="2" s="1"/>
  <c r="P40" i="2" s="1"/>
  <c r="G42" i="2"/>
  <c r="E44" i="2"/>
  <c r="D48" i="2" l="1"/>
  <c r="D64" i="2" s="1"/>
  <c r="D49" i="2"/>
  <c r="D52" i="2" s="1"/>
  <c r="C48" i="2"/>
  <c r="C64" i="2" s="1"/>
  <c r="C49" i="2"/>
  <c r="E46" i="2"/>
  <c r="E49" i="2" s="1"/>
  <c r="E52" i="2" s="1"/>
  <c r="H42" i="2"/>
  <c r="G44" i="2"/>
  <c r="G46" i="2" s="1"/>
  <c r="D50" i="2" l="1"/>
  <c r="C50" i="2"/>
  <c r="E48" i="2"/>
  <c r="E64" i="2" s="1"/>
  <c r="E31" i="2"/>
  <c r="E32" i="2" s="1"/>
  <c r="G48" i="2"/>
  <c r="G49" i="2"/>
  <c r="G52" i="2" s="1"/>
  <c r="H44" i="2"/>
  <c r="H46" i="2" s="1"/>
  <c r="J42" i="2"/>
  <c r="E50" i="2" l="1"/>
  <c r="H48" i="2"/>
  <c r="H49" i="2"/>
  <c r="H52" i="2" s="1"/>
  <c r="G50" i="2"/>
  <c r="J44" i="2"/>
  <c r="J46" i="2" s="1"/>
  <c r="K42" i="2" l="1"/>
  <c r="K44" i="2" s="1"/>
  <c r="K46" i="2" s="1"/>
  <c r="G16" i="2"/>
  <c r="H50" i="2"/>
  <c r="J49" i="2"/>
  <c r="J52" i="2" s="1"/>
  <c r="J48" i="2"/>
  <c r="M42" i="2" l="1"/>
  <c r="M44" i="2" s="1"/>
  <c r="M46" i="2" s="1"/>
  <c r="M48" i="2" s="1"/>
  <c r="G18" i="2"/>
  <c r="G19" i="2"/>
  <c r="J23" i="2"/>
  <c r="J24" i="2" s="1"/>
  <c r="G30" i="2"/>
  <c r="J50" i="2"/>
  <c r="K49" i="2"/>
  <c r="K52" i="2" s="1"/>
  <c r="K48" i="2"/>
  <c r="M49" i="2" l="1"/>
  <c r="N42" i="2"/>
  <c r="N44" i="2" s="1"/>
  <c r="N46" i="2" s="1"/>
  <c r="J25" i="2"/>
  <c r="H30" i="2"/>
  <c r="J15" i="2"/>
  <c r="H16" i="2"/>
  <c r="K50" i="2"/>
  <c r="G31" i="2"/>
  <c r="G32" i="2" s="1"/>
  <c r="G64" i="2"/>
  <c r="M52" i="2" l="1"/>
  <c r="M10" i="2" s="1"/>
  <c r="M12" i="2" s="1"/>
  <c r="M23" i="2" s="1"/>
  <c r="M24" i="2" s="1"/>
  <c r="M50" i="2"/>
  <c r="O42" i="2"/>
  <c r="O44" i="2" s="1"/>
  <c r="O46" i="2" s="1"/>
  <c r="O48" i="2" s="1"/>
  <c r="P42" i="2"/>
  <c r="P44" i="2" s="1"/>
  <c r="P46" i="2" s="1"/>
  <c r="N49" i="2"/>
  <c r="N48" i="2"/>
  <c r="H18" i="2"/>
  <c r="H19" i="2"/>
  <c r="J16" i="2"/>
  <c r="H31" i="2"/>
  <c r="H32" i="2" s="1"/>
  <c r="H64" i="2"/>
  <c r="N52" i="2" l="1"/>
  <c r="N10" i="2" s="1"/>
  <c r="N12" i="2" s="1"/>
  <c r="N23" i="2" s="1"/>
  <c r="N24" i="2" s="1"/>
  <c r="O49" i="2"/>
  <c r="P49" i="2"/>
  <c r="P48" i="2"/>
  <c r="N50" i="2"/>
  <c r="O50" i="2"/>
  <c r="J30" i="2"/>
  <c r="J31" i="2" s="1"/>
  <c r="J32" i="2" s="1"/>
  <c r="J18" i="2"/>
  <c r="J19" i="2"/>
  <c r="O52" i="2" l="1"/>
  <c r="O10" i="2" s="1"/>
  <c r="O12" i="2" s="1"/>
  <c r="O23" i="2" s="1"/>
  <c r="O24" i="2" s="1"/>
  <c r="P52" i="2"/>
  <c r="P10" i="2" s="1"/>
  <c r="P12" i="2" s="1"/>
  <c r="P23" i="2" s="1"/>
  <c r="P24" i="2" s="1"/>
  <c r="P50" i="2"/>
  <c r="J64" i="2"/>
  <c r="R64" i="2" l="1"/>
  <c r="K12" i="2"/>
  <c r="K23" i="2" s="1"/>
  <c r="K24" i="2" s="1"/>
  <c r="K15" i="2" l="1"/>
  <c r="K28" i="2"/>
  <c r="K16" i="2" l="1"/>
  <c r="M15" i="2"/>
  <c r="K30" i="2"/>
  <c r="M28" i="2"/>
  <c r="M16" i="2" l="1"/>
  <c r="N15" i="2"/>
  <c r="K19" i="2"/>
  <c r="K18" i="2"/>
  <c r="N28" i="2"/>
  <c r="M30" i="2"/>
  <c r="K64" i="2"/>
  <c r="K31" i="2"/>
  <c r="K32" i="2" s="1"/>
  <c r="N16" i="2" l="1"/>
  <c r="O15" i="2"/>
  <c r="M18" i="2"/>
  <c r="M19" i="2"/>
  <c r="M31" i="2"/>
  <c r="M32" i="2" s="1"/>
  <c r="M64" i="2"/>
  <c r="O28" i="2"/>
  <c r="N30" i="2"/>
  <c r="O16" i="2" l="1"/>
  <c r="P15" i="2"/>
  <c r="P16" i="2" s="1"/>
  <c r="N18" i="2"/>
  <c r="N19" i="2"/>
  <c r="N31" i="2"/>
  <c r="N32" i="2" s="1"/>
  <c r="N64" i="2"/>
  <c r="P28" i="2"/>
  <c r="P30" i="2" s="1"/>
  <c r="O30" i="2"/>
  <c r="P19" i="2" l="1"/>
  <c r="P18" i="2"/>
  <c r="O18" i="2"/>
  <c r="O19" i="2"/>
  <c r="O31" i="2"/>
  <c r="O32" i="2" s="1"/>
  <c r="O64" i="2"/>
  <c r="P64" i="2"/>
  <c r="P31" i="2"/>
  <c r="P32" i="2" s="1"/>
</calcChain>
</file>

<file path=xl/sharedStrings.xml><?xml version="1.0" encoding="utf-8"?>
<sst xmlns="http://schemas.openxmlformats.org/spreadsheetml/2006/main" count="61" uniqueCount="58">
  <si>
    <t>Cost of Power</t>
  </si>
  <si>
    <t>Working Capital Allowance</t>
  </si>
  <si>
    <t>Long-Term Debt</t>
  </si>
  <si>
    <t>OEB Category</t>
  </si>
  <si>
    <t xml:space="preserve">Total </t>
  </si>
  <si>
    <t>System Access</t>
  </si>
  <si>
    <t>System Renewal</t>
  </si>
  <si>
    <t>System Service</t>
  </si>
  <si>
    <t>General Plant</t>
  </si>
  <si>
    <t>Annual Net Totals:</t>
  </si>
  <si>
    <t>CAPEx</t>
  </si>
  <si>
    <t>Financial</t>
  </si>
  <si>
    <t>Deemed Debt</t>
  </si>
  <si>
    <t>Deemed Equity</t>
  </si>
  <si>
    <t xml:space="preserve">OEB </t>
  </si>
  <si>
    <t>Operating Expense</t>
  </si>
  <si>
    <t>Total Rate Base</t>
  </si>
  <si>
    <t>Equity as per Financials</t>
  </si>
  <si>
    <t>Deemed ROE</t>
  </si>
  <si>
    <t>Average Fixed Assets</t>
  </si>
  <si>
    <t>CAPEX Funding</t>
  </si>
  <si>
    <t>Debt - Long Term Shareholder</t>
  </si>
  <si>
    <t>Debt - term loans</t>
  </si>
  <si>
    <t>Capital Distribution System Plan</t>
  </si>
  <si>
    <t>NOTIONAL DEBT</t>
  </si>
  <si>
    <t>NOTIONAL DEBT - Positive (Negative)</t>
  </si>
  <si>
    <t>(A)</t>
  </si>
  <si>
    <t>Deemed Debt                          (B)</t>
  </si>
  <si>
    <t>(B) - (A)</t>
  </si>
  <si>
    <t>Contributed Capital</t>
  </si>
  <si>
    <t>(2015 - 8.82%)</t>
  </si>
  <si>
    <t>Amortization (Net -Amortization of Contributed Capital)</t>
  </si>
  <si>
    <t>MTS#1</t>
  </si>
  <si>
    <t>2017-Actual</t>
  </si>
  <si>
    <t>DEEMED Equity as per Financials</t>
  </si>
  <si>
    <t>Operating Expense New TS</t>
  </si>
  <si>
    <t>ACTUAL</t>
  </si>
  <si>
    <t>FORECAST</t>
  </si>
  <si>
    <t>2018-Actual</t>
  </si>
  <si>
    <t>Less: CWIP</t>
  </si>
  <si>
    <t>CAPEx + MTS#1</t>
  </si>
  <si>
    <t>2019-Actual</t>
  </si>
  <si>
    <t>2020-Budget</t>
  </si>
  <si>
    <t>2021-Test Year</t>
  </si>
  <si>
    <t>Budget Net Income, after Tax</t>
  </si>
  <si>
    <t>2016-Actual</t>
  </si>
  <si>
    <t>2022 (DSP)</t>
  </si>
  <si>
    <t>2023 (DSP)</t>
  </si>
  <si>
    <t>2024 (DSP)</t>
  </si>
  <si>
    <t>2025 (DSP)</t>
  </si>
  <si>
    <t>DEBT RATIO</t>
  </si>
  <si>
    <t>EQUITY RATIO</t>
  </si>
  <si>
    <t>5 Year Average</t>
  </si>
  <si>
    <t>2021 to 2025</t>
  </si>
  <si>
    <t>Financing - New Debt for Capex</t>
  </si>
  <si>
    <t>Net income</t>
  </si>
  <si>
    <t>2020 Bridge Year</t>
  </si>
  <si>
    <t>Budget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</si>
</sst>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0.0%"/>
    <numFmt numFmtId="167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u/>
      <sz val="12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4" fillId="3" borderId="0" applyNumberFormat="0" applyBorder="0" applyAlignment="0" applyProtection="0"/>
    <xf numFmtId="0" fontId="5" fillId="19" borderId="1" applyNumberFormat="0" applyAlignment="0" applyProtection="0"/>
    <xf numFmtId="0" fontId="6" fillId="20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1" borderId="0" applyNumberFormat="0" applyBorder="0" applyAlignment="0" applyProtection="0"/>
    <xf numFmtId="0" fontId="15" fillId="0" borderId="0"/>
    <xf numFmtId="0" fontId="2" fillId="22" borderId="7" applyNumberFormat="0" applyFont="0" applyAlignment="0" applyProtection="0"/>
    <xf numFmtId="0" fontId="16" fillId="19" borderId="8" applyNumberFormat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1">
    <xf numFmtId="0" fontId="0" fillId="0" borderId="0" xfId="0"/>
    <xf numFmtId="0" fontId="21" fillId="0" borderId="11" xfId="0" applyFont="1" applyBorder="1" applyAlignment="1"/>
    <xf numFmtId="0" fontId="22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2" fillId="0" borderId="0" xfId="0" applyFont="1" applyAlignment="1">
      <alignment horizontal="center"/>
    </xf>
    <xf numFmtId="0" fontId="22" fillId="24" borderId="0" xfId="0" applyFont="1" applyFill="1"/>
    <xf numFmtId="0" fontId="22" fillId="0" borderId="0" xfId="0" applyFont="1" applyBorder="1"/>
    <xf numFmtId="0" fontId="22" fillId="0" borderId="0" xfId="0" applyFont="1" applyFill="1" applyBorder="1"/>
    <xf numFmtId="165" fontId="22" fillId="0" borderId="0" xfId="28" applyNumberFormat="1" applyFont="1"/>
    <xf numFmtId="165" fontId="22" fillId="0" borderId="0" xfId="0" applyNumberFormat="1" applyFont="1"/>
    <xf numFmtId="165" fontId="22" fillId="24" borderId="0" xfId="0" applyNumberFormat="1" applyFont="1" applyFill="1"/>
    <xf numFmtId="165" fontId="22" fillId="0" borderId="0" xfId="0" applyNumberFormat="1" applyFont="1" applyBorder="1"/>
    <xf numFmtId="165" fontId="22" fillId="0" borderId="0" xfId="28" applyNumberFormat="1" applyFont="1" applyFill="1" applyBorder="1"/>
    <xf numFmtId="165" fontId="22" fillId="0" borderId="10" xfId="28" applyNumberFormat="1" applyFont="1" applyBorder="1"/>
    <xf numFmtId="165" fontId="22" fillId="24" borderId="0" xfId="28" applyNumberFormat="1" applyFont="1" applyFill="1"/>
    <xf numFmtId="165" fontId="22" fillId="0" borderId="0" xfId="28" applyNumberFormat="1" applyFont="1" applyBorder="1"/>
    <xf numFmtId="0" fontId="22" fillId="0" borderId="0" xfId="0" applyFont="1" applyAlignment="1">
      <alignment horizontal="left" indent="2"/>
    </xf>
    <xf numFmtId="167" fontId="22" fillId="0" borderId="0" xfId="28" applyNumberFormat="1" applyFont="1" applyBorder="1"/>
    <xf numFmtId="167" fontId="22" fillId="0" borderId="0" xfId="28" applyNumberFormat="1" applyFont="1"/>
    <xf numFmtId="167" fontId="22" fillId="24" borderId="0" xfId="28" applyNumberFormat="1" applyFont="1" applyFill="1"/>
    <xf numFmtId="165" fontId="22" fillId="0" borderId="13" xfId="28" applyNumberFormat="1" applyFont="1" applyBorder="1"/>
    <xf numFmtId="165" fontId="22" fillId="24" borderId="13" xfId="28" applyNumberFormat="1" applyFont="1" applyFill="1" applyBorder="1"/>
    <xf numFmtId="0" fontId="23" fillId="24" borderId="0" xfId="0" applyFont="1" applyFill="1"/>
    <xf numFmtId="0" fontId="22" fillId="0" borderId="0" xfId="0" applyFont="1" applyAlignment="1">
      <alignment horizontal="left"/>
    </xf>
    <xf numFmtId="167" fontId="22" fillId="0" borderId="0" xfId="0" applyNumberFormat="1" applyFont="1"/>
    <xf numFmtId="167" fontId="22" fillId="24" borderId="0" xfId="0" applyNumberFormat="1" applyFont="1" applyFill="1"/>
    <xf numFmtId="165" fontId="22" fillId="24" borderId="0" xfId="28" applyNumberFormat="1" applyFont="1" applyFill="1" applyBorder="1"/>
    <xf numFmtId="165" fontId="22" fillId="0" borderId="0" xfId="0" applyNumberFormat="1" applyFont="1" applyFill="1" applyBorder="1"/>
    <xf numFmtId="166" fontId="22" fillId="0" borderId="0" xfId="41" applyNumberFormat="1" applyFont="1"/>
    <xf numFmtId="165" fontId="21" fillId="0" borderId="0" xfId="28" applyNumberFormat="1" applyFont="1" applyFill="1" applyBorder="1"/>
    <xf numFmtId="0" fontId="22" fillId="0" borderId="0" xfId="0" applyFont="1" applyAlignment="1">
      <alignment horizontal="left" wrapText="1" indent="2"/>
    </xf>
    <xf numFmtId="164" fontId="22" fillId="0" borderId="0" xfId="28" applyNumberFormat="1" applyFont="1" applyBorder="1"/>
    <xf numFmtId="0" fontId="22" fillId="0" borderId="0" xfId="0" applyFont="1" applyFill="1"/>
    <xf numFmtId="0" fontId="21" fillId="0" borderId="0" xfId="0" applyFont="1" applyAlignment="1">
      <alignment horizontal="left"/>
    </xf>
    <xf numFmtId="43" fontId="22" fillId="0" borderId="0" xfId="28" applyFont="1"/>
    <xf numFmtId="0" fontId="22" fillId="0" borderId="0" xfId="0" applyFont="1" applyAlignment="1">
      <alignment horizontal="left" indent="1"/>
    </xf>
    <xf numFmtId="167" fontId="22" fillId="24" borderId="0" xfId="28" applyNumberFormat="1" applyFont="1" applyFill="1" applyBorder="1"/>
    <xf numFmtId="0" fontId="21" fillId="0" borderId="0" xfId="0" applyFont="1" applyAlignment="1">
      <alignment horizontal="center"/>
    </xf>
    <xf numFmtId="165" fontId="22" fillId="24" borderId="10" xfId="28" applyNumberFormat="1" applyFont="1" applyFill="1" applyBorder="1"/>
    <xf numFmtId="0" fontId="21" fillId="26" borderId="0" xfId="0" applyFont="1" applyFill="1" applyAlignment="1">
      <alignment horizontal="left" indent="1"/>
    </xf>
    <xf numFmtId="166" fontId="22" fillId="0" borderId="0" xfId="41" applyNumberFormat="1" applyFont="1" applyBorder="1"/>
    <xf numFmtId="166" fontId="22" fillId="24" borderId="0" xfId="41" applyNumberFormat="1" applyFont="1" applyFill="1" applyBorder="1"/>
    <xf numFmtId="166" fontId="22" fillId="0" borderId="0" xfId="41" applyNumberFormat="1" applyFont="1" applyFill="1" applyBorder="1"/>
    <xf numFmtId="165" fontId="22" fillId="0" borderId="0" xfId="0" applyNumberFormat="1" applyFont="1" applyFill="1"/>
    <xf numFmtId="165" fontId="22" fillId="0" borderId="12" xfId="28" applyNumberFormat="1" applyFont="1" applyBorder="1"/>
    <xf numFmtId="165" fontId="22" fillId="24" borderId="12" xfId="28" applyNumberFormat="1" applyFont="1" applyFill="1" applyBorder="1"/>
    <xf numFmtId="165" fontId="22" fillId="0" borderId="11" xfId="28" applyNumberFormat="1" applyFont="1" applyBorder="1"/>
    <xf numFmtId="165" fontId="22" fillId="0" borderId="11" xfId="28" applyNumberFormat="1" applyFont="1" applyFill="1" applyBorder="1"/>
    <xf numFmtId="165" fontId="22" fillId="24" borderId="11" xfId="28" applyNumberFormat="1" applyFont="1" applyFill="1" applyBorder="1"/>
    <xf numFmtId="9" fontId="22" fillId="0" borderId="0" xfId="41" applyFont="1"/>
    <xf numFmtId="166" fontId="22" fillId="0" borderId="0" xfId="41" applyNumberFormat="1" applyFont="1" applyFill="1"/>
    <xf numFmtId="166" fontId="22" fillId="24" borderId="0" xfId="41" applyNumberFormat="1" applyFont="1" applyFill="1"/>
    <xf numFmtId="9" fontId="22" fillId="0" borderId="0" xfId="41" applyFont="1" applyBorder="1"/>
    <xf numFmtId="9" fontId="22" fillId="24" borderId="0" xfId="41" applyFont="1" applyFill="1"/>
    <xf numFmtId="9" fontId="22" fillId="0" borderId="0" xfId="41" applyFont="1" applyFill="1" applyBorder="1"/>
    <xf numFmtId="0" fontId="21" fillId="0" borderId="0" xfId="0" applyFont="1"/>
    <xf numFmtId="165" fontId="21" fillId="0" borderId="14" xfId="41" applyNumberFormat="1" applyFont="1" applyBorder="1"/>
    <xf numFmtId="165" fontId="21" fillId="0" borderId="0" xfId="41" applyNumberFormat="1" applyFont="1" applyBorder="1"/>
    <xf numFmtId="165" fontId="21" fillId="24" borderId="14" xfId="41" applyNumberFormat="1" applyFont="1" applyFill="1" applyBorder="1"/>
    <xf numFmtId="165" fontId="21" fillId="0" borderId="0" xfId="41" applyNumberFormat="1" applyFont="1" applyFill="1" applyBorder="1"/>
    <xf numFmtId="166" fontId="21" fillId="0" borderId="0" xfId="41" applyNumberFormat="1" applyFont="1"/>
    <xf numFmtId="165" fontId="21" fillId="0" borderId="0" xfId="28" applyNumberFormat="1" applyFont="1"/>
    <xf numFmtId="165" fontId="21" fillId="0" borderId="0" xfId="28" applyNumberFormat="1" applyFont="1" applyBorder="1"/>
    <xf numFmtId="165" fontId="21" fillId="24" borderId="0" xfId="28" applyNumberFormat="1" applyFont="1" applyFill="1"/>
    <xf numFmtId="10" fontId="22" fillId="23" borderId="0" xfId="41" applyNumberFormat="1" applyFont="1" applyFill="1"/>
    <xf numFmtId="10" fontId="22" fillId="26" borderId="0" xfId="41" applyNumberFormat="1" applyFont="1" applyFill="1"/>
    <xf numFmtId="165" fontId="22" fillId="0" borderId="0" xfId="28" applyNumberFormat="1" applyFont="1" applyFill="1"/>
    <xf numFmtId="0" fontId="22" fillId="0" borderId="0" xfId="0" applyFont="1" applyBorder="1" applyAlignment="1">
      <alignment horizontal="center"/>
    </xf>
    <xf numFmtId="0" fontId="22" fillId="24" borderId="0" xfId="0" applyFont="1" applyFill="1" applyAlignment="1">
      <alignment horizontal="center"/>
    </xf>
    <xf numFmtId="0" fontId="22" fillId="23" borderId="0" xfId="0" applyFont="1" applyFill="1"/>
    <xf numFmtId="165" fontId="22" fillId="23" borderId="0" xfId="28" applyNumberFormat="1" applyFont="1" applyFill="1"/>
    <xf numFmtId="165" fontId="22" fillId="23" borderId="0" xfId="28" applyNumberFormat="1" applyFont="1" applyFill="1" applyBorder="1"/>
    <xf numFmtId="164" fontId="22" fillId="0" borderId="0" xfId="28" applyNumberFormat="1" applyFont="1"/>
    <xf numFmtId="164" fontId="22" fillId="24" borderId="0" xfId="28" applyNumberFormat="1" applyFont="1" applyFill="1"/>
    <xf numFmtId="0" fontId="22" fillId="25" borderId="0" xfId="0" applyFont="1" applyFill="1"/>
    <xf numFmtId="165" fontId="22" fillId="25" borderId="0" xfId="28" applyNumberFormat="1" applyFont="1" applyFill="1"/>
    <xf numFmtId="164" fontId="22" fillId="25" borderId="0" xfId="28" applyNumberFormat="1" applyFont="1" applyFill="1"/>
    <xf numFmtId="164" fontId="22" fillId="25" borderId="0" xfId="28" applyNumberFormat="1" applyFont="1" applyFill="1" applyBorder="1"/>
    <xf numFmtId="0" fontId="22" fillId="25" borderId="0" xfId="0" applyFont="1" applyFill="1" applyBorder="1"/>
    <xf numFmtId="167" fontId="22" fillId="25" borderId="0" xfId="28" applyNumberFormat="1" applyFont="1" applyFill="1"/>
    <xf numFmtId="0" fontId="21" fillId="0" borderId="0" xfId="0" applyFont="1" applyBorder="1"/>
    <xf numFmtId="0" fontId="21" fillId="0" borderId="0" xfId="0" applyFont="1" applyAlignment="1">
      <alignment horizontal="right" wrapText="1"/>
    </xf>
    <xf numFmtId="167" fontId="21" fillId="0" borderId="0" xfId="0" applyNumberFormat="1" applyFont="1"/>
    <xf numFmtId="165" fontId="21" fillId="0" borderId="0" xfId="28" applyNumberFormat="1" applyFont="1" applyFill="1"/>
    <xf numFmtId="167" fontId="21" fillId="0" borderId="0" xfId="0" applyNumberFormat="1" applyFont="1" applyFill="1"/>
    <xf numFmtId="167" fontId="21" fillId="24" borderId="0" xfId="0" applyNumberFormat="1" applyFont="1" applyFill="1"/>
    <xf numFmtId="43" fontId="22" fillId="0" borderId="0" xfId="0" applyNumberFormat="1" applyFont="1"/>
    <xf numFmtId="165" fontId="22" fillId="0" borderId="0" xfId="28" applyNumberFormat="1" applyFont="1" applyFill="1" applyAlignment="1">
      <alignment horizontal="center"/>
    </xf>
    <xf numFmtId="43" fontId="22" fillId="0" borderId="0" xfId="28" applyFont="1" applyFill="1"/>
    <xf numFmtId="0" fontId="21" fillId="0" borderId="15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1" fillId="0" borderId="1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27" borderId="15" xfId="0" applyFont="1" applyFill="1" applyBorder="1" applyAlignment="1">
      <alignment horizontal="center"/>
    </xf>
    <xf numFmtId="0" fontId="21" fillId="27" borderId="15" xfId="0" applyFont="1" applyFill="1" applyBorder="1" applyAlignment="1">
      <alignment horizont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Percent" xfId="41" builtinId="5"/>
    <cellStyle name="Percent 2" xfId="42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410308</xdr:colOff>
      <xdr:row>14</xdr:row>
      <xdr:rowOff>65943</xdr:rowOff>
    </xdr:from>
    <xdr:to>
      <xdr:col>5</xdr:col>
      <xdr:colOff>417635</xdr:colOff>
      <xdr:row>25</xdr:row>
      <xdr:rowOff>29308</xdr:rowOff>
    </xdr:to>
    <xdr:cxnSp macro="">
      <xdr:nvCxnSpPr>
        <xdr:cNvPr id="3" name="Straight Arrow Connector 2"/>
        <xdr:cNvCxnSpPr/>
      </xdr:nvCxnSpPr>
      <xdr:spPr>
        <a:xfrm flipV="1">
          <a:off x="6792058" y="2593731"/>
          <a:ext cx="7327" cy="191232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5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1" sqref="E11"/>
    </sheetView>
  </sheetViews>
  <sheetFormatPr defaultRowHeight="15.6" x14ac:dyDescent="0.3"/>
  <cols>
    <col min="1" max="1" width="34.5546875" style="2" customWidth="1"/>
    <col min="2" max="2" width="18.44140625" style="2" bestFit="1" customWidth="1"/>
    <col min="3" max="3" width="19.44140625" style="2" bestFit="1" customWidth="1"/>
    <col min="4" max="4" width="11.5546875" style="2" bestFit="1" customWidth="1"/>
    <col min="5" max="5" width="11.6640625" style="2" bestFit="1" customWidth="1"/>
    <col min="6" max="6" width="5" style="2" bestFit="1" customWidth="1"/>
    <col min="7" max="7" width="12.33203125" style="2" bestFit="1" customWidth="1"/>
    <col min="8" max="8" width="12.109375" style="2" bestFit="1" customWidth="1"/>
    <col min="9" max="9" width="2.44140625" style="2" customWidth="1"/>
    <col min="10" max="10" width="17" style="2" bestFit="1" customWidth="1"/>
    <col min="11" max="11" width="14.77734375" style="2" bestFit="1" customWidth="1"/>
    <col min="12" max="12" width="6.21875" style="2" customWidth="1"/>
    <col min="13" max="14" width="12.5546875" style="2" bestFit="1" customWidth="1"/>
    <col min="15" max="16" width="12.44140625" style="2" bestFit="1" customWidth="1"/>
    <col min="17" max="17" width="4.44140625" style="7" customWidth="1"/>
    <col min="18" max="18" width="14" style="2" customWidth="1"/>
    <col min="19" max="19" width="16.88671875" style="2" customWidth="1"/>
    <col min="20" max="20" width="19.33203125" style="2" customWidth="1"/>
    <col min="21" max="25" width="12.88671875" style="2" bestFit="1" customWidth="1"/>
    <col min="26" max="26" width="14" style="2" bestFit="1" customWidth="1"/>
    <col min="27" max="27" width="14.109375" style="2" bestFit="1" customWidth="1"/>
    <col min="28" max="16384" width="8.88671875" style="2"/>
  </cols>
  <sheetData>
    <row r="1" spans="1:27" ht="16.2" thickBot="1" x14ac:dyDescent="0.35">
      <c r="A1" s="94" t="s">
        <v>24</v>
      </c>
      <c r="B1" s="94"/>
      <c r="C1" s="95"/>
      <c r="D1" s="95"/>
      <c r="E1" s="95"/>
      <c r="F1" s="95"/>
      <c r="G1" s="95"/>
      <c r="H1" s="95"/>
      <c r="I1" s="94"/>
      <c r="J1" s="95"/>
      <c r="K1" s="95"/>
      <c r="L1" s="95"/>
      <c r="M1" s="95"/>
      <c r="N1" s="95"/>
      <c r="O1" s="95"/>
      <c r="P1" s="95"/>
      <c r="Q1" s="1"/>
      <c r="R1" s="1"/>
      <c r="S1" s="1"/>
    </row>
    <row r="2" spans="1:27" ht="16.2" thickBot="1" x14ac:dyDescent="0.35">
      <c r="A2" s="3"/>
      <c r="B2" s="3"/>
      <c r="C2" s="96" t="s">
        <v>36</v>
      </c>
      <c r="D2" s="97"/>
      <c r="E2" s="97"/>
      <c r="F2" s="97"/>
      <c r="G2" s="97"/>
      <c r="H2" s="98"/>
      <c r="I2" s="3"/>
      <c r="J2" s="96" t="s">
        <v>37</v>
      </c>
      <c r="K2" s="97"/>
      <c r="L2" s="97"/>
      <c r="M2" s="97"/>
      <c r="N2" s="97"/>
      <c r="O2" s="97"/>
      <c r="P2" s="98"/>
      <c r="Q2" s="4"/>
      <c r="R2" s="4"/>
      <c r="S2" s="4"/>
    </row>
    <row r="3" spans="1:27" s="56" customFormat="1" ht="33.6" customHeight="1" x14ac:dyDescent="0.3">
      <c r="C3" s="99">
        <v>2015</v>
      </c>
      <c r="D3" s="99">
        <v>2016</v>
      </c>
      <c r="E3" s="99">
        <v>2017</v>
      </c>
      <c r="F3" s="90"/>
      <c r="G3" s="99">
        <v>2018</v>
      </c>
      <c r="H3" s="99">
        <v>2019</v>
      </c>
      <c r="I3" s="91"/>
      <c r="J3" s="99" t="s">
        <v>56</v>
      </c>
      <c r="K3" s="100" t="s">
        <v>43</v>
      </c>
      <c r="L3" s="92"/>
      <c r="M3" s="99">
        <v>2022</v>
      </c>
      <c r="N3" s="99">
        <v>2023</v>
      </c>
      <c r="O3" s="99">
        <v>2024</v>
      </c>
      <c r="P3" s="99">
        <v>2025</v>
      </c>
      <c r="Q3" s="3"/>
      <c r="R3" s="91"/>
      <c r="T3" s="38"/>
      <c r="U3" s="38"/>
      <c r="V3" s="38"/>
      <c r="W3" s="38"/>
      <c r="X3" s="38"/>
      <c r="Y3" s="38"/>
      <c r="Z3" s="38"/>
      <c r="AA3" s="38"/>
    </row>
    <row r="4" spans="1:27" x14ac:dyDescent="0.3">
      <c r="K4" s="6"/>
      <c r="R4" s="8"/>
      <c r="U4" s="9"/>
      <c r="V4" s="9"/>
      <c r="W4" s="9"/>
      <c r="X4" s="9"/>
      <c r="Y4" s="9"/>
      <c r="Z4" s="9"/>
      <c r="AA4" s="9"/>
    </row>
    <row r="5" spans="1:27" x14ac:dyDescent="0.3">
      <c r="A5" s="2" t="s">
        <v>40</v>
      </c>
      <c r="C5" s="9">
        <f>8295868</f>
        <v>8295868</v>
      </c>
      <c r="D5" s="9">
        <f>9539998</f>
        <v>9539998</v>
      </c>
      <c r="E5" s="10">
        <f>+E62</f>
        <v>11095939</v>
      </c>
      <c r="F5" s="10"/>
      <c r="G5" s="10">
        <f t="shared" ref="G5:M5" si="0">+G62</f>
        <v>25202967</v>
      </c>
      <c r="H5" s="10">
        <f t="shared" si="0"/>
        <v>10829096</v>
      </c>
      <c r="I5" s="10"/>
      <c r="J5" s="10">
        <f t="shared" si="0"/>
        <v>5673160</v>
      </c>
      <c r="K5" s="11">
        <f t="shared" si="0"/>
        <v>5466818</v>
      </c>
      <c r="L5" s="10"/>
      <c r="M5" s="10">
        <f t="shared" si="0"/>
        <v>5286811</v>
      </c>
      <c r="N5" s="10">
        <f t="shared" ref="N5:O5" si="1">+N62</f>
        <v>5377760</v>
      </c>
      <c r="O5" s="10">
        <f t="shared" si="1"/>
        <v>5045739</v>
      </c>
      <c r="P5" s="10">
        <f t="shared" ref="P5" si="2">+P62</f>
        <v>5244179</v>
      </c>
      <c r="Q5" s="12"/>
      <c r="R5" s="13"/>
      <c r="U5" s="9"/>
      <c r="V5" s="9"/>
      <c r="W5" s="9"/>
      <c r="X5" s="9"/>
      <c r="Y5" s="9"/>
      <c r="Z5" s="9"/>
      <c r="AA5" s="9"/>
    </row>
    <row r="6" spans="1:27" x14ac:dyDescent="0.3">
      <c r="A6" s="2" t="s">
        <v>39</v>
      </c>
      <c r="C6" s="9">
        <v>263028</v>
      </c>
      <c r="D6" s="9">
        <v>1227216</v>
      </c>
      <c r="E6" s="10">
        <v>2695765</v>
      </c>
      <c r="F6" s="10"/>
      <c r="G6" s="10">
        <v>17674751</v>
      </c>
      <c r="H6" s="10">
        <v>238763</v>
      </c>
      <c r="I6" s="10"/>
      <c r="J6" s="10"/>
      <c r="K6" s="11"/>
      <c r="L6" s="10"/>
      <c r="M6" s="10"/>
      <c r="N6" s="10"/>
      <c r="O6" s="10"/>
      <c r="P6" s="10"/>
      <c r="Q6" s="12"/>
      <c r="R6" s="8"/>
      <c r="U6" s="9"/>
      <c r="V6" s="9"/>
      <c r="W6" s="9"/>
      <c r="X6" s="9"/>
      <c r="Y6" s="9"/>
      <c r="Z6" s="9"/>
      <c r="AA6" s="9"/>
    </row>
    <row r="7" spans="1:27" ht="16.2" thickBot="1" x14ac:dyDescent="0.35">
      <c r="C7" s="14">
        <f>+C5-C6</f>
        <v>8032840</v>
      </c>
      <c r="D7" s="14">
        <f t="shared" ref="D7:H7" si="3">+D5-D6</f>
        <v>8312782</v>
      </c>
      <c r="E7" s="14">
        <f t="shared" si="3"/>
        <v>8400174</v>
      </c>
      <c r="F7" s="10"/>
      <c r="G7" s="14">
        <f t="shared" si="3"/>
        <v>7528216</v>
      </c>
      <c r="H7" s="14">
        <f t="shared" si="3"/>
        <v>10590333</v>
      </c>
      <c r="I7" s="10"/>
      <c r="J7" s="10"/>
      <c r="K7" s="11"/>
      <c r="L7" s="10"/>
      <c r="M7" s="10"/>
      <c r="N7" s="10"/>
      <c r="O7" s="10"/>
      <c r="P7" s="10"/>
      <c r="Q7" s="12"/>
      <c r="R7" s="8"/>
      <c r="U7" s="9"/>
      <c r="V7" s="9"/>
      <c r="W7" s="9"/>
      <c r="X7" s="9"/>
      <c r="Y7" s="9"/>
      <c r="Z7" s="9"/>
      <c r="AA7" s="9"/>
    </row>
    <row r="8" spans="1:27" x14ac:dyDescent="0.3">
      <c r="C8" s="9"/>
      <c r="D8" s="9"/>
      <c r="E8" s="10"/>
      <c r="F8" s="10"/>
      <c r="G8" s="10"/>
      <c r="H8" s="10"/>
      <c r="I8" s="10"/>
      <c r="J8" s="10"/>
      <c r="K8" s="11"/>
      <c r="L8" s="10"/>
      <c r="M8" s="10"/>
      <c r="N8" s="10"/>
      <c r="O8" s="10"/>
      <c r="P8" s="10"/>
      <c r="Q8" s="12"/>
      <c r="R8" s="8"/>
      <c r="U8" s="9"/>
      <c r="V8" s="9"/>
      <c r="W8" s="9"/>
      <c r="X8" s="9"/>
      <c r="Y8" s="9"/>
      <c r="Z8" s="9"/>
      <c r="AA8" s="9"/>
    </row>
    <row r="9" spans="1:27" x14ac:dyDescent="0.3">
      <c r="A9" s="2" t="s">
        <v>57</v>
      </c>
      <c r="D9" s="9"/>
      <c r="E9" s="9"/>
      <c r="F9" s="9"/>
      <c r="G9" s="9"/>
      <c r="H9" s="9"/>
      <c r="I9" s="9"/>
      <c r="J9" s="9"/>
      <c r="K9" s="15"/>
      <c r="L9" s="9"/>
      <c r="M9" s="9"/>
      <c r="N9" s="9"/>
      <c r="O9" s="9"/>
      <c r="P9" s="9"/>
      <c r="Q9" s="16"/>
      <c r="R9" s="8"/>
      <c r="S9" s="9"/>
      <c r="U9" s="9"/>
      <c r="V9" s="9"/>
      <c r="W9" s="9"/>
      <c r="X9" s="9"/>
      <c r="Y9" s="9"/>
      <c r="Z9" s="9"/>
      <c r="AA9" s="9"/>
    </row>
    <row r="10" spans="1:27" x14ac:dyDescent="0.3">
      <c r="A10" s="17" t="s">
        <v>44</v>
      </c>
      <c r="D10" s="9"/>
      <c r="E10" s="9"/>
      <c r="F10" s="9"/>
      <c r="G10" s="16"/>
      <c r="H10" s="16"/>
      <c r="I10" s="9"/>
      <c r="J10" s="9">
        <v>659744</v>
      </c>
      <c r="K10" s="15">
        <v>2405613</v>
      </c>
      <c r="L10" s="9"/>
      <c r="M10" s="9">
        <f>+M52</f>
        <v>3613247.8289263197</v>
      </c>
      <c r="N10" s="9">
        <f t="shared" ref="N10:O10" si="4">+N52</f>
        <v>3693423.1338376463</v>
      </c>
      <c r="O10" s="9">
        <f t="shared" si="4"/>
        <v>3762351.1879511992</v>
      </c>
      <c r="P10" s="9">
        <f t="shared" ref="P10" si="5">+P52</f>
        <v>3838111.4626446231</v>
      </c>
      <c r="Q10" s="16"/>
      <c r="R10" s="8"/>
      <c r="S10" s="9"/>
      <c r="U10" s="9"/>
      <c r="V10" s="9"/>
      <c r="W10" s="9"/>
      <c r="X10" s="9"/>
      <c r="Y10" s="9"/>
      <c r="Z10" s="9"/>
      <c r="AA10" s="9"/>
    </row>
    <row r="11" spans="1:27" x14ac:dyDescent="0.3">
      <c r="A11" s="17"/>
      <c r="D11" s="9"/>
      <c r="E11" s="9"/>
      <c r="F11" s="9"/>
      <c r="G11" s="18"/>
      <c r="H11" s="18"/>
      <c r="I11" s="19"/>
      <c r="J11" s="19">
        <v>0</v>
      </c>
      <c r="K11" s="20">
        <v>0</v>
      </c>
      <c r="L11" s="19"/>
      <c r="M11" s="19">
        <v>-1110500</v>
      </c>
      <c r="N11" s="19">
        <v>-1138525</v>
      </c>
      <c r="O11" s="19">
        <v>-1059200</v>
      </c>
      <c r="P11" s="19">
        <f>-1089800-250000</f>
        <v>-1339800</v>
      </c>
      <c r="Q11" s="16"/>
      <c r="R11" s="8"/>
      <c r="S11" s="9"/>
      <c r="U11" s="9"/>
      <c r="V11" s="9"/>
      <c r="W11" s="9"/>
      <c r="X11" s="9"/>
      <c r="Y11" s="9"/>
      <c r="Z11" s="9"/>
      <c r="AA11" s="9"/>
    </row>
    <row r="12" spans="1:27" ht="16.2" thickBot="1" x14ac:dyDescent="0.35">
      <c r="D12" s="9"/>
      <c r="E12" s="9"/>
      <c r="F12" s="9"/>
      <c r="G12" s="16"/>
      <c r="H12" s="16"/>
      <c r="I12" s="21"/>
      <c r="J12" s="21">
        <f>SUM(J10:J11)</f>
        <v>659744</v>
      </c>
      <c r="K12" s="22">
        <f>SUM(K10:K11)</f>
        <v>2405613</v>
      </c>
      <c r="L12" s="21"/>
      <c r="M12" s="21">
        <f>SUM(M10:M11)</f>
        <v>2502747.8289263197</v>
      </c>
      <c r="N12" s="21">
        <f t="shared" ref="N12:P12" si="6">SUM(N10:N11)</f>
        <v>2554898.1338376463</v>
      </c>
      <c r="O12" s="21">
        <f t="shared" si="6"/>
        <v>2703151.1879511992</v>
      </c>
      <c r="P12" s="21">
        <f t="shared" si="6"/>
        <v>2498311.4626446231</v>
      </c>
      <c r="Q12" s="16"/>
      <c r="R12" s="8"/>
      <c r="S12" s="9"/>
      <c r="U12" s="9"/>
      <c r="V12" s="9"/>
      <c r="W12" s="9"/>
      <c r="X12" s="9"/>
      <c r="Y12" s="9"/>
      <c r="Z12" s="9"/>
      <c r="AA12" s="9"/>
    </row>
    <row r="13" spans="1:27" ht="16.2" thickTop="1" x14ac:dyDescent="0.3">
      <c r="A13" s="23" t="s">
        <v>11</v>
      </c>
      <c r="K13" s="6"/>
      <c r="R13" s="8"/>
      <c r="U13" s="9"/>
      <c r="V13" s="9"/>
      <c r="W13" s="9"/>
      <c r="X13" s="9"/>
      <c r="Y13" s="9"/>
      <c r="Z13" s="9"/>
      <c r="AA13" s="9"/>
    </row>
    <row r="14" spans="1:27" x14ac:dyDescent="0.3">
      <c r="A14" s="24"/>
      <c r="C14" s="2">
        <v>0</v>
      </c>
      <c r="D14" s="2">
        <v>0</v>
      </c>
      <c r="E14" s="2">
        <v>0</v>
      </c>
      <c r="F14" s="25">
        <f>-F27</f>
        <v>0</v>
      </c>
      <c r="G14" s="25">
        <f>+E14+F14</f>
        <v>0</v>
      </c>
      <c r="H14" s="25">
        <f t="shared" ref="H14" si="7">+G14</f>
        <v>0</v>
      </c>
      <c r="I14" s="25"/>
      <c r="J14" s="25">
        <f>+H14</f>
        <v>0</v>
      </c>
      <c r="K14" s="26">
        <v>0</v>
      </c>
      <c r="L14" s="25"/>
      <c r="M14" s="25">
        <v>0</v>
      </c>
      <c r="N14" s="25">
        <v>0</v>
      </c>
      <c r="O14" s="25">
        <v>0</v>
      </c>
      <c r="P14" s="25">
        <v>0</v>
      </c>
      <c r="R14" s="8"/>
      <c r="U14" s="9"/>
      <c r="V14" s="9"/>
      <c r="W14" s="9"/>
      <c r="X14" s="9"/>
      <c r="Y14" s="9"/>
      <c r="Z14" s="9"/>
      <c r="AA14" s="9"/>
    </row>
    <row r="15" spans="1:27" x14ac:dyDescent="0.3">
      <c r="A15" s="2" t="s">
        <v>17</v>
      </c>
      <c r="C15" s="13">
        <f>16161663+14678891-119673</f>
        <v>30720881</v>
      </c>
      <c r="D15" s="13">
        <f>16161663+14731978-119673</f>
        <v>30773968</v>
      </c>
      <c r="E15" s="13">
        <f>16161663+15631095-201997</f>
        <v>31590761</v>
      </c>
      <c r="F15" s="16"/>
      <c r="G15" s="13">
        <f>16161663+16897161-201997</f>
        <v>32856827</v>
      </c>
      <c r="H15" s="13">
        <f>16161663+15441164-201997</f>
        <v>31400830</v>
      </c>
      <c r="I15" s="13"/>
      <c r="J15" s="13">
        <f>+H15+J12</f>
        <v>32060574</v>
      </c>
      <c r="K15" s="27">
        <f>+J15+K12</f>
        <v>34466187</v>
      </c>
      <c r="L15" s="13"/>
      <c r="M15" s="13">
        <f>+K15+M12</f>
        <v>36968934.828926317</v>
      </c>
      <c r="N15" s="13">
        <f>+M15+N12</f>
        <v>39523832.962763965</v>
      </c>
      <c r="O15" s="13">
        <f>+N15+O12</f>
        <v>42226984.150715165</v>
      </c>
      <c r="P15" s="13">
        <f>+O15+P12</f>
        <v>44725295.613359787</v>
      </c>
      <c r="Q15" s="16"/>
      <c r="R15" s="28"/>
    </row>
    <row r="16" spans="1:27" ht="16.2" thickBot="1" x14ac:dyDescent="0.35">
      <c r="A16" s="2" t="s">
        <v>34</v>
      </c>
      <c r="C16" s="21">
        <f>+C15+C14</f>
        <v>30720881</v>
      </c>
      <c r="D16" s="21">
        <f t="shared" ref="D16:G16" si="8">+D15+D14</f>
        <v>30773968</v>
      </c>
      <c r="E16" s="21">
        <f t="shared" si="8"/>
        <v>31590761</v>
      </c>
      <c r="F16" s="16"/>
      <c r="G16" s="21">
        <f t="shared" si="8"/>
        <v>32856827</v>
      </c>
      <c r="H16" s="21">
        <f t="shared" ref="H16" si="9">+H15+H14</f>
        <v>31400830</v>
      </c>
      <c r="I16" s="21"/>
      <c r="J16" s="21">
        <f t="shared" ref="J16" si="10">+J15+J14</f>
        <v>32060574</v>
      </c>
      <c r="K16" s="22">
        <f t="shared" ref="K16" si="11">+K15+K14</f>
        <v>34466187</v>
      </c>
      <c r="L16" s="21"/>
      <c r="M16" s="21">
        <f t="shared" ref="M16:O16" si="12">+M15+M14</f>
        <v>36968934.828926317</v>
      </c>
      <c r="N16" s="21">
        <f t="shared" si="12"/>
        <v>39523832.962763965</v>
      </c>
      <c r="O16" s="21">
        <f t="shared" si="12"/>
        <v>42226984.150715165</v>
      </c>
      <c r="P16" s="21">
        <f t="shared" ref="P16" si="13">+P15+P14</f>
        <v>44725295.613359787</v>
      </c>
      <c r="Q16" s="16"/>
      <c r="R16" s="28"/>
    </row>
    <row r="17" spans="1:20" ht="16.2" thickTop="1" x14ac:dyDescent="0.3">
      <c r="C17" s="9"/>
      <c r="D17" s="9"/>
      <c r="E17" s="9"/>
      <c r="F17" s="9"/>
      <c r="G17" s="9"/>
      <c r="H17" s="9"/>
      <c r="I17" s="9"/>
      <c r="J17" s="9"/>
      <c r="K17" s="15"/>
      <c r="L17" s="9"/>
      <c r="M17" s="9"/>
      <c r="N17" s="9"/>
      <c r="O17" s="9"/>
      <c r="P17" s="9"/>
      <c r="Q17" s="16"/>
      <c r="R17" s="8"/>
    </row>
    <row r="18" spans="1:20" x14ac:dyDescent="0.3">
      <c r="A18" s="2" t="s">
        <v>12</v>
      </c>
      <c r="B18" s="29">
        <v>0.6</v>
      </c>
      <c r="C18" s="9">
        <f>+C16/$B$18</f>
        <v>51201468.333333336</v>
      </c>
      <c r="D18" s="9">
        <f>+D16/$B$18</f>
        <v>51289946.666666672</v>
      </c>
      <c r="E18" s="9">
        <f>+E16/$B$18</f>
        <v>52651268.333333336</v>
      </c>
      <c r="F18" s="9"/>
      <c r="G18" s="9">
        <f>+G16/$B$18</f>
        <v>54761378.333333336</v>
      </c>
      <c r="H18" s="9">
        <f>+H16/$B$18</f>
        <v>52334716.666666672</v>
      </c>
      <c r="I18" s="9"/>
      <c r="J18" s="9">
        <f>+J16/$B$18</f>
        <v>53434290</v>
      </c>
      <c r="K18" s="15">
        <f>+K16/$B$18</f>
        <v>57443645</v>
      </c>
      <c r="L18" s="9"/>
      <c r="M18" s="9">
        <f>+M16/$B$18</f>
        <v>61614891.381543867</v>
      </c>
      <c r="N18" s="9">
        <f>+N16/$B$18</f>
        <v>65873054.937939942</v>
      </c>
      <c r="O18" s="9">
        <f>+O16/$B$18</f>
        <v>70378306.917858616</v>
      </c>
      <c r="P18" s="9">
        <f>+P16/$B$18</f>
        <v>74542159.355599642</v>
      </c>
      <c r="Q18" s="9"/>
      <c r="R18" s="30"/>
    </row>
    <row r="19" spans="1:20" x14ac:dyDescent="0.3">
      <c r="A19" s="2" t="s">
        <v>13</v>
      </c>
      <c r="B19" s="29">
        <v>0.4</v>
      </c>
      <c r="C19" s="9">
        <f>+C16</f>
        <v>30720881</v>
      </c>
      <c r="D19" s="9">
        <f>+D16</f>
        <v>30773968</v>
      </c>
      <c r="E19" s="9">
        <f>+E16</f>
        <v>31590761</v>
      </c>
      <c r="F19" s="9"/>
      <c r="G19" s="9">
        <f>+G16</f>
        <v>32856827</v>
      </c>
      <c r="H19" s="9">
        <f>+H16</f>
        <v>31400830</v>
      </c>
      <c r="I19" s="9"/>
      <c r="J19" s="9">
        <f>+J16</f>
        <v>32060574</v>
      </c>
      <c r="K19" s="15">
        <f>+K16</f>
        <v>34466187</v>
      </c>
      <c r="L19" s="9"/>
      <c r="M19" s="9">
        <f>+M16</f>
        <v>36968934.828926317</v>
      </c>
      <c r="N19" s="9">
        <f>+N16</f>
        <v>39523832.962763965</v>
      </c>
      <c r="O19" s="9">
        <f>+O16</f>
        <v>42226984.150715165</v>
      </c>
      <c r="P19" s="9">
        <f>+P16</f>
        <v>44725295.613359787</v>
      </c>
      <c r="Q19" s="9"/>
      <c r="R19" s="13"/>
    </row>
    <row r="20" spans="1:20" x14ac:dyDescent="0.3">
      <c r="C20" s="16"/>
      <c r="D20" s="16"/>
      <c r="E20" s="16"/>
      <c r="F20" s="16"/>
      <c r="G20" s="16"/>
      <c r="H20" s="16"/>
      <c r="I20" s="16"/>
      <c r="J20" s="16"/>
      <c r="K20" s="27"/>
      <c r="L20" s="16"/>
      <c r="M20" s="16"/>
      <c r="N20" s="16"/>
      <c r="O20" s="16"/>
      <c r="P20" s="16"/>
      <c r="Q20" s="16"/>
      <c r="R20" s="13"/>
    </row>
    <row r="21" spans="1:20" x14ac:dyDescent="0.3">
      <c r="A21" s="2" t="s">
        <v>20</v>
      </c>
      <c r="C21" s="16"/>
      <c r="D21" s="16"/>
      <c r="E21" s="16"/>
      <c r="F21" s="16"/>
      <c r="G21" s="16"/>
      <c r="H21" s="16"/>
      <c r="I21" s="16"/>
      <c r="J21" s="16"/>
      <c r="K21" s="27"/>
      <c r="L21" s="16"/>
      <c r="M21" s="16"/>
      <c r="N21" s="16"/>
      <c r="O21" s="16"/>
      <c r="P21" s="16"/>
      <c r="Q21" s="16"/>
      <c r="R21" s="13"/>
    </row>
    <row r="22" spans="1:20" ht="31.2" x14ac:dyDescent="0.3">
      <c r="A22" s="31" t="s">
        <v>31</v>
      </c>
      <c r="C22" s="16"/>
      <c r="D22" s="16"/>
      <c r="E22" s="16"/>
      <c r="F22" s="16"/>
      <c r="G22" s="16"/>
      <c r="H22" s="16"/>
      <c r="I22" s="16"/>
      <c r="J22" s="16">
        <v>2774888</v>
      </c>
      <c r="K22" s="27">
        <v>3611342</v>
      </c>
      <c r="L22" s="16"/>
      <c r="M22" s="16">
        <f>+K22</f>
        <v>3611342</v>
      </c>
      <c r="N22" s="16">
        <v>3125000</v>
      </c>
      <c r="O22" s="16">
        <v>3125000</v>
      </c>
      <c r="P22" s="16">
        <v>3125000</v>
      </c>
      <c r="Q22" s="16"/>
      <c r="R22" s="13"/>
    </row>
    <row r="23" spans="1:20" x14ac:dyDescent="0.3">
      <c r="A23" s="17" t="s">
        <v>55</v>
      </c>
      <c r="C23" s="16"/>
      <c r="D23" s="16"/>
      <c r="E23" s="16"/>
      <c r="F23" s="16"/>
      <c r="G23" s="16"/>
      <c r="H23" s="16"/>
      <c r="I23" s="16"/>
      <c r="J23" s="16">
        <f>+J12</f>
        <v>659744</v>
      </c>
      <c r="K23" s="27">
        <f>+K12</f>
        <v>2405613</v>
      </c>
      <c r="L23" s="16"/>
      <c r="M23" s="16">
        <f>+M12</f>
        <v>2502747.8289263197</v>
      </c>
      <c r="N23" s="16">
        <f>+N12</f>
        <v>2554898.1338376463</v>
      </c>
      <c r="O23" s="16">
        <f>+O12</f>
        <v>2703151.1879511992</v>
      </c>
      <c r="P23" s="16">
        <f>+P12</f>
        <v>2498311.4626446231</v>
      </c>
      <c r="Q23" s="16"/>
      <c r="R23" s="13"/>
    </row>
    <row r="24" spans="1:20" x14ac:dyDescent="0.3">
      <c r="A24" s="17" t="s">
        <v>54</v>
      </c>
      <c r="C24" s="16"/>
      <c r="D24" s="16"/>
      <c r="E24" s="16"/>
      <c r="F24" s="16"/>
      <c r="G24" s="16"/>
      <c r="H24" s="16"/>
      <c r="I24" s="16"/>
      <c r="J24" s="32">
        <f>+J5-J22-J23</f>
        <v>2238528</v>
      </c>
      <c r="K24" s="6">
        <f>IF(+K5-K22-K23&lt;0,0,+K5-K22-K23)</f>
        <v>0</v>
      </c>
      <c r="L24" s="32"/>
      <c r="M24" s="33">
        <f>IF(+M5-M22-M23&lt;0,0,+M5-M22-M23)</f>
        <v>0</v>
      </c>
      <c r="N24" s="33">
        <f>IF(+N5-N22-N23&lt;0,0,+N5-N22-N23)</f>
        <v>0</v>
      </c>
      <c r="O24" s="33">
        <f>IF(+O5-O22-O23&lt;0,0,+O5-O22-O23)</f>
        <v>0</v>
      </c>
      <c r="P24" s="33">
        <f>IF(+P5-P22-P23&lt;0,0,+P5-P22-P23)</f>
        <v>0</v>
      </c>
      <c r="Q24" s="16"/>
      <c r="R24" s="13"/>
    </row>
    <row r="25" spans="1:20" x14ac:dyDescent="0.3">
      <c r="C25" s="16"/>
      <c r="D25" s="16"/>
      <c r="E25" s="16"/>
      <c r="F25" s="16"/>
      <c r="G25" s="16"/>
      <c r="H25" s="16"/>
      <c r="I25" s="16"/>
      <c r="J25" s="16">
        <f>SUM(J22:J24)-J5</f>
        <v>0</v>
      </c>
      <c r="K25" s="27"/>
      <c r="L25" s="16"/>
      <c r="M25" s="16"/>
      <c r="N25" s="16"/>
      <c r="O25" s="16"/>
      <c r="P25" s="16"/>
      <c r="Q25" s="16"/>
      <c r="R25" s="13"/>
    </row>
    <row r="26" spans="1:20" x14ac:dyDescent="0.3">
      <c r="A26" s="34" t="s">
        <v>2</v>
      </c>
      <c r="C26" s="16"/>
      <c r="D26" s="16"/>
      <c r="E26" s="16"/>
      <c r="F26" s="16"/>
      <c r="G26" s="16"/>
      <c r="H26" s="16"/>
      <c r="I26" s="16"/>
      <c r="J26" s="16"/>
      <c r="K26" s="27"/>
      <c r="L26" s="16"/>
      <c r="M26" s="16"/>
      <c r="N26" s="16"/>
      <c r="O26" s="16"/>
      <c r="P26" s="16"/>
      <c r="Q26" s="16"/>
      <c r="R26" s="13"/>
      <c r="T26" s="35"/>
    </row>
    <row r="27" spans="1:20" x14ac:dyDescent="0.3">
      <c r="A27" s="36" t="s">
        <v>21</v>
      </c>
      <c r="C27" s="16">
        <v>16141970</v>
      </c>
      <c r="D27" s="16">
        <v>16141970</v>
      </c>
      <c r="E27" s="16">
        <f t="shared" ref="E27" si="14">+D27</f>
        <v>16141970</v>
      </c>
      <c r="F27" s="37">
        <v>0</v>
      </c>
      <c r="G27" s="16">
        <f>+E27+F27</f>
        <v>16141970</v>
      </c>
      <c r="H27" s="16">
        <f>+G27</f>
        <v>16141970</v>
      </c>
      <c r="I27" s="16"/>
      <c r="J27" s="16">
        <f>+H27-3141970</f>
        <v>13000000</v>
      </c>
      <c r="K27" s="27">
        <f>+J27-2800000</f>
        <v>10200000</v>
      </c>
      <c r="L27" s="16"/>
      <c r="M27" s="16">
        <f>+K27-2800000</f>
        <v>7400000</v>
      </c>
      <c r="N27" s="16">
        <f>+M27-2800000</f>
        <v>4600000</v>
      </c>
      <c r="O27" s="16">
        <f>+N27-2800000</f>
        <v>1800000</v>
      </c>
      <c r="P27" s="16">
        <f>+O27-1800000</f>
        <v>0</v>
      </c>
      <c r="Q27" s="16"/>
      <c r="R27" s="13"/>
    </row>
    <row r="28" spans="1:20" x14ac:dyDescent="0.3">
      <c r="A28" s="36" t="s">
        <v>22</v>
      </c>
      <c r="C28" s="16">
        <f>9258402+576770</f>
        <v>9835172</v>
      </c>
      <c r="D28" s="16">
        <f>9834948+3243121</f>
        <v>13078069</v>
      </c>
      <c r="E28" s="16">
        <f>15999871+5392371</f>
        <v>21392242</v>
      </c>
      <c r="F28" s="16"/>
      <c r="G28" s="16">
        <f>20197503+18610817</f>
        <v>38808320</v>
      </c>
      <c r="H28" s="16">
        <f>46614471+961904</f>
        <v>47576375</v>
      </c>
      <c r="I28" s="16"/>
      <c r="J28" s="16">
        <v>53844560</v>
      </c>
      <c r="K28" s="27">
        <f>+J28+K24+2800000-900000</f>
        <v>55744560</v>
      </c>
      <c r="L28" s="16"/>
      <c r="M28" s="16">
        <f>+K28+M24+2800000-900000</f>
        <v>57644560</v>
      </c>
      <c r="N28" s="16">
        <f>+M28+N24+2800000-900000</f>
        <v>59544560</v>
      </c>
      <c r="O28" s="16">
        <f>+N28+O24+2800000-900000</f>
        <v>61444560</v>
      </c>
      <c r="P28" s="16">
        <f>+O28+P24+1800000-900000</f>
        <v>62344560</v>
      </c>
      <c r="Q28" s="16"/>
      <c r="R28" s="13"/>
    </row>
    <row r="29" spans="1:20" x14ac:dyDescent="0.3">
      <c r="A29" s="36" t="s">
        <v>2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/>
      <c r="J29" s="16">
        <v>0</v>
      </c>
      <c r="K29" s="27">
        <v>0</v>
      </c>
      <c r="L29" s="16"/>
      <c r="M29" s="16">
        <v>0</v>
      </c>
      <c r="N29" s="16"/>
      <c r="O29" s="16"/>
      <c r="P29" s="16"/>
      <c r="Q29" s="16"/>
      <c r="R29" s="13"/>
    </row>
    <row r="30" spans="1:20" ht="16.2" thickBot="1" x14ac:dyDescent="0.35">
      <c r="B30" s="38" t="s">
        <v>26</v>
      </c>
      <c r="C30" s="14">
        <f>+C27+C28+C29</f>
        <v>25977142</v>
      </c>
      <c r="D30" s="14">
        <f t="shared" ref="D30:E30" si="15">+D27+D28+D29</f>
        <v>29220039</v>
      </c>
      <c r="E30" s="14">
        <f t="shared" si="15"/>
        <v>37534212</v>
      </c>
      <c r="F30" s="16"/>
      <c r="G30" s="14">
        <f>+G27+G28+G29</f>
        <v>54950290</v>
      </c>
      <c r="H30" s="14">
        <f t="shared" ref="H30:M30" si="16">+H27+H28+H29</f>
        <v>63718345</v>
      </c>
      <c r="I30" s="14"/>
      <c r="J30" s="14">
        <f t="shared" si="16"/>
        <v>66844560</v>
      </c>
      <c r="K30" s="39">
        <f t="shared" si="16"/>
        <v>65944560</v>
      </c>
      <c r="L30" s="14"/>
      <c r="M30" s="14">
        <f t="shared" si="16"/>
        <v>65044560</v>
      </c>
      <c r="N30" s="14">
        <f t="shared" ref="N30:O30" si="17">+N27+N28+N29</f>
        <v>64144560</v>
      </c>
      <c r="O30" s="14">
        <f t="shared" si="17"/>
        <v>63244560</v>
      </c>
      <c r="P30" s="14">
        <f t="shared" ref="P30" si="18">+P27+P28+P29</f>
        <v>62344560</v>
      </c>
      <c r="Q30" s="16"/>
      <c r="R30" s="13"/>
    </row>
    <row r="31" spans="1:20" x14ac:dyDescent="0.3">
      <c r="A31" s="40" t="s">
        <v>50</v>
      </c>
      <c r="C31" s="41">
        <f t="shared" ref="C31:K31" si="19">+C30/C46</f>
        <v>0.4214107655915123</v>
      </c>
      <c r="D31" s="41">
        <f t="shared" si="19"/>
        <v>0.47066768526534747</v>
      </c>
      <c r="E31" s="41">
        <f t="shared" si="19"/>
        <v>0.56559752198672941</v>
      </c>
      <c r="F31" s="41"/>
      <c r="G31" s="41">
        <f t="shared" si="19"/>
        <v>0.77916881001822536</v>
      </c>
      <c r="H31" s="41">
        <f t="shared" si="19"/>
        <v>0.73505324248081227</v>
      </c>
      <c r="I31" s="41"/>
      <c r="J31" s="41">
        <f t="shared" si="19"/>
        <v>0.65498962175243136</v>
      </c>
      <c r="K31" s="42">
        <f t="shared" si="19"/>
        <v>0.63256648178932962</v>
      </c>
      <c r="L31" s="41"/>
      <c r="M31" s="41">
        <f t="shared" ref="M31" si="20">+M30/M46</f>
        <v>0.61349752625706278</v>
      </c>
      <c r="N31" s="41">
        <f t="shared" ref="N31:O31" si="21">+N30/N46</f>
        <v>0.59187548395750456</v>
      </c>
      <c r="O31" s="41">
        <f t="shared" si="21"/>
        <v>0.57287969600033972</v>
      </c>
      <c r="P31" s="41">
        <f t="shared" ref="P31" si="22">+P30/P46</f>
        <v>0.55358022440963428</v>
      </c>
      <c r="Q31" s="16"/>
      <c r="R31" s="43"/>
    </row>
    <row r="32" spans="1:20" x14ac:dyDescent="0.3">
      <c r="A32" s="40" t="s">
        <v>51</v>
      </c>
      <c r="C32" s="41">
        <f>1-C31</f>
        <v>0.57858923440848775</v>
      </c>
      <c r="D32" s="41">
        <f t="shared" ref="D32:E32" si="23">1-D31</f>
        <v>0.52933231473465248</v>
      </c>
      <c r="E32" s="41">
        <f t="shared" si="23"/>
        <v>0.43440247801327059</v>
      </c>
      <c r="F32" s="41"/>
      <c r="G32" s="41">
        <f t="shared" ref="G32:H32" si="24">1-G31</f>
        <v>0.22083118998177464</v>
      </c>
      <c r="H32" s="41">
        <f t="shared" si="24"/>
        <v>0.26494675751918773</v>
      </c>
      <c r="I32" s="41"/>
      <c r="J32" s="41">
        <f>1-J31</f>
        <v>0.34501037824756864</v>
      </c>
      <c r="K32" s="42">
        <f>1-K31</f>
        <v>0.36743351821067038</v>
      </c>
      <c r="L32" s="41"/>
      <c r="M32" s="41">
        <f>1-M31</f>
        <v>0.38650247374293722</v>
      </c>
      <c r="N32" s="41">
        <f t="shared" ref="N32:P32" si="25">1-N31</f>
        <v>0.40812451604249544</v>
      </c>
      <c r="O32" s="41">
        <f t="shared" si="25"/>
        <v>0.42712030399966028</v>
      </c>
      <c r="P32" s="41">
        <f t="shared" si="25"/>
        <v>0.44641977559036572</v>
      </c>
      <c r="Q32" s="16"/>
      <c r="R32" s="41"/>
    </row>
    <row r="33" spans="1:19" x14ac:dyDescent="0.3">
      <c r="C33" s="41"/>
      <c r="D33" s="41"/>
      <c r="E33" s="41"/>
      <c r="F33" s="41"/>
      <c r="G33" s="41"/>
      <c r="H33" s="41"/>
      <c r="I33" s="41"/>
      <c r="J33" s="41"/>
      <c r="K33" s="42"/>
      <c r="L33" s="41"/>
      <c r="M33" s="41"/>
      <c r="N33" s="41"/>
      <c r="O33" s="41"/>
      <c r="P33" s="41"/>
      <c r="Q33" s="16"/>
      <c r="R33" s="41"/>
    </row>
    <row r="34" spans="1:19" x14ac:dyDescent="0.3">
      <c r="A34" s="23" t="s">
        <v>14</v>
      </c>
      <c r="F34" s="7"/>
      <c r="K34" s="6"/>
      <c r="R34" s="33"/>
    </row>
    <row r="35" spans="1:19" x14ac:dyDescent="0.3">
      <c r="D35" s="10"/>
      <c r="E35" s="10"/>
      <c r="F35" s="12"/>
      <c r="G35" s="10"/>
      <c r="H35" s="10"/>
      <c r="I35" s="10"/>
      <c r="J35" s="44"/>
      <c r="K35" s="11"/>
      <c r="L35" s="10"/>
      <c r="M35" s="10"/>
      <c r="N35" s="10"/>
      <c r="O35" s="10"/>
      <c r="P35" s="10"/>
      <c r="R35" s="33"/>
    </row>
    <row r="36" spans="1:19" ht="16.2" thickBot="1" x14ac:dyDescent="0.35">
      <c r="A36" s="2" t="s">
        <v>19</v>
      </c>
      <c r="C36" s="45">
        <v>51474706.82</v>
      </c>
      <c r="D36" s="45">
        <v>56455980.754999995</v>
      </c>
      <c r="E36" s="45">
        <v>61424130.049999997</v>
      </c>
      <c r="F36" s="16"/>
      <c r="G36" s="45">
        <v>65888345.614999995</v>
      </c>
      <c r="H36" s="45">
        <v>81734578.5</v>
      </c>
      <c r="I36" s="45"/>
      <c r="J36" s="45">
        <v>97186367</v>
      </c>
      <c r="K36" s="46">
        <v>99356973</v>
      </c>
      <c r="L36" s="45"/>
      <c r="M36" s="45">
        <v>101032442</v>
      </c>
      <c r="N36" s="45">
        <v>103285202</v>
      </c>
      <c r="O36" s="45">
        <v>105205941</v>
      </c>
      <c r="P36" s="45">
        <v>107325120</v>
      </c>
      <c r="Q36" s="16"/>
      <c r="R36" s="28"/>
      <c r="S36" s="8"/>
    </row>
    <row r="37" spans="1:19" x14ac:dyDescent="0.3">
      <c r="C37" s="16"/>
      <c r="D37" s="16"/>
      <c r="E37" s="16"/>
      <c r="F37" s="16"/>
      <c r="G37" s="16"/>
      <c r="H37" s="16"/>
      <c r="I37" s="16"/>
      <c r="J37" s="13"/>
      <c r="K37" s="27"/>
      <c r="L37" s="16"/>
      <c r="M37" s="16"/>
      <c r="N37" s="16"/>
      <c r="O37" s="16"/>
      <c r="P37" s="16"/>
      <c r="Q37" s="16"/>
      <c r="R37" s="8"/>
      <c r="S37" s="8"/>
    </row>
    <row r="38" spans="1:19" x14ac:dyDescent="0.3">
      <c r="A38" s="2" t="s">
        <v>1</v>
      </c>
      <c r="C38" s="9"/>
      <c r="D38" s="9"/>
      <c r="E38" s="9"/>
      <c r="F38" s="16"/>
      <c r="G38" s="9"/>
      <c r="H38" s="9"/>
      <c r="I38" s="9"/>
      <c r="J38" s="9"/>
      <c r="K38" s="15"/>
      <c r="L38" s="9"/>
      <c r="M38" s="9"/>
      <c r="N38" s="9"/>
      <c r="O38" s="9"/>
      <c r="P38" s="9"/>
      <c r="Q38" s="16"/>
      <c r="R38" s="8"/>
      <c r="S38" s="8"/>
    </row>
    <row r="39" spans="1:19" x14ac:dyDescent="0.3">
      <c r="A39" s="2" t="s">
        <v>0</v>
      </c>
      <c r="C39" s="9">
        <v>61900482.640000001</v>
      </c>
      <c r="D39" s="9">
        <v>68889508</v>
      </c>
      <c r="E39" s="9">
        <v>59744885.840000004</v>
      </c>
      <c r="F39" s="16"/>
      <c r="G39" s="9">
        <v>55654491.969999991</v>
      </c>
      <c r="H39" s="9">
        <v>59595572.829999991</v>
      </c>
      <c r="I39" s="9"/>
      <c r="J39" s="9">
        <v>58603863</v>
      </c>
      <c r="K39" s="15">
        <v>57796943</v>
      </c>
      <c r="L39" s="9"/>
      <c r="M39" s="9">
        <f>+K39*1.02</f>
        <v>58952881.859999999</v>
      </c>
      <c r="N39" s="9">
        <f>+M39*1.02</f>
        <v>60131939.497199997</v>
      </c>
      <c r="O39" s="9">
        <f t="shared" ref="O39:P39" si="26">+N39*1.02</f>
        <v>61334578.287143998</v>
      </c>
      <c r="P39" s="9">
        <f t="shared" si="26"/>
        <v>62561269.852886878</v>
      </c>
      <c r="Q39" s="16"/>
      <c r="R39" s="28"/>
      <c r="S39" s="8"/>
    </row>
    <row r="40" spans="1:19" x14ac:dyDescent="0.3">
      <c r="A40" s="2" t="s">
        <v>15</v>
      </c>
      <c r="C40" s="16">
        <v>5890008.0999999996</v>
      </c>
      <c r="D40" s="13">
        <v>6125435</v>
      </c>
      <c r="E40" s="16">
        <v>6094069.5999999996</v>
      </c>
      <c r="F40" s="16"/>
      <c r="G40" s="16">
        <v>6157464.6799999997</v>
      </c>
      <c r="H40" s="16">
        <v>6414666.8000000007</v>
      </c>
      <c r="I40" s="16"/>
      <c r="J40" s="16">
        <v>6302982</v>
      </c>
      <c r="K40" s="27">
        <v>7432968</v>
      </c>
      <c r="L40" s="16"/>
      <c r="M40" s="16">
        <f>+K40*1.02</f>
        <v>7581627.3600000003</v>
      </c>
      <c r="N40" s="16">
        <f t="shared" ref="N40:O41" si="27">+M40*1.02</f>
        <v>7733259.9072000002</v>
      </c>
      <c r="O40" s="16">
        <f t="shared" si="27"/>
        <v>7887925.1053440003</v>
      </c>
      <c r="P40" s="16">
        <f t="shared" ref="P40:P41" si="28">+O40*1.02</f>
        <v>8045683.6074508801</v>
      </c>
      <c r="Q40" s="16"/>
      <c r="R40" s="28"/>
      <c r="S40" s="8"/>
    </row>
    <row r="41" spans="1:19" x14ac:dyDescent="0.3">
      <c r="A41" s="2" t="s">
        <v>35</v>
      </c>
      <c r="C41" s="47">
        <v>0</v>
      </c>
      <c r="D41" s="48">
        <v>0</v>
      </c>
      <c r="E41" s="47">
        <v>0</v>
      </c>
      <c r="F41" s="16"/>
      <c r="G41" s="47">
        <v>0</v>
      </c>
      <c r="H41" s="47">
        <v>0</v>
      </c>
      <c r="I41" s="47"/>
      <c r="J41" s="47">
        <v>0</v>
      </c>
      <c r="K41" s="49">
        <v>0</v>
      </c>
      <c r="L41" s="47"/>
      <c r="M41" s="47">
        <f>+K41*1.02</f>
        <v>0</v>
      </c>
      <c r="N41" s="47">
        <f>+M41*1.02</f>
        <v>0</v>
      </c>
      <c r="O41" s="47">
        <f t="shared" si="27"/>
        <v>0</v>
      </c>
      <c r="P41" s="47">
        <f t="shared" si="28"/>
        <v>0</v>
      </c>
      <c r="Q41" s="16"/>
      <c r="R41" s="28"/>
      <c r="S41" s="8"/>
    </row>
    <row r="42" spans="1:19" x14ac:dyDescent="0.3">
      <c r="C42" s="9">
        <f>SUM(C38:C41)</f>
        <v>67790490.739999995</v>
      </c>
      <c r="D42" s="9">
        <f>SUM(D38:D41)</f>
        <v>75014943</v>
      </c>
      <c r="E42" s="9">
        <f>SUM(E38:E41)</f>
        <v>65838955.440000005</v>
      </c>
      <c r="F42" s="16"/>
      <c r="G42" s="9">
        <f t="shared" ref="G42:M42" si="29">SUM(G38:G41)</f>
        <v>61811956.649999991</v>
      </c>
      <c r="H42" s="9">
        <f t="shared" si="29"/>
        <v>66010239.629999995</v>
      </c>
      <c r="I42" s="9"/>
      <c r="J42" s="9">
        <f t="shared" si="29"/>
        <v>64906845</v>
      </c>
      <c r="K42" s="15">
        <f t="shared" si="29"/>
        <v>65229911</v>
      </c>
      <c r="L42" s="9"/>
      <c r="M42" s="9">
        <f t="shared" si="29"/>
        <v>66534509.219999999</v>
      </c>
      <c r="N42" s="9">
        <f t="shared" ref="N42:O42" si="30">SUM(N38:N41)</f>
        <v>67865199.404399991</v>
      </c>
      <c r="O42" s="9">
        <f t="shared" si="30"/>
        <v>69222503.392488003</v>
      </c>
      <c r="P42" s="9">
        <f t="shared" ref="P42" si="31">SUM(P38:P41)</f>
        <v>70606953.460337758</v>
      </c>
      <c r="Q42" s="16"/>
      <c r="R42" s="13"/>
      <c r="S42" s="8"/>
    </row>
    <row r="43" spans="1:19" x14ac:dyDescent="0.3">
      <c r="C43" s="50">
        <v>0.15</v>
      </c>
      <c r="D43" s="51">
        <v>7.4999999999999997E-2</v>
      </c>
      <c r="E43" s="51">
        <v>7.4999999999999997E-2</v>
      </c>
      <c r="F43" s="43"/>
      <c r="G43" s="51">
        <f>+E43</f>
        <v>7.4999999999999997E-2</v>
      </c>
      <c r="H43" s="29">
        <f>+G43</f>
        <v>7.4999999999999997E-2</v>
      </c>
      <c r="I43" s="29"/>
      <c r="J43" s="29">
        <f>+H43</f>
        <v>7.4999999999999997E-2</v>
      </c>
      <c r="K43" s="52">
        <f>+J43</f>
        <v>7.4999999999999997E-2</v>
      </c>
      <c r="L43" s="29"/>
      <c r="M43" s="29">
        <f>+K43</f>
        <v>7.4999999999999997E-2</v>
      </c>
      <c r="N43" s="29">
        <f t="shared" ref="N43:O43" si="32">+M43</f>
        <v>7.4999999999999997E-2</v>
      </c>
      <c r="O43" s="29">
        <f t="shared" si="32"/>
        <v>7.4999999999999997E-2</v>
      </c>
      <c r="P43" s="29">
        <f t="shared" ref="P43" si="33">+O43</f>
        <v>7.4999999999999997E-2</v>
      </c>
      <c r="Q43" s="53"/>
      <c r="R43" s="43"/>
      <c r="S43" s="8"/>
    </row>
    <row r="44" spans="1:19" ht="16.2" thickBot="1" x14ac:dyDescent="0.35">
      <c r="B44" s="10">
        <v>0</v>
      </c>
      <c r="C44" s="14">
        <f>+C42*C43</f>
        <v>10168573.611</v>
      </c>
      <c r="D44" s="14">
        <f>+D42*D43</f>
        <v>5626120.7249999996</v>
      </c>
      <c r="E44" s="14">
        <f t="shared" ref="E44:K44" si="34">+E42*E43</f>
        <v>4937921.6579999998</v>
      </c>
      <c r="F44" s="16"/>
      <c r="G44" s="14">
        <f t="shared" si="34"/>
        <v>4635896.7487499993</v>
      </c>
      <c r="H44" s="14">
        <f t="shared" si="34"/>
        <v>4950767.9722499996</v>
      </c>
      <c r="I44" s="14"/>
      <c r="J44" s="14">
        <f t="shared" si="34"/>
        <v>4868013.375</v>
      </c>
      <c r="K44" s="39">
        <f t="shared" si="34"/>
        <v>4892243.3250000002</v>
      </c>
      <c r="L44" s="14"/>
      <c r="M44" s="14">
        <f t="shared" ref="M44:O44" si="35">+M42*M43</f>
        <v>4990088.1914999997</v>
      </c>
      <c r="N44" s="14">
        <f t="shared" si="35"/>
        <v>5089889.9553299993</v>
      </c>
      <c r="O44" s="14">
        <f t="shared" si="35"/>
        <v>5191687.7544366</v>
      </c>
      <c r="P44" s="14">
        <f t="shared" ref="P44" si="36">+P42*P43</f>
        <v>5295521.5095253317</v>
      </c>
      <c r="Q44" s="16"/>
      <c r="R44" s="13"/>
      <c r="S44" s="8"/>
    </row>
    <row r="45" spans="1:19" x14ac:dyDescent="0.3">
      <c r="C45" s="50"/>
      <c r="D45" s="50"/>
      <c r="E45" s="50"/>
      <c r="F45" s="53"/>
      <c r="G45" s="50"/>
      <c r="H45" s="50"/>
      <c r="I45" s="50"/>
      <c r="J45" s="50"/>
      <c r="K45" s="54"/>
      <c r="L45" s="50"/>
      <c r="M45" s="50"/>
      <c r="N45" s="50"/>
      <c r="O45" s="50"/>
      <c r="P45" s="50"/>
      <c r="Q45" s="53"/>
      <c r="R45" s="55"/>
      <c r="S45" s="8"/>
    </row>
    <row r="46" spans="1:19" ht="16.2" thickBot="1" x14ac:dyDescent="0.35">
      <c r="A46" s="56" t="s">
        <v>16</v>
      </c>
      <c r="B46" s="10">
        <v>0</v>
      </c>
      <c r="C46" s="57">
        <f>+C44+C36</f>
        <v>61643280.431000002</v>
      </c>
      <c r="D46" s="57">
        <f t="shared" ref="D46:K46" si="37">+D44+D36</f>
        <v>62082101.479999997</v>
      </c>
      <c r="E46" s="57">
        <f t="shared" si="37"/>
        <v>66362051.707999997</v>
      </c>
      <c r="F46" s="58"/>
      <c r="G46" s="57">
        <f t="shared" si="37"/>
        <v>70524242.363749996</v>
      </c>
      <c r="H46" s="57">
        <f t="shared" si="37"/>
        <v>86685346.47225</v>
      </c>
      <c r="I46" s="57"/>
      <c r="J46" s="57">
        <f t="shared" si="37"/>
        <v>102054380.375</v>
      </c>
      <c r="K46" s="59">
        <f t="shared" si="37"/>
        <v>104249216.325</v>
      </c>
      <c r="L46" s="57"/>
      <c r="M46" s="57">
        <f t="shared" ref="M46:O46" si="38">+M44+M36</f>
        <v>106022530.19149999</v>
      </c>
      <c r="N46" s="57">
        <f t="shared" si="38"/>
        <v>108375091.95533</v>
      </c>
      <c r="O46" s="57">
        <f t="shared" si="38"/>
        <v>110397628.7544366</v>
      </c>
      <c r="P46" s="57">
        <f t="shared" ref="P46" si="39">+P44+P36</f>
        <v>112620641.50952533</v>
      </c>
      <c r="Q46" s="58"/>
      <c r="R46" s="60"/>
      <c r="S46" s="8"/>
    </row>
    <row r="47" spans="1:19" ht="16.2" thickTop="1" x14ac:dyDescent="0.3">
      <c r="F47" s="7"/>
      <c r="K47" s="6"/>
      <c r="R47" s="8"/>
      <c r="S47" s="8"/>
    </row>
    <row r="48" spans="1:19" x14ac:dyDescent="0.3">
      <c r="A48" s="56" t="s">
        <v>27</v>
      </c>
      <c r="B48" s="61">
        <v>0.6</v>
      </c>
      <c r="C48" s="62">
        <f>+C46*$B$48</f>
        <v>36985968.258599997</v>
      </c>
      <c r="D48" s="62">
        <f t="shared" ref="D48:K48" si="40">+D46*$B$48</f>
        <v>37249260.887999997</v>
      </c>
      <c r="E48" s="62">
        <f t="shared" si="40"/>
        <v>39817231.024799995</v>
      </c>
      <c r="F48" s="63"/>
      <c r="G48" s="62">
        <f t="shared" si="40"/>
        <v>42314545.418249995</v>
      </c>
      <c r="H48" s="62">
        <f t="shared" si="40"/>
        <v>52011207.88335</v>
      </c>
      <c r="I48" s="62"/>
      <c r="J48" s="62">
        <f t="shared" si="40"/>
        <v>61232628.224999994</v>
      </c>
      <c r="K48" s="64">
        <f t="shared" si="40"/>
        <v>62549529.795000002</v>
      </c>
      <c r="L48" s="62"/>
      <c r="M48" s="62">
        <f t="shared" ref="M48:O48" si="41">+M46*$B$48</f>
        <v>63613518.114899993</v>
      </c>
      <c r="N48" s="62">
        <f t="shared" si="41"/>
        <v>65025055.173198</v>
      </c>
      <c r="O48" s="62">
        <f t="shared" si="41"/>
        <v>66238577.252661958</v>
      </c>
      <c r="P48" s="62">
        <f t="shared" ref="P48" si="42">+P46*$B$48</f>
        <v>67572384.905715197</v>
      </c>
      <c r="Q48" s="63"/>
      <c r="R48" s="30"/>
      <c r="S48" s="8"/>
    </row>
    <row r="49" spans="1:19" x14ac:dyDescent="0.3">
      <c r="A49" s="2" t="s">
        <v>13</v>
      </c>
      <c r="B49" s="29">
        <v>0.4</v>
      </c>
      <c r="C49" s="9">
        <f>+C46*$B$49</f>
        <v>24657312.172400001</v>
      </c>
      <c r="D49" s="9">
        <f t="shared" ref="D49:K49" si="43">+D46*$B$49</f>
        <v>24832840.592</v>
      </c>
      <c r="E49" s="9">
        <f t="shared" si="43"/>
        <v>26544820.683200002</v>
      </c>
      <c r="F49" s="16"/>
      <c r="G49" s="9">
        <f t="shared" si="43"/>
        <v>28209696.945500001</v>
      </c>
      <c r="H49" s="9">
        <f t="shared" si="43"/>
        <v>34674138.5889</v>
      </c>
      <c r="I49" s="9"/>
      <c r="J49" s="9">
        <f t="shared" si="43"/>
        <v>40821752.150000006</v>
      </c>
      <c r="K49" s="15">
        <f t="shared" si="43"/>
        <v>41699686.530000001</v>
      </c>
      <c r="L49" s="9"/>
      <c r="M49" s="9">
        <f t="shared" ref="M49:O49" si="44">+M46*$B$49</f>
        <v>42409012.0766</v>
      </c>
      <c r="N49" s="9">
        <f t="shared" si="44"/>
        <v>43350036.782132</v>
      </c>
      <c r="O49" s="9">
        <f t="shared" si="44"/>
        <v>44159051.501774639</v>
      </c>
      <c r="P49" s="9">
        <f t="shared" ref="P49" si="45">+P46*$B$49</f>
        <v>45048256.603810132</v>
      </c>
      <c r="Q49" s="16"/>
      <c r="R49" s="13"/>
      <c r="S49" s="8"/>
    </row>
    <row r="50" spans="1:19" ht="16.2" thickBot="1" x14ac:dyDescent="0.35">
      <c r="C50" s="21">
        <f>SUM(C47:C49)</f>
        <v>61643280.430999994</v>
      </c>
      <c r="D50" s="21">
        <f>SUM(D47:D49)</f>
        <v>62082101.479999997</v>
      </c>
      <c r="E50" s="21">
        <f t="shared" ref="E50:K50" si="46">SUM(E47:E49)</f>
        <v>66362051.707999997</v>
      </c>
      <c r="F50" s="16"/>
      <c r="G50" s="21">
        <f t="shared" si="46"/>
        <v>70524242.363749996</v>
      </c>
      <c r="H50" s="21">
        <f t="shared" si="46"/>
        <v>86685346.47225</v>
      </c>
      <c r="I50" s="21"/>
      <c r="J50" s="21">
        <f t="shared" si="46"/>
        <v>102054380.375</v>
      </c>
      <c r="K50" s="22">
        <f t="shared" si="46"/>
        <v>104249216.325</v>
      </c>
      <c r="L50" s="21"/>
      <c r="M50" s="21">
        <f t="shared" ref="M50:O50" si="47">SUM(M47:M49)</f>
        <v>106022530.19149999</v>
      </c>
      <c r="N50" s="21">
        <f t="shared" si="47"/>
        <v>108375091.95533</v>
      </c>
      <c r="O50" s="21">
        <f t="shared" si="47"/>
        <v>110397628.7544366</v>
      </c>
      <c r="P50" s="21">
        <f t="shared" ref="P50" si="48">SUM(P47:P49)</f>
        <v>112620641.50952533</v>
      </c>
      <c r="Q50" s="16"/>
      <c r="R50" s="13"/>
      <c r="S50" s="8"/>
    </row>
    <row r="51" spans="1:19" ht="16.2" thickTop="1" x14ac:dyDescent="0.3">
      <c r="F51" s="7"/>
      <c r="K51" s="6"/>
      <c r="R51" s="33"/>
    </row>
    <row r="52" spans="1:19" x14ac:dyDescent="0.3">
      <c r="A52" s="2" t="s">
        <v>18</v>
      </c>
      <c r="B52" s="65">
        <v>9.1899999999999996E-2</v>
      </c>
      <c r="C52" s="5" t="s">
        <v>30</v>
      </c>
      <c r="D52" s="9">
        <f t="shared" ref="D52:J52" si="49">+D49*$B$52</f>
        <v>2282138.0504048001</v>
      </c>
      <c r="E52" s="9">
        <f t="shared" si="49"/>
        <v>2439469.02078608</v>
      </c>
      <c r="F52" s="16"/>
      <c r="G52" s="9">
        <f t="shared" si="49"/>
        <v>2592471.1492914502</v>
      </c>
      <c r="H52" s="9">
        <f t="shared" si="49"/>
        <v>3186553.3363199099</v>
      </c>
      <c r="I52" s="9"/>
      <c r="J52" s="9">
        <f t="shared" si="49"/>
        <v>3751519.0225850004</v>
      </c>
      <c r="K52" s="15">
        <f>+K49*$L$52</f>
        <v>3552813.2923559998</v>
      </c>
      <c r="L52" s="66">
        <v>8.5199999999999998E-2</v>
      </c>
      <c r="M52" s="9">
        <f>+M49*$L$52</f>
        <v>3613247.8289263197</v>
      </c>
      <c r="N52" s="9">
        <f>+N49*$L$52</f>
        <v>3693423.1338376463</v>
      </c>
      <c r="O52" s="9">
        <f t="shared" ref="O52:P52" si="50">+O49*$L$52</f>
        <v>3762351.1879511992</v>
      </c>
      <c r="P52" s="9">
        <f t="shared" si="50"/>
        <v>3838111.4626446231</v>
      </c>
      <c r="Q52" s="16"/>
      <c r="R52" s="67"/>
    </row>
    <row r="53" spans="1:19" x14ac:dyDescent="0.3">
      <c r="F53" s="7"/>
      <c r="K53" s="6"/>
      <c r="R53" s="5" t="s">
        <v>53</v>
      </c>
    </row>
    <row r="54" spans="1:19" x14ac:dyDescent="0.3">
      <c r="A54" s="56" t="s">
        <v>23</v>
      </c>
      <c r="B54" s="93" t="s">
        <v>3</v>
      </c>
      <c r="C54" s="93"/>
      <c r="D54" s="5" t="s">
        <v>45</v>
      </c>
      <c r="E54" s="5" t="s">
        <v>33</v>
      </c>
      <c r="F54" s="68"/>
      <c r="G54" s="5" t="s">
        <v>38</v>
      </c>
      <c r="H54" s="5" t="s">
        <v>41</v>
      </c>
      <c r="I54" s="5"/>
      <c r="J54" s="5" t="s">
        <v>42</v>
      </c>
      <c r="K54" s="69" t="s">
        <v>43</v>
      </c>
      <c r="L54" s="5"/>
      <c r="M54" s="5" t="s">
        <v>46</v>
      </c>
      <c r="N54" s="5" t="s">
        <v>47</v>
      </c>
      <c r="O54" s="5" t="s">
        <v>48</v>
      </c>
      <c r="P54" s="5" t="s">
        <v>49</v>
      </c>
      <c r="R54" s="5" t="s">
        <v>4</v>
      </c>
      <c r="S54" s="5" t="s">
        <v>52</v>
      </c>
    </row>
    <row r="55" spans="1:19" x14ac:dyDescent="0.3">
      <c r="B55" s="2" t="s">
        <v>5</v>
      </c>
      <c r="D55" s="9">
        <v>637726</v>
      </c>
      <c r="E55" s="9">
        <v>202963</v>
      </c>
      <c r="F55" s="16"/>
      <c r="G55" s="67">
        <v>1205985</v>
      </c>
      <c r="H55" s="67">
        <v>1023723</v>
      </c>
      <c r="I55" s="67"/>
      <c r="J55" s="9">
        <v>1456217</v>
      </c>
      <c r="K55" s="15">
        <v>1394799</v>
      </c>
      <c r="L55" s="9"/>
      <c r="M55" s="9">
        <v>1810370</v>
      </c>
      <c r="N55" s="9">
        <v>3242599</v>
      </c>
      <c r="O55" s="9">
        <v>2999303</v>
      </c>
      <c r="P55" s="9">
        <v>2098537</v>
      </c>
      <c r="R55" s="9">
        <f>SUM(K55:Q55)</f>
        <v>11545608</v>
      </c>
      <c r="S55" s="9">
        <f>+R55/5</f>
        <v>2309121.6</v>
      </c>
    </row>
    <row r="56" spans="1:19" x14ac:dyDescent="0.3">
      <c r="B56" s="70" t="s">
        <v>32</v>
      </c>
      <c r="C56" s="70"/>
      <c r="D56" s="71">
        <v>1516745</v>
      </c>
      <c r="E56" s="71">
        <f>2540810+1482549</f>
        <v>4023359</v>
      </c>
      <c r="F56" s="72"/>
      <c r="G56" s="71">
        <v>17579078</v>
      </c>
      <c r="H56" s="71">
        <v>3806441</v>
      </c>
      <c r="I56" s="71"/>
      <c r="J56" s="71">
        <v>0</v>
      </c>
      <c r="K56" s="15">
        <v>0</v>
      </c>
      <c r="L56" s="67"/>
      <c r="M56" s="67">
        <v>0</v>
      </c>
      <c r="N56" s="67">
        <v>0</v>
      </c>
      <c r="O56" s="67">
        <v>0</v>
      </c>
      <c r="P56" s="67">
        <v>0</v>
      </c>
      <c r="Q56" s="8"/>
      <c r="R56" s="9">
        <f t="shared" ref="R56:R60" si="51">SUM(K56:Q56)</f>
        <v>0</v>
      </c>
      <c r="S56" s="9">
        <f t="shared" ref="S56:S60" si="52">+R56/5</f>
        <v>0</v>
      </c>
    </row>
    <row r="57" spans="1:19" x14ac:dyDescent="0.3">
      <c r="B57" s="2" t="s">
        <v>6</v>
      </c>
      <c r="D57" s="9">
        <v>4896111</v>
      </c>
      <c r="E57" s="9">
        <v>4534261</v>
      </c>
      <c r="F57" s="16"/>
      <c r="G57" s="9">
        <v>4149044</v>
      </c>
      <c r="H57" s="9">
        <v>3345409</v>
      </c>
      <c r="I57" s="9"/>
      <c r="J57" s="9">
        <v>2070408</v>
      </c>
      <c r="K57" s="15">
        <v>2362090</v>
      </c>
      <c r="L57" s="9"/>
      <c r="M57" s="9">
        <v>2668766</v>
      </c>
      <c r="N57" s="9">
        <v>1405269</v>
      </c>
      <c r="O57" s="9">
        <v>1775778</v>
      </c>
      <c r="P57" s="9">
        <v>2425404</v>
      </c>
      <c r="R57" s="9">
        <f t="shared" si="51"/>
        <v>10637307</v>
      </c>
      <c r="S57" s="9">
        <f t="shared" si="52"/>
        <v>2127461.4</v>
      </c>
    </row>
    <row r="58" spans="1:19" x14ac:dyDescent="0.3">
      <c r="B58" s="2" t="s">
        <v>7</v>
      </c>
      <c r="D58" s="9">
        <v>1998508</v>
      </c>
      <c r="E58" s="9">
        <v>1573870</v>
      </c>
      <c r="F58" s="16"/>
      <c r="G58" s="9">
        <v>1772496</v>
      </c>
      <c r="H58" s="9">
        <v>1999789</v>
      </c>
      <c r="I58" s="9"/>
      <c r="J58" s="9">
        <v>1525245</v>
      </c>
      <c r="K58" s="15">
        <v>881872</v>
      </c>
      <c r="L58" s="9"/>
      <c r="M58" s="9">
        <v>1110667</v>
      </c>
      <c r="N58" s="9">
        <v>1424209</v>
      </c>
      <c r="O58" s="9">
        <v>967525</v>
      </c>
      <c r="P58" s="9">
        <v>1099379</v>
      </c>
      <c r="R58" s="9">
        <f t="shared" si="51"/>
        <v>5483652</v>
      </c>
      <c r="S58" s="9">
        <f t="shared" si="52"/>
        <v>1096730.3999999999</v>
      </c>
    </row>
    <row r="59" spans="1:19" x14ac:dyDescent="0.3">
      <c r="B59" s="2" t="s">
        <v>8</v>
      </c>
      <c r="D59" s="9">
        <v>490908</v>
      </c>
      <c r="E59" s="9">
        <v>761486</v>
      </c>
      <c r="F59" s="16"/>
      <c r="G59" s="9">
        <v>496364</v>
      </c>
      <c r="H59" s="9">
        <v>653734</v>
      </c>
      <c r="I59" s="9"/>
      <c r="J59" s="9">
        <v>621290</v>
      </c>
      <c r="K59" s="15">
        <v>828057</v>
      </c>
      <c r="L59" s="9"/>
      <c r="M59" s="9">
        <v>582400</v>
      </c>
      <c r="N59" s="9">
        <v>784880</v>
      </c>
      <c r="O59" s="9">
        <v>694260</v>
      </c>
      <c r="P59" s="9">
        <v>618140</v>
      </c>
      <c r="R59" s="9">
        <f t="shared" si="51"/>
        <v>3507737</v>
      </c>
      <c r="S59" s="9">
        <f t="shared" si="52"/>
        <v>701547.4</v>
      </c>
    </row>
    <row r="60" spans="1:19" x14ac:dyDescent="0.3">
      <c r="B60" s="2" t="s">
        <v>29</v>
      </c>
      <c r="D60" s="9"/>
      <c r="E60" s="73"/>
      <c r="F60" s="32"/>
      <c r="G60" s="73"/>
      <c r="H60" s="73"/>
      <c r="I60" s="73"/>
      <c r="J60" s="73">
        <v>0</v>
      </c>
      <c r="K60" s="74">
        <v>0</v>
      </c>
      <c r="L60" s="73"/>
      <c r="M60" s="73">
        <v>-885392</v>
      </c>
      <c r="N60" s="73">
        <v>-1479197</v>
      </c>
      <c r="O60" s="73">
        <v>-1391127</v>
      </c>
      <c r="P60" s="73">
        <v>-997281</v>
      </c>
      <c r="R60" s="19">
        <f t="shared" si="51"/>
        <v>-4752997</v>
      </c>
      <c r="S60" s="9">
        <f t="shared" si="52"/>
        <v>-950599.4</v>
      </c>
    </row>
    <row r="61" spans="1:19" x14ac:dyDescent="0.3">
      <c r="B61" s="75"/>
      <c r="C61" s="75"/>
      <c r="D61" s="76"/>
      <c r="E61" s="77"/>
      <c r="F61" s="78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9"/>
      <c r="R61" s="80">
        <f>SUM(D61:Q61)</f>
        <v>0</v>
      </c>
      <c r="S61" s="80">
        <f>+R61/6</f>
        <v>0</v>
      </c>
    </row>
    <row r="62" spans="1:19" x14ac:dyDescent="0.3">
      <c r="B62" s="56" t="s">
        <v>10</v>
      </c>
      <c r="C62" s="56" t="s">
        <v>9</v>
      </c>
      <c r="D62" s="62">
        <f>SUM(D55:D61)</f>
        <v>9539998</v>
      </c>
      <c r="E62" s="62">
        <f>SUM(E55:E61)</f>
        <v>11095939</v>
      </c>
      <c r="F62" s="63"/>
      <c r="G62" s="62">
        <f t="shared" ref="G62:J62" si="53">SUM(G55:G61)</f>
        <v>25202967</v>
      </c>
      <c r="H62" s="62">
        <f t="shared" si="53"/>
        <v>10829096</v>
      </c>
      <c r="I62" s="62"/>
      <c r="J62" s="62">
        <f t="shared" si="53"/>
        <v>5673160</v>
      </c>
      <c r="K62" s="64">
        <f>SUM(K55:K61)</f>
        <v>5466818</v>
      </c>
      <c r="L62" s="62"/>
      <c r="M62" s="62">
        <f>SUM(M55:M61)</f>
        <v>5286811</v>
      </c>
      <c r="N62" s="62">
        <f t="shared" ref="N62:P62" si="54">SUM(N55:N61)</f>
        <v>5377760</v>
      </c>
      <c r="O62" s="62">
        <f t="shared" si="54"/>
        <v>5045739</v>
      </c>
      <c r="P62" s="62">
        <f t="shared" si="54"/>
        <v>5244179</v>
      </c>
      <c r="Q62" s="81"/>
      <c r="R62" s="62">
        <f>SUM(R55:R61)</f>
        <v>26421307</v>
      </c>
      <c r="S62" s="62">
        <f>SUM(S55:S61)</f>
        <v>5284261.4000000004</v>
      </c>
    </row>
    <row r="63" spans="1:19" x14ac:dyDescent="0.3">
      <c r="D63" s="9"/>
      <c r="K63" s="6"/>
      <c r="S63" s="10">
        <f>(+R62-R56)/5-S62</f>
        <v>0</v>
      </c>
    </row>
    <row r="64" spans="1:19" ht="31.2" x14ac:dyDescent="0.3">
      <c r="A64" s="82" t="s">
        <v>25</v>
      </c>
      <c r="B64" s="38" t="s">
        <v>28</v>
      </c>
      <c r="C64" s="83">
        <f>+C48-C30</f>
        <v>11008826.258599997</v>
      </c>
      <c r="D64" s="84">
        <f t="shared" ref="D64:K64" si="55">+D48-D30</f>
        <v>8029221.8879999965</v>
      </c>
      <c r="E64" s="85">
        <f t="shared" si="55"/>
        <v>2283019.0247999951</v>
      </c>
      <c r="F64" s="83"/>
      <c r="G64" s="83">
        <f t="shared" si="55"/>
        <v>-12635744.581750005</v>
      </c>
      <c r="H64" s="83">
        <f t="shared" si="55"/>
        <v>-11707137.11665</v>
      </c>
      <c r="I64" s="83"/>
      <c r="J64" s="83">
        <f t="shared" si="55"/>
        <v>-5611931.775000006</v>
      </c>
      <c r="K64" s="86">
        <f t="shared" si="55"/>
        <v>-3395030.2049999982</v>
      </c>
      <c r="L64" s="83"/>
      <c r="M64" s="83">
        <f t="shared" ref="M64:O64" si="56">+M48-M30</f>
        <v>-1431041.8851000071</v>
      </c>
      <c r="N64" s="83">
        <f t="shared" si="56"/>
        <v>880495.1731979996</v>
      </c>
      <c r="O64" s="83">
        <f t="shared" si="56"/>
        <v>2994017.2526619583</v>
      </c>
      <c r="P64" s="83">
        <f t="shared" ref="P64" si="57">+P48-P30</f>
        <v>5227824.9057151973</v>
      </c>
      <c r="Q64" s="83"/>
      <c r="R64" s="83">
        <f>+R48-R30</f>
        <v>0</v>
      </c>
      <c r="S64" s="10"/>
    </row>
    <row r="65" spans="3:18" x14ac:dyDescent="0.3">
      <c r="D65" s="9"/>
    </row>
    <row r="67" spans="3:18" x14ac:dyDescent="0.3">
      <c r="C67" s="87"/>
      <c r="E67" s="50"/>
      <c r="F67" s="50"/>
      <c r="G67" s="9"/>
    </row>
    <row r="68" spans="3:18" x14ac:dyDescent="0.3">
      <c r="D68" s="9"/>
      <c r="E68" s="9"/>
      <c r="F68" s="10"/>
      <c r="G68" s="9"/>
      <c r="H68" s="9"/>
    </row>
    <row r="69" spans="3:18" x14ac:dyDescent="0.3">
      <c r="E69" s="10"/>
      <c r="G69" s="9"/>
      <c r="H69" s="67"/>
      <c r="I69" s="33"/>
      <c r="J69" s="33"/>
      <c r="K69" s="33"/>
      <c r="L69" s="33"/>
      <c r="M69" s="33"/>
    </row>
    <row r="70" spans="3:18" x14ac:dyDescent="0.3">
      <c r="D70" s="9"/>
      <c r="G70" s="9"/>
      <c r="H70" s="33"/>
      <c r="I70" s="33"/>
      <c r="J70" s="88"/>
      <c r="K70" s="33"/>
      <c r="L70" s="33"/>
      <c r="M70" s="33"/>
    </row>
    <row r="71" spans="3:18" x14ac:dyDescent="0.3">
      <c r="D71" s="10"/>
      <c r="G71" s="9"/>
      <c r="H71" s="33"/>
      <c r="I71" s="33"/>
      <c r="J71" s="13"/>
      <c r="K71" s="33"/>
      <c r="L71" s="33"/>
      <c r="M71" s="33"/>
    </row>
    <row r="72" spans="3:18" x14ac:dyDescent="0.3">
      <c r="G72" s="9"/>
      <c r="H72" s="33"/>
      <c r="I72" s="33"/>
      <c r="J72" s="13"/>
      <c r="K72" s="33"/>
      <c r="L72" s="33"/>
      <c r="M72" s="33"/>
    </row>
    <row r="73" spans="3:18" x14ac:dyDescent="0.3">
      <c r="G73" s="10"/>
      <c r="H73" s="33"/>
      <c r="I73" s="33"/>
      <c r="J73" s="13"/>
      <c r="K73" s="33"/>
      <c r="L73" s="33"/>
      <c r="M73" s="33"/>
    </row>
    <row r="74" spans="3:18" x14ac:dyDescent="0.3">
      <c r="G74" s="10"/>
      <c r="H74" s="33"/>
      <c r="I74" s="33"/>
      <c r="J74" s="13"/>
      <c r="K74" s="67"/>
      <c r="L74" s="33"/>
      <c r="M74" s="33"/>
    </row>
    <row r="75" spans="3:18" x14ac:dyDescent="0.3">
      <c r="E75" s="9"/>
      <c r="F75" s="9"/>
      <c r="G75" s="9"/>
      <c r="H75" s="67"/>
      <c r="I75" s="67"/>
      <c r="J75" s="13"/>
      <c r="K75" s="67"/>
      <c r="L75" s="67"/>
      <c r="M75" s="67"/>
      <c r="N75" s="9"/>
      <c r="O75" s="9"/>
      <c r="P75" s="9"/>
    </row>
    <row r="76" spans="3:18" x14ac:dyDescent="0.3">
      <c r="E76" s="9"/>
      <c r="F76" s="9"/>
      <c r="G76" s="9"/>
      <c r="H76" s="67"/>
      <c r="I76" s="67"/>
      <c r="J76" s="13"/>
      <c r="K76" s="67"/>
      <c r="L76" s="67"/>
      <c r="M76" s="67"/>
      <c r="N76" s="9"/>
      <c r="O76" s="9"/>
      <c r="P76" s="9"/>
    </row>
    <row r="77" spans="3:18" x14ac:dyDescent="0.3">
      <c r="E77" s="9"/>
      <c r="F77" s="9"/>
      <c r="G77" s="9"/>
      <c r="H77" s="67"/>
      <c r="I77" s="67"/>
      <c r="J77" s="13"/>
      <c r="K77" s="67"/>
      <c r="L77" s="67"/>
      <c r="M77" s="67"/>
      <c r="N77" s="9"/>
      <c r="O77" s="9"/>
      <c r="P77" s="9"/>
    </row>
    <row r="78" spans="3:18" x14ac:dyDescent="0.3">
      <c r="E78" s="9"/>
      <c r="F78" s="9"/>
      <c r="G78" s="9"/>
      <c r="H78" s="67"/>
      <c r="I78" s="67"/>
      <c r="J78" s="67"/>
      <c r="K78" s="67"/>
      <c r="L78" s="67"/>
      <c r="M78" s="67"/>
      <c r="N78" s="9"/>
      <c r="O78" s="9"/>
      <c r="P78" s="9"/>
    </row>
    <row r="79" spans="3:18" x14ac:dyDescent="0.3">
      <c r="E79" s="9"/>
      <c r="F79" s="9"/>
      <c r="G79" s="9"/>
      <c r="H79" s="67"/>
      <c r="I79" s="67"/>
      <c r="J79" s="67"/>
      <c r="K79" s="67"/>
      <c r="L79" s="67"/>
      <c r="M79" s="67"/>
      <c r="N79" s="9"/>
      <c r="O79" s="9"/>
      <c r="P79" s="9"/>
      <c r="Q79" s="16"/>
      <c r="R79" s="9"/>
    </row>
    <row r="80" spans="3:18" x14ac:dyDescent="0.3">
      <c r="E80" s="9"/>
      <c r="F80" s="9"/>
      <c r="G80" s="9"/>
      <c r="H80" s="67"/>
      <c r="I80" s="67"/>
      <c r="J80" s="67"/>
      <c r="K80" s="67"/>
      <c r="L80" s="67"/>
      <c r="M80" s="67"/>
      <c r="N80" s="9"/>
      <c r="O80" s="9"/>
      <c r="P80" s="9"/>
      <c r="Q80" s="16"/>
      <c r="R80" s="9"/>
    </row>
    <row r="81" spans="4:18" x14ac:dyDescent="0.3">
      <c r="E81" s="9"/>
      <c r="F81" s="9"/>
      <c r="G81" s="9"/>
      <c r="H81" s="67"/>
      <c r="I81" s="67"/>
      <c r="J81" s="89"/>
      <c r="K81" s="67"/>
      <c r="L81" s="67"/>
      <c r="M81" s="67"/>
      <c r="N81" s="9"/>
      <c r="O81" s="9"/>
      <c r="P81" s="9"/>
      <c r="Q81" s="16"/>
      <c r="R81" s="9"/>
    </row>
    <row r="82" spans="4:18" x14ac:dyDescent="0.3">
      <c r="E82" s="9"/>
      <c r="F82" s="9"/>
      <c r="G82" s="9"/>
      <c r="H82" s="67"/>
      <c r="I82" s="67"/>
      <c r="J82" s="89"/>
      <c r="K82" s="67"/>
      <c r="L82" s="67"/>
      <c r="M82" s="67"/>
      <c r="N82" s="9"/>
      <c r="O82" s="9"/>
      <c r="P82" s="9"/>
      <c r="Q82" s="16"/>
      <c r="R82" s="9"/>
    </row>
    <row r="83" spans="4:18" x14ac:dyDescent="0.3">
      <c r="E83" s="9"/>
      <c r="F83" s="9"/>
      <c r="G83" s="9"/>
      <c r="H83" s="67"/>
      <c r="I83" s="67"/>
      <c r="J83" s="89"/>
      <c r="K83" s="67"/>
      <c r="L83" s="67"/>
      <c r="M83" s="67"/>
      <c r="N83" s="9"/>
      <c r="O83" s="9"/>
      <c r="P83" s="9"/>
      <c r="Q83" s="16"/>
      <c r="R83" s="9"/>
    </row>
    <row r="84" spans="4:18" x14ac:dyDescent="0.3">
      <c r="E84" s="9"/>
      <c r="F84" s="9"/>
      <c r="G84" s="9"/>
      <c r="H84" s="67"/>
      <c r="I84" s="67"/>
      <c r="J84" s="67"/>
      <c r="K84" s="67"/>
      <c r="L84" s="67"/>
      <c r="M84" s="67"/>
      <c r="N84" s="9"/>
      <c r="O84" s="9"/>
      <c r="P84" s="9"/>
      <c r="Q84" s="9"/>
      <c r="R84" s="9"/>
    </row>
    <row r="85" spans="4:18" x14ac:dyDescent="0.3">
      <c r="D85" s="9"/>
      <c r="E85" s="9"/>
      <c r="F85" s="9"/>
      <c r="G85" s="9"/>
      <c r="H85" s="67"/>
      <c r="I85" s="67"/>
      <c r="J85" s="67"/>
      <c r="K85" s="67"/>
      <c r="L85" s="67"/>
      <c r="M85" s="67"/>
      <c r="N85" s="9"/>
      <c r="O85" s="9"/>
      <c r="P85" s="9"/>
      <c r="Q85" s="9"/>
    </row>
  </sheetData>
  <mergeCells count="4">
    <mergeCell ref="B54:C54"/>
    <mergeCell ref="A1:P1"/>
    <mergeCell ref="C2:H2"/>
    <mergeCell ref="J2:P2"/>
  </mergeCells>
  <phoneticPr fontId="20" type="noConversion"/>
  <pageMargins left="0.74803149606299213" right="0.74803149606299213" top="0.98425196850393704" bottom="0.98425196850393704" header="0.51181102362204722" footer="0.51181102362204722"/>
  <pageSetup paperSize="5" scale="68" orientation="landscape" cellComments="asDisplayed" horizontalDpi="4294967294" r:id="rId1"/>
  <headerFooter alignWithMargins="0">
    <oddFooter>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Notional Debt</vt:lpstr>
      <vt:lpstr>'Notional Debt'!Print_Area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winthoej</dc:creator>
  <cp:lastModifiedBy>Tracy Rehberg-Rawlingson</cp:lastModifiedBy>
  <cp:lastPrinted>2018-07-05T19:34:34Z</cp:lastPrinted>
  <dcterms:created xsi:type="dcterms:W3CDTF">2012-02-07T14:42:36Z</dcterms:created>
  <dcterms:modified xsi:type="dcterms:W3CDTF">2020-11-22T22:29:37Z</dcterms:modified>
</cp:coreProperties>
</file>