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9040" windowHeight="15840" tabRatio="831"/>
  </bookViews>
  <sheets>
    <sheet name="Summary" sheetId="11" r:id="rId1"/>
    <sheet name="Power Purchases" sheetId="26" r:id="rId2"/>
    <sheet name="Purchased Power Model" sheetId="33" r:id="rId3"/>
    <sheet name="Rate Class Energy Model" sheetId="9" r:id="rId4"/>
    <sheet name="Rate Class Customer Model" sheetId="17" r:id="rId5"/>
    <sheet name="Rate Class Load Model" sheetId="18" r:id="rId6"/>
    <sheet name="Residential" sheetId="20" state="hidden" r:id="rId7"/>
    <sheet name="GS &lt; 50 kW" sheetId="21" state="hidden" r:id="rId8"/>
    <sheet name="GS &gt; 50 kW" sheetId="22" state="hidden" r:id="rId9"/>
    <sheet name="CDM" sheetId="23" r:id="rId10"/>
    <sheet name="HDD CDD" sheetId="25" r:id="rId11"/>
    <sheet name="WMP" sheetId="27" r:id="rId12"/>
    <sheet name="Sheet1" sheetId="34" r:id="rId13"/>
    <sheet name="Sheet2" sheetId="35" r:id="rId14"/>
    <sheet name="Tables" sheetId="32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Order1" hidden="1">255</definedName>
    <definedName name="_Sort" hidden="1">[1]Sheet1!$G$40:$K$40</definedName>
    <definedName name="PAGE11" localSheetId="2">#REF!</definedName>
    <definedName name="PAGE11">#REF!</definedName>
    <definedName name="PAGE2">[1]Sheet1!$A$1:$I$40</definedName>
    <definedName name="PAGE3" localSheetId="2">#REF!</definedName>
    <definedName name="PAGE3">#REF!</definedName>
    <definedName name="PAGE4" localSheetId="2">#REF!</definedName>
    <definedName name="PAGE4">#REF!</definedName>
    <definedName name="PAGE7" localSheetId="2">#REF!</definedName>
    <definedName name="PAGE7">#REF!</definedName>
    <definedName name="PAGE9" localSheetId="2">#REF!</definedName>
    <definedName name="PAGE9">#REF!</definedName>
    <definedName name="_xlnm.Print_Area" localSheetId="9">CDM!$A$1:$AA$218</definedName>
    <definedName name="_xlnm.Print_Area" localSheetId="7">'GS &lt; 50 kW'!$M$63:$Q$86</definedName>
    <definedName name="_xlnm.Print_Area" localSheetId="8">'GS &gt; 50 kW'!$M$63:$Q$86</definedName>
    <definedName name="_xlnm.Print_Area" localSheetId="1">'Power Purchases'!$A$1:$F$209</definedName>
    <definedName name="_xlnm.Print_Area" localSheetId="2">'Purchased Power Model'!$A$1:$AC$180</definedName>
    <definedName name="_xlnm.Print_Area" localSheetId="4">'Rate Class Customer Model'!$A$1:$I$32</definedName>
    <definedName name="_xlnm.Print_Area" localSheetId="3">'Rate Class Energy Model'!$A$1:$R$56</definedName>
    <definedName name="_xlnm.Print_Area" localSheetId="6">Residential!$M$63:$Q$86</definedName>
    <definedName name="_xlnm.Print_Titles" localSheetId="10">'HDD CDD'!$1:$1</definedName>
    <definedName name="_xlnm.Print_Titles" localSheetId="1">'Power Purchases'!$2:$2</definedName>
    <definedName name="_xlnm.Print_Titles" localSheetId="2">'Purchased Power Model'!$2:$2</definedName>
    <definedName name="_xlnm.Print_Titles" localSheetId="11">WMP!$1:$1</definedName>
  </definedNames>
  <calcPr calcId="191029" calcMode="autoNoTable" iterate="1" iterateCount="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33" l="1"/>
  <c r="R5" i="33"/>
  <c r="R6" i="33"/>
  <c r="R7" i="33"/>
  <c r="R8" i="33"/>
  <c r="R9" i="33"/>
  <c r="R10" i="33"/>
  <c r="R11" i="33"/>
  <c r="R12" i="33"/>
  <c r="R13" i="33"/>
  <c r="R14" i="33"/>
  <c r="R15" i="33"/>
  <c r="R16" i="33"/>
  <c r="R17" i="33"/>
  <c r="R18" i="33"/>
  <c r="R19" i="33"/>
  <c r="R20" i="33"/>
  <c r="R21" i="33"/>
  <c r="R22" i="33"/>
  <c r="R23" i="33"/>
  <c r="R24" i="33"/>
  <c r="R25" i="33"/>
  <c r="R26" i="33"/>
  <c r="R27" i="33"/>
  <c r="R28" i="33"/>
  <c r="R29" i="33"/>
  <c r="R30" i="33"/>
  <c r="R31" i="33"/>
  <c r="R32" i="33"/>
  <c r="R33" i="33"/>
  <c r="R34" i="33"/>
  <c r="R35" i="33"/>
  <c r="R36" i="33"/>
  <c r="R37" i="33"/>
  <c r="R38" i="33"/>
  <c r="R39" i="33"/>
  <c r="R40" i="33"/>
  <c r="R41" i="33"/>
  <c r="R42" i="33"/>
  <c r="R43" i="33"/>
  <c r="R44" i="33"/>
  <c r="R45" i="33"/>
  <c r="R46" i="33"/>
  <c r="R47" i="33"/>
  <c r="R48" i="33"/>
  <c r="R49" i="33"/>
  <c r="R50" i="33"/>
  <c r="R51" i="33"/>
  <c r="R52" i="33"/>
  <c r="R53" i="33"/>
  <c r="R54" i="33"/>
  <c r="R55" i="33"/>
  <c r="R56" i="33"/>
  <c r="R57" i="33"/>
  <c r="R58" i="33"/>
  <c r="R59" i="33"/>
  <c r="R60" i="33"/>
  <c r="R61" i="33"/>
  <c r="R62" i="33"/>
  <c r="R63" i="33"/>
  <c r="R64" i="33"/>
  <c r="R65" i="33"/>
  <c r="R66" i="33"/>
  <c r="R67" i="33"/>
  <c r="R68" i="33"/>
  <c r="R69" i="33"/>
  <c r="R70" i="33"/>
  <c r="R71" i="33"/>
  <c r="R72" i="33"/>
  <c r="R73" i="33"/>
  <c r="R74" i="33"/>
  <c r="R75" i="33"/>
  <c r="R76" i="33"/>
  <c r="R77" i="33"/>
  <c r="R78" i="33"/>
  <c r="R79" i="33"/>
  <c r="R80" i="33"/>
  <c r="R81" i="33"/>
  <c r="R82" i="33"/>
  <c r="R83" i="33"/>
  <c r="R84" i="33"/>
  <c r="R85" i="33"/>
  <c r="R86" i="33"/>
  <c r="R87" i="33"/>
  <c r="R88" i="33"/>
  <c r="R89" i="33"/>
  <c r="R90" i="33"/>
  <c r="R91" i="33"/>
  <c r="R92" i="33"/>
  <c r="R93" i="33"/>
  <c r="R94" i="33"/>
  <c r="R95" i="33"/>
  <c r="R96" i="33"/>
  <c r="R97" i="33"/>
  <c r="R98" i="33"/>
  <c r="R99" i="33"/>
  <c r="R100" i="33"/>
  <c r="R101" i="33"/>
  <c r="R102" i="33"/>
  <c r="R103" i="33"/>
  <c r="R104" i="33"/>
  <c r="R105" i="33"/>
  <c r="R106" i="33"/>
  <c r="R107" i="33"/>
  <c r="R108" i="33"/>
  <c r="R109" i="33"/>
  <c r="R110" i="33"/>
  <c r="R111" i="33"/>
  <c r="R112" i="33"/>
  <c r="R113" i="33"/>
  <c r="R114" i="33"/>
  <c r="R115" i="33"/>
  <c r="R116" i="33"/>
  <c r="R117" i="33"/>
  <c r="R118" i="33"/>
  <c r="R119" i="33"/>
  <c r="R120" i="33"/>
  <c r="R121" i="33"/>
  <c r="R122" i="33"/>
  <c r="R123" i="33"/>
  <c r="R124" i="33"/>
  <c r="R125" i="33"/>
  <c r="R126" i="33"/>
  <c r="R127" i="33"/>
  <c r="R128" i="33"/>
  <c r="R129" i="33"/>
  <c r="R130" i="33"/>
  <c r="R131" i="33"/>
  <c r="R132" i="33"/>
  <c r="R133" i="33"/>
  <c r="R134" i="33"/>
  <c r="R135" i="33"/>
  <c r="R136" i="33"/>
  <c r="R137" i="33"/>
  <c r="R138" i="33"/>
  <c r="R139" i="33"/>
  <c r="R140" i="33"/>
  <c r="R141" i="33"/>
  <c r="R142" i="33"/>
  <c r="R143" i="33"/>
  <c r="R144" i="33"/>
  <c r="R145" i="33"/>
  <c r="R146" i="33"/>
  <c r="R3" i="33"/>
  <c r="D4" i="33"/>
  <c r="D5" i="33"/>
  <c r="D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D54" i="33"/>
  <c r="D55" i="33"/>
  <c r="D56" i="33"/>
  <c r="D57" i="33"/>
  <c r="D58" i="33"/>
  <c r="D59" i="33"/>
  <c r="D60" i="33"/>
  <c r="D61" i="33"/>
  <c r="D62" i="33"/>
  <c r="D63" i="33"/>
  <c r="D64" i="33"/>
  <c r="D65" i="33"/>
  <c r="D66" i="33"/>
  <c r="D67" i="33"/>
  <c r="D68" i="33"/>
  <c r="D69" i="33"/>
  <c r="D70" i="33"/>
  <c r="D71" i="33"/>
  <c r="D72" i="33"/>
  <c r="D73" i="33"/>
  <c r="D74" i="33"/>
  <c r="D75" i="33"/>
  <c r="D76" i="33"/>
  <c r="D77" i="33"/>
  <c r="D78" i="33"/>
  <c r="D79" i="33"/>
  <c r="D80" i="33"/>
  <c r="D81" i="33"/>
  <c r="D82" i="33"/>
  <c r="D83" i="33"/>
  <c r="D84" i="33"/>
  <c r="D85" i="33"/>
  <c r="D86" i="33"/>
  <c r="D87" i="33"/>
  <c r="D88" i="33"/>
  <c r="D89" i="33"/>
  <c r="D90" i="33"/>
  <c r="D91" i="33"/>
  <c r="D92" i="33"/>
  <c r="D93" i="33"/>
  <c r="D94" i="33"/>
  <c r="D95" i="33"/>
  <c r="D96" i="33"/>
  <c r="D97" i="33"/>
  <c r="D98" i="33"/>
  <c r="D99" i="33"/>
  <c r="D100" i="33"/>
  <c r="D101" i="33"/>
  <c r="D102" i="33"/>
  <c r="D103" i="33"/>
  <c r="D104" i="33"/>
  <c r="D105" i="33"/>
  <c r="D106" i="33"/>
  <c r="D107" i="33"/>
  <c r="D108" i="33"/>
  <c r="D109" i="33"/>
  <c r="D110" i="33"/>
  <c r="D111" i="33"/>
  <c r="D112" i="33"/>
  <c r="D113" i="33"/>
  <c r="D114" i="33"/>
  <c r="D115" i="33"/>
  <c r="D116" i="33"/>
  <c r="D117" i="33"/>
  <c r="D118" i="33"/>
  <c r="D119" i="33"/>
  <c r="D120" i="33"/>
  <c r="D121" i="33"/>
  <c r="D122" i="33"/>
  <c r="D3" i="33"/>
  <c r="B39" i="18" l="1"/>
  <c r="B33" i="18" s="1"/>
  <c r="J56" i="9"/>
  <c r="J50" i="9" s="1"/>
  <c r="K56" i="9"/>
  <c r="K50" i="9" s="1"/>
  <c r="C36" i="18" l="1"/>
  <c r="C39" i="18" s="1"/>
  <c r="C33" i="18" s="1"/>
  <c r="D13" i="17" l="1"/>
  <c r="L23" i="11" s="1"/>
  <c r="B34" i="18" l="1"/>
  <c r="J51" i="9"/>
  <c r="S10" i="23" l="1"/>
  <c r="T10" i="23"/>
  <c r="U10" i="23"/>
  <c r="V10" i="23"/>
  <c r="W10" i="23"/>
  <c r="X10" i="23"/>
  <c r="Y10" i="23"/>
  <c r="Z10" i="23"/>
  <c r="AA10" i="23"/>
  <c r="T11" i="23"/>
  <c r="U11" i="23"/>
  <c r="V11" i="23"/>
  <c r="W11" i="23"/>
  <c r="X11" i="23"/>
  <c r="Y11" i="23"/>
  <c r="Z11" i="23"/>
  <c r="AA11" i="23"/>
  <c r="U12" i="23"/>
  <c r="V12" i="23"/>
  <c r="W12" i="23"/>
  <c r="X12" i="23"/>
  <c r="Y12" i="23"/>
  <c r="Z12" i="23"/>
  <c r="AA12" i="23"/>
  <c r="V13" i="23"/>
  <c r="W13" i="23"/>
  <c r="X13" i="23"/>
  <c r="Y13" i="23"/>
  <c r="Z13" i="23"/>
  <c r="AA13" i="23"/>
  <c r="W14" i="23"/>
  <c r="X14" i="23"/>
  <c r="Y14" i="23"/>
  <c r="Z14" i="23"/>
  <c r="AA14" i="23"/>
  <c r="X15" i="23"/>
  <c r="Y15" i="23"/>
  <c r="Z15" i="23"/>
  <c r="AA15" i="23" s="1"/>
  <c r="S9" i="23"/>
  <c r="T9" i="23"/>
  <c r="U9" i="23"/>
  <c r="V9" i="23"/>
  <c r="W9" i="23"/>
  <c r="X9" i="23"/>
  <c r="Y9" i="23"/>
  <c r="Z9" i="23"/>
  <c r="AA9" i="23"/>
  <c r="R9" i="23"/>
  <c r="R8" i="23"/>
  <c r="S8" i="23"/>
  <c r="T8" i="23"/>
  <c r="U8" i="23"/>
  <c r="V8" i="23"/>
  <c r="W8" i="23"/>
  <c r="X8" i="23"/>
  <c r="Y8" i="23"/>
  <c r="Z8" i="23"/>
  <c r="AA8" i="23"/>
  <c r="Q8" i="23"/>
  <c r="C34" i="18" l="1"/>
  <c r="K51" i="9" l="1"/>
  <c r="O51" i="9" s="1"/>
  <c r="Z17" i="23"/>
  <c r="O50" i="9" l="1"/>
  <c r="AA17" i="23"/>
  <c r="Y16" i="23"/>
  <c r="Z16" i="23" s="1"/>
  <c r="AA16" i="23" l="1"/>
  <c r="F172" i="33"/>
  <c r="E175" i="33"/>
  <c r="S47" i="25"/>
  <c r="F180" i="33" s="1"/>
  <c r="I47" i="25"/>
  <c r="F170" i="33" s="1"/>
  <c r="J47" i="25"/>
  <c r="F171" i="33" s="1"/>
  <c r="L47" i="25"/>
  <c r="F173" i="33" s="1"/>
  <c r="M47" i="25"/>
  <c r="F174" i="33" s="1"/>
  <c r="N47" i="25"/>
  <c r="F175" i="33" s="1"/>
  <c r="O47" i="25"/>
  <c r="F176" i="33" s="1"/>
  <c r="P47" i="25"/>
  <c r="F177" i="33" s="1"/>
  <c r="Q47" i="25"/>
  <c r="F178" i="33" s="1"/>
  <c r="R47" i="25"/>
  <c r="F179" i="33" s="1"/>
  <c r="H47" i="25"/>
  <c r="F169" i="33" s="1"/>
  <c r="H169" i="33"/>
  <c r="I169" i="33"/>
  <c r="J169" i="33"/>
  <c r="K169" i="33"/>
  <c r="H170" i="33"/>
  <c r="I170" i="33"/>
  <c r="J170" i="33"/>
  <c r="K170" i="33"/>
  <c r="H171" i="33"/>
  <c r="I171" i="33"/>
  <c r="J171" i="33"/>
  <c r="K171" i="33"/>
  <c r="H172" i="33"/>
  <c r="I172" i="33"/>
  <c r="J172" i="33"/>
  <c r="K172" i="33"/>
  <c r="H173" i="33"/>
  <c r="I173" i="33"/>
  <c r="J173" i="33"/>
  <c r="K173" i="33"/>
  <c r="H174" i="33"/>
  <c r="I174" i="33"/>
  <c r="J174" i="33"/>
  <c r="K174" i="33"/>
  <c r="H175" i="33"/>
  <c r="I175" i="33"/>
  <c r="J175" i="33"/>
  <c r="K175" i="33"/>
  <c r="H176" i="33"/>
  <c r="I176" i="33"/>
  <c r="J176" i="33"/>
  <c r="K176" i="33"/>
  <c r="H177" i="33"/>
  <c r="I177" i="33"/>
  <c r="J177" i="33"/>
  <c r="K177" i="33"/>
  <c r="H178" i="33"/>
  <c r="I178" i="33"/>
  <c r="J178" i="33"/>
  <c r="K178" i="33"/>
  <c r="H179" i="33"/>
  <c r="I179" i="33"/>
  <c r="J179" i="33"/>
  <c r="K179" i="33"/>
  <c r="H180" i="33"/>
  <c r="I180" i="33"/>
  <c r="J180" i="33"/>
  <c r="K180" i="33"/>
  <c r="G170" i="33"/>
  <c r="G171" i="33"/>
  <c r="G172" i="33"/>
  <c r="G173" i="33"/>
  <c r="G174" i="33"/>
  <c r="G175" i="33"/>
  <c r="G176" i="33"/>
  <c r="G177" i="33"/>
  <c r="G178" i="33"/>
  <c r="G179" i="33"/>
  <c r="G180" i="33"/>
  <c r="G169" i="33"/>
  <c r="I23" i="25" l="1"/>
  <c r="E170" i="33" s="1"/>
  <c r="J23" i="25"/>
  <c r="E171" i="33" s="1"/>
  <c r="K23" i="25"/>
  <c r="E172" i="33" s="1"/>
  <c r="L23" i="25"/>
  <c r="E173" i="33" s="1"/>
  <c r="M23" i="25"/>
  <c r="E174" i="33" s="1"/>
  <c r="O23" i="25"/>
  <c r="E176" i="33" s="1"/>
  <c r="P23" i="25"/>
  <c r="E177" i="33" s="1"/>
  <c r="Q23" i="25"/>
  <c r="E178" i="33" s="1"/>
  <c r="R23" i="25"/>
  <c r="E179" i="33" s="1"/>
  <c r="S23" i="25"/>
  <c r="E180" i="33" s="1"/>
  <c r="H23" i="25"/>
  <c r="E169" i="33" s="1"/>
  <c r="K44" i="11"/>
  <c r="J44" i="11"/>
  <c r="I44" i="11"/>
  <c r="H44" i="11"/>
  <c r="G44" i="11"/>
  <c r="K43" i="11"/>
  <c r="J43" i="11"/>
  <c r="I43" i="11"/>
  <c r="H43" i="11"/>
  <c r="J40" i="11"/>
  <c r="K40" i="11"/>
  <c r="I40" i="11"/>
  <c r="K39" i="11"/>
  <c r="J39" i="11"/>
  <c r="I39" i="11"/>
  <c r="H39" i="11"/>
  <c r="G39" i="11"/>
  <c r="J38" i="11"/>
  <c r="K38" i="11"/>
  <c r="I38" i="11"/>
  <c r="H38" i="11"/>
  <c r="K35" i="11"/>
  <c r="I35" i="11"/>
  <c r="J35" i="11"/>
  <c r="J34" i="11"/>
  <c r="K34" i="11"/>
  <c r="I34" i="11"/>
  <c r="H34" i="11"/>
  <c r="G34" i="11"/>
  <c r="J33" i="11"/>
  <c r="K33" i="11"/>
  <c r="I33" i="11"/>
  <c r="H33" i="11"/>
  <c r="I4" i="17"/>
  <c r="C53" i="11" s="1"/>
  <c r="I5" i="17"/>
  <c r="D53" i="11" s="1"/>
  <c r="I6" i="17"/>
  <c r="E53" i="11" s="1"/>
  <c r="I8" i="17"/>
  <c r="I9" i="17"/>
  <c r="H53" i="11" s="1"/>
  <c r="I10" i="17"/>
  <c r="I53" i="11" s="1"/>
  <c r="I11" i="17"/>
  <c r="J53" i="11" s="1"/>
  <c r="I12" i="17"/>
  <c r="K53" i="11" s="1"/>
  <c r="I3" i="17"/>
  <c r="B53" i="11" s="1"/>
  <c r="J30" i="11"/>
  <c r="K30" i="11"/>
  <c r="I30" i="11"/>
  <c r="K29" i="11"/>
  <c r="J29" i="11"/>
  <c r="I29" i="11"/>
  <c r="H29" i="11"/>
  <c r="G29" i="11"/>
  <c r="J28" i="11"/>
  <c r="K28" i="11"/>
  <c r="I28" i="11"/>
  <c r="H28" i="11"/>
  <c r="J25" i="11"/>
  <c r="K25" i="11"/>
  <c r="I25" i="11"/>
  <c r="J24" i="11"/>
  <c r="K24" i="11"/>
  <c r="I24" i="11"/>
  <c r="H24" i="11"/>
  <c r="G24" i="11"/>
  <c r="J23" i="11"/>
  <c r="K23" i="11"/>
  <c r="I23" i="11"/>
  <c r="H23" i="11"/>
  <c r="J20" i="11"/>
  <c r="K20" i="11"/>
  <c r="I20" i="11"/>
  <c r="H20" i="11"/>
  <c r="G20" i="11"/>
  <c r="F44" i="11"/>
  <c r="E44" i="11"/>
  <c r="D44" i="11"/>
  <c r="C44" i="11"/>
  <c r="B44" i="11"/>
  <c r="E43" i="11"/>
  <c r="D43" i="11"/>
  <c r="C43" i="11"/>
  <c r="B43" i="11"/>
  <c r="F40" i="11"/>
  <c r="E40" i="11"/>
  <c r="D40" i="11"/>
  <c r="C40" i="11"/>
  <c r="B40" i="11"/>
  <c r="F39" i="11"/>
  <c r="E39" i="11"/>
  <c r="D39" i="11"/>
  <c r="C39" i="11"/>
  <c r="B39" i="11"/>
  <c r="F38" i="11"/>
  <c r="E38" i="11"/>
  <c r="D38" i="11"/>
  <c r="C38" i="11"/>
  <c r="B38" i="11"/>
  <c r="E35" i="11"/>
  <c r="D35" i="11"/>
  <c r="C35" i="11"/>
  <c r="B35" i="11"/>
  <c r="F34" i="11"/>
  <c r="E34" i="11"/>
  <c r="D34" i="11"/>
  <c r="C34" i="11"/>
  <c r="B34" i="11"/>
  <c r="F33" i="11"/>
  <c r="E33" i="11"/>
  <c r="D33" i="11"/>
  <c r="C33" i="11"/>
  <c r="B33" i="11"/>
  <c r="F30" i="11"/>
  <c r="E30" i="11"/>
  <c r="D30" i="11"/>
  <c r="C30" i="11"/>
  <c r="B30" i="11"/>
  <c r="F29" i="11"/>
  <c r="E29" i="11"/>
  <c r="D29" i="11"/>
  <c r="C29" i="11"/>
  <c r="B29" i="11"/>
  <c r="E28" i="11"/>
  <c r="D28" i="11"/>
  <c r="C28" i="11"/>
  <c r="B28" i="11"/>
  <c r="F25" i="11"/>
  <c r="E25" i="11"/>
  <c r="D25" i="11"/>
  <c r="C25" i="11"/>
  <c r="B25" i="11"/>
  <c r="F24" i="11"/>
  <c r="E24" i="11"/>
  <c r="D24" i="11"/>
  <c r="C24" i="11"/>
  <c r="B24" i="11"/>
  <c r="F23" i="11"/>
  <c r="E23" i="11"/>
  <c r="D23" i="11"/>
  <c r="C23" i="11"/>
  <c r="B23" i="11"/>
  <c r="F20" i="11"/>
  <c r="E20" i="11"/>
  <c r="D20" i="11"/>
  <c r="C20" i="11"/>
  <c r="B20" i="11"/>
  <c r="J19" i="11"/>
  <c r="K19" i="11"/>
  <c r="I19" i="11"/>
  <c r="H19" i="11"/>
  <c r="F19" i="11"/>
  <c r="E19" i="11"/>
  <c r="D19" i="11"/>
  <c r="C19" i="11"/>
  <c r="B19" i="11"/>
  <c r="K16" i="11"/>
  <c r="I16" i="11"/>
  <c r="J16" i="11"/>
  <c r="H16" i="11"/>
  <c r="G16" i="11"/>
  <c r="F16" i="11"/>
  <c r="E16" i="11"/>
  <c r="D16" i="11"/>
  <c r="C16" i="11"/>
  <c r="B16" i="11"/>
  <c r="K15" i="11"/>
  <c r="J15" i="11"/>
  <c r="I15" i="11"/>
  <c r="H15" i="11"/>
  <c r="E18" i="18"/>
  <c r="E19" i="18"/>
  <c r="E20" i="18"/>
  <c r="E21" i="18"/>
  <c r="E22" i="18"/>
  <c r="E23" i="18"/>
  <c r="E24" i="18"/>
  <c r="E25" i="18"/>
  <c r="E26" i="18"/>
  <c r="E30" i="18" s="1"/>
  <c r="D18" i="18"/>
  <c r="D19" i="18"/>
  <c r="D20" i="18"/>
  <c r="D22" i="18"/>
  <c r="D23" i="18"/>
  <c r="D24" i="18"/>
  <c r="D25" i="18"/>
  <c r="D26" i="18"/>
  <c r="D30" i="18" s="1"/>
  <c r="C18" i="18"/>
  <c r="C19" i="18"/>
  <c r="C20" i="18"/>
  <c r="C21" i="18"/>
  <c r="C22" i="18"/>
  <c r="C23" i="18"/>
  <c r="C24" i="18"/>
  <c r="C25" i="18"/>
  <c r="C26" i="18"/>
  <c r="C30" i="18" s="1"/>
  <c r="C17" i="18"/>
  <c r="D17" i="18"/>
  <c r="E17" i="18"/>
  <c r="B18" i="18"/>
  <c r="B19" i="18"/>
  <c r="B20" i="18"/>
  <c r="B21" i="18"/>
  <c r="B22" i="18"/>
  <c r="B23" i="18"/>
  <c r="B24" i="18"/>
  <c r="B25" i="18"/>
  <c r="B26" i="18"/>
  <c r="B30" i="18" s="1"/>
  <c r="H63" i="11" l="1"/>
  <c r="J63" i="11"/>
  <c r="J65" i="11" s="1"/>
  <c r="I63" i="11"/>
  <c r="K63" i="11"/>
  <c r="B49" i="11"/>
  <c r="C49" i="11"/>
  <c r="K49" i="11"/>
  <c r="I48" i="11"/>
  <c r="I58" i="11" s="1"/>
  <c r="G49" i="11"/>
  <c r="E50" i="11"/>
  <c r="I50" i="11"/>
  <c r="C28" i="18"/>
  <c r="E28" i="18"/>
  <c r="J48" i="11"/>
  <c r="J58" i="11" s="1"/>
  <c r="H49" i="11"/>
  <c r="K48" i="11"/>
  <c r="K58" i="11" s="1"/>
  <c r="E49" i="11"/>
  <c r="J49" i="11"/>
  <c r="K50" i="11"/>
  <c r="D49" i="11"/>
  <c r="H48" i="11"/>
  <c r="H58" i="11" s="1"/>
  <c r="F49" i="11"/>
  <c r="I49" i="11"/>
  <c r="J50" i="11"/>
  <c r="D50" i="11"/>
  <c r="B50" i="11"/>
  <c r="C50" i="11"/>
  <c r="I22" i="9"/>
  <c r="J22" i="9"/>
  <c r="K22" i="9"/>
  <c r="L22" i="9"/>
  <c r="M22" i="9"/>
  <c r="N22" i="9"/>
  <c r="H22" i="9"/>
  <c r="E13" i="17"/>
  <c r="L28" i="11" s="1"/>
  <c r="F13" i="17"/>
  <c r="G13" i="17"/>
  <c r="L38" i="11" s="1"/>
  <c r="H13" i="17"/>
  <c r="L43" i="11" s="1"/>
  <c r="D14" i="17"/>
  <c r="M23" i="11" s="1"/>
  <c r="C20" i="17"/>
  <c r="D20" i="17"/>
  <c r="E20" i="17"/>
  <c r="F20" i="17"/>
  <c r="G20" i="17"/>
  <c r="H20" i="17"/>
  <c r="C21" i="17"/>
  <c r="D21" i="17"/>
  <c r="E21" i="17"/>
  <c r="F21" i="17"/>
  <c r="G21" i="17"/>
  <c r="H21" i="17"/>
  <c r="C22" i="17"/>
  <c r="D22" i="17"/>
  <c r="E22" i="17"/>
  <c r="F22" i="17"/>
  <c r="G22" i="17"/>
  <c r="H22" i="17"/>
  <c r="C23" i="17"/>
  <c r="D23" i="17"/>
  <c r="F23" i="17"/>
  <c r="G23" i="17"/>
  <c r="C24" i="17"/>
  <c r="D24" i="17"/>
  <c r="F24" i="17"/>
  <c r="G24" i="17"/>
  <c r="C25" i="17"/>
  <c r="D25" i="17"/>
  <c r="E25" i="17"/>
  <c r="F25" i="17"/>
  <c r="G25" i="17"/>
  <c r="H25" i="17"/>
  <c r="C26" i="17"/>
  <c r="D26" i="17"/>
  <c r="E26" i="17"/>
  <c r="F26" i="17"/>
  <c r="G26" i="17"/>
  <c r="H26" i="17"/>
  <c r="C27" i="17"/>
  <c r="D27" i="17"/>
  <c r="E27" i="17"/>
  <c r="F27" i="17"/>
  <c r="G27" i="17"/>
  <c r="H27" i="17"/>
  <c r="C28" i="17"/>
  <c r="D28" i="17"/>
  <c r="E28" i="17"/>
  <c r="F28" i="17"/>
  <c r="G28" i="17"/>
  <c r="H28" i="17"/>
  <c r="B21" i="17"/>
  <c r="B22" i="17"/>
  <c r="B23" i="17"/>
  <c r="B24" i="17"/>
  <c r="B25" i="17"/>
  <c r="B26" i="17"/>
  <c r="B27" i="17"/>
  <c r="B28" i="17"/>
  <c r="N27" i="9" l="1"/>
  <c r="N47" i="9" s="1"/>
  <c r="H14" i="17"/>
  <c r="M43" i="11" s="1"/>
  <c r="K65" i="11"/>
  <c r="I65" i="11"/>
  <c r="O23" i="11"/>
  <c r="L26" i="9"/>
  <c r="L34" i="9" s="1"/>
  <c r="O43" i="11"/>
  <c r="D30" i="17"/>
  <c r="C30" i="17"/>
  <c r="C32" i="17" s="1"/>
  <c r="C13" i="17" s="1"/>
  <c r="L19" i="11" s="1"/>
  <c r="F30" i="17"/>
  <c r="G30" i="17"/>
  <c r="F14" i="17"/>
  <c r="M33" i="11" s="1"/>
  <c r="L33" i="11"/>
  <c r="E14" i="17"/>
  <c r="M28" i="11" s="1"/>
  <c r="N26" i="9"/>
  <c r="N46" i="9" s="1"/>
  <c r="J26" i="9"/>
  <c r="J46" i="9" s="1"/>
  <c r="G14" i="17"/>
  <c r="M38" i="11" s="1"/>
  <c r="O38" i="11" s="1"/>
  <c r="M26" i="9"/>
  <c r="M46" i="9" s="1"/>
  <c r="J27" i="9"/>
  <c r="J47" i="9" s="1"/>
  <c r="M34" i="9"/>
  <c r="K26" i="9"/>
  <c r="K46" i="9" s="1"/>
  <c r="L46" i="9"/>
  <c r="N35" i="9"/>
  <c r="N34" i="9" l="1"/>
  <c r="O33" i="11"/>
  <c r="C14" i="17"/>
  <c r="M19" i="11" s="1"/>
  <c r="O19" i="11" s="1"/>
  <c r="I26" i="9"/>
  <c r="I46" i="9" s="1"/>
  <c r="O28" i="11"/>
  <c r="K34" i="9"/>
  <c r="L27" i="9"/>
  <c r="L35" i="9" s="1"/>
  <c r="J35" i="9"/>
  <c r="I27" i="9"/>
  <c r="I47" i="9" s="1"/>
  <c r="M27" i="9"/>
  <c r="K27" i="9"/>
  <c r="J34" i="9"/>
  <c r="M3" i="23"/>
  <c r="N3" i="23"/>
  <c r="O3" i="23"/>
  <c r="P3" i="23"/>
  <c r="Q3" i="23"/>
  <c r="R3" i="23"/>
  <c r="S3" i="23"/>
  <c r="T3" i="23"/>
  <c r="U3" i="23"/>
  <c r="V3" i="23"/>
  <c r="W3" i="23"/>
  <c r="X3" i="23"/>
  <c r="Y3" i="23"/>
  <c r="Z3" i="23"/>
  <c r="AA3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L4" i="23"/>
  <c r="L5" i="23"/>
  <c r="L6" i="23"/>
  <c r="L7" i="23"/>
  <c r="L3" i="23"/>
  <c r="B123" i="27"/>
  <c r="C2" i="27"/>
  <c r="C122" i="27"/>
  <c r="C110" i="27"/>
  <c r="C98" i="27"/>
  <c r="C86" i="27"/>
  <c r="C74" i="27"/>
  <c r="C62" i="27"/>
  <c r="C50" i="27"/>
  <c r="C38" i="27"/>
  <c r="C26" i="27"/>
  <c r="C14" i="27"/>
  <c r="A4" i="9"/>
  <c r="A5" i="9"/>
  <c r="A6" i="9"/>
  <c r="A7" i="9"/>
  <c r="A8" i="9"/>
  <c r="A9" i="9"/>
  <c r="A10" i="9"/>
  <c r="A11" i="9"/>
  <c r="A12" i="9"/>
  <c r="A22" i="9" s="1"/>
  <c r="A13" i="9"/>
  <c r="A14" i="9"/>
  <c r="A3" i="9"/>
  <c r="G6" i="9"/>
  <c r="E54" i="11" s="1"/>
  <c r="E59" i="11" s="1"/>
  <c r="G7" i="9"/>
  <c r="F54" i="11" s="1"/>
  <c r="F59" i="11" s="1"/>
  <c r="G10" i="9"/>
  <c r="G11" i="9"/>
  <c r="G3" i="9"/>
  <c r="B54" i="11" s="1"/>
  <c r="G4" i="9"/>
  <c r="C54" i="11" s="1"/>
  <c r="C59" i="11" s="1"/>
  <c r="G5" i="9"/>
  <c r="D54" i="11" s="1"/>
  <c r="D59" i="11" s="1"/>
  <c r="G8" i="9"/>
  <c r="G9" i="9"/>
  <c r="G12" i="9"/>
  <c r="C123" i="27" l="1"/>
  <c r="C124" i="27" s="1"/>
  <c r="L47" i="9"/>
  <c r="K47" i="9"/>
  <c r="K35" i="9"/>
  <c r="M47" i="9"/>
  <c r="M35" i="9"/>
  <c r="I54" i="11"/>
  <c r="I59" i="11" s="1"/>
  <c r="I11" i="11"/>
  <c r="K11" i="11"/>
  <c r="K54" i="11"/>
  <c r="K59" i="11" s="1"/>
  <c r="H54" i="11"/>
  <c r="H59" i="11" s="1"/>
  <c r="H11" i="11"/>
  <c r="G54" i="11"/>
  <c r="G59" i="11" s="1"/>
  <c r="G11" i="11"/>
  <c r="J54" i="11"/>
  <c r="J59" i="11" s="1"/>
  <c r="J11" i="11"/>
  <c r="L18" i="23"/>
  <c r="X18" i="23"/>
  <c r="X19" i="23" s="1"/>
  <c r="B15" i="23" s="1"/>
  <c r="T18" i="23"/>
  <c r="T19" i="23" s="1"/>
  <c r="B11" i="23" s="1"/>
  <c r="W18" i="23"/>
  <c r="W19" i="23" s="1"/>
  <c r="B14" i="23" s="1"/>
  <c r="O18" i="23"/>
  <c r="O19" i="23" s="1"/>
  <c r="B6" i="23" s="1"/>
  <c r="Z18" i="23"/>
  <c r="Z19" i="23" s="1"/>
  <c r="B17" i="23" s="1"/>
  <c r="V18" i="23"/>
  <c r="V19" i="23" s="1"/>
  <c r="B13" i="23" s="1"/>
  <c r="R18" i="23"/>
  <c r="N18" i="23"/>
  <c r="N19" i="23" s="1"/>
  <c r="B5" i="23" s="1"/>
  <c r="P18" i="23"/>
  <c r="P19" i="23" s="1"/>
  <c r="B7" i="23" s="1"/>
  <c r="AA18" i="23"/>
  <c r="S18" i="23"/>
  <c r="Y18" i="23"/>
  <c r="Y19" i="23" s="1"/>
  <c r="B16" i="23" s="1"/>
  <c r="U18" i="23"/>
  <c r="Q18" i="23"/>
  <c r="Q19" i="23" s="1"/>
  <c r="B8" i="23" s="1"/>
  <c r="M18" i="23"/>
  <c r="M19" i="23" s="1"/>
  <c r="B4" i="23" s="1"/>
  <c r="L19" i="23"/>
  <c r="B3" i="23" s="1"/>
  <c r="AA19" i="23"/>
  <c r="B18" i="23" s="1"/>
  <c r="F122" i="33"/>
  <c r="C241" i="25" s="1"/>
  <c r="E122" i="33"/>
  <c r="B122" i="33"/>
  <c r="F121" i="33"/>
  <c r="C240" i="25" s="1"/>
  <c r="E121" i="33"/>
  <c r="B240" i="25" s="1"/>
  <c r="B121" i="33"/>
  <c r="F120" i="33"/>
  <c r="C239" i="25" s="1"/>
  <c r="E120" i="33"/>
  <c r="B239" i="25" s="1"/>
  <c r="B120" i="33"/>
  <c r="F119" i="33"/>
  <c r="C238" i="25" s="1"/>
  <c r="E119" i="33"/>
  <c r="B238" i="25" s="1"/>
  <c r="B119" i="33"/>
  <c r="F118" i="33"/>
  <c r="C237" i="25" s="1"/>
  <c r="E118" i="33"/>
  <c r="B118" i="33"/>
  <c r="F117" i="33"/>
  <c r="C236" i="25" s="1"/>
  <c r="E117" i="33"/>
  <c r="B236" i="25" s="1"/>
  <c r="B117" i="33"/>
  <c r="F116" i="33"/>
  <c r="C235" i="25" s="1"/>
  <c r="E116" i="33"/>
  <c r="B235" i="25" s="1"/>
  <c r="B116" i="33"/>
  <c r="F115" i="33"/>
  <c r="C234" i="25" s="1"/>
  <c r="E115" i="33"/>
  <c r="B234" i="25" s="1"/>
  <c r="B115" i="33"/>
  <c r="F114" i="33"/>
  <c r="C233" i="25" s="1"/>
  <c r="E114" i="33"/>
  <c r="B233" i="25" s="1"/>
  <c r="B114" i="33"/>
  <c r="F113" i="33"/>
  <c r="C232" i="25" s="1"/>
  <c r="E113" i="33"/>
  <c r="B232" i="25" s="1"/>
  <c r="B113" i="33"/>
  <c r="F112" i="33"/>
  <c r="C231" i="25" s="1"/>
  <c r="E112" i="33"/>
  <c r="B231" i="25" s="1"/>
  <c r="B112" i="33"/>
  <c r="F111" i="33"/>
  <c r="C230" i="25" s="1"/>
  <c r="E111" i="33"/>
  <c r="B230" i="25" s="1"/>
  <c r="B111" i="33"/>
  <c r="F110" i="33"/>
  <c r="C229" i="25" s="1"/>
  <c r="E110" i="33"/>
  <c r="B229" i="25" s="1"/>
  <c r="B110" i="33"/>
  <c r="F109" i="33"/>
  <c r="C228" i="25" s="1"/>
  <c r="E109" i="33"/>
  <c r="B228" i="25" s="1"/>
  <c r="B109" i="33"/>
  <c r="F108" i="33"/>
  <c r="C227" i="25" s="1"/>
  <c r="E108" i="33"/>
  <c r="B227" i="25" s="1"/>
  <c r="B108" i="33"/>
  <c r="F107" i="33"/>
  <c r="C226" i="25" s="1"/>
  <c r="E107" i="33"/>
  <c r="B226" i="25" s="1"/>
  <c r="B107" i="33"/>
  <c r="F106" i="33"/>
  <c r="C225" i="25" s="1"/>
  <c r="E106" i="33"/>
  <c r="B225" i="25" s="1"/>
  <c r="B106" i="33"/>
  <c r="F105" i="33"/>
  <c r="C224" i="25" s="1"/>
  <c r="E105" i="33"/>
  <c r="B224" i="25" s="1"/>
  <c r="B105" i="33"/>
  <c r="F104" i="33"/>
  <c r="C223" i="25" s="1"/>
  <c r="E104" i="33"/>
  <c r="B223" i="25" s="1"/>
  <c r="B104" i="33"/>
  <c r="F103" i="33"/>
  <c r="C222" i="25" s="1"/>
  <c r="E103" i="33"/>
  <c r="B222" i="25" s="1"/>
  <c r="B103" i="33"/>
  <c r="F102" i="33"/>
  <c r="C221" i="25" s="1"/>
  <c r="E102" i="33"/>
  <c r="B221" i="25" s="1"/>
  <c r="B102" i="33"/>
  <c r="F101" i="33"/>
  <c r="C220" i="25" s="1"/>
  <c r="E101" i="33"/>
  <c r="B220" i="25" s="1"/>
  <c r="B101" i="33"/>
  <c r="F100" i="33"/>
  <c r="C219" i="25" s="1"/>
  <c r="E100" i="33"/>
  <c r="B219" i="25" s="1"/>
  <c r="B100" i="33"/>
  <c r="F99" i="33"/>
  <c r="C218" i="25" s="1"/>
  <c r="E99" i="33"/>
  <c r="B218" i="25" s="1"/>
  <c r="B99" i="33"/>
  <c r="F98" i="33"/>
  <c r="C217" i="25" s="1"/>
  <c r="E98" i="33"/>
  <c r="B217" i="25" s="1"/>
  <c r="B98" i="33"/>
  <c r="F97" i="33"/>
  <c r="C216" i="25" s="1"/>
  <c r="E97" i="33"/>
  <c r="B216" i="25" s="1"/>
  <c r="B97" i="33"/>
  <c r="F96" i="33"/>
  <c r="C215" i="25" s="1"/>
  <c r="E96" i="33"/>
  <c r="B215" i="25" s="1"/>
  <c r="B96" i="33"/>
  <c r="F95" i="33"/>
  <c r="C214" i="25" s="1"/>
  <c r="E95" i="33"/>
  <c r="B214" i="25" s="1"/>
  <c r="B95" i="33"/>
  <c r="F94" i="33"/>
  <c r="C213" i="25" s="1"/>
  <c r="E94" i="33"/>
  <c r="B213" i="25" s="1"/>
  <c r="B94" i="33"/>
  <c r="F93" i="33"/>
  <c r="C212" i="25" s="1"/>
  <c r="E93" i="33"/>
  <c r="B212" i="25" s="1"/>
  <c r="B93" i="33"/>
  <c r="F92" i="33"/>
  <c r="C211" i="25" s="1"/>
  <c r="E92" i="33"/>
  <c r="B211" i="25" s="1"/>
  <c r="B92" i="33"/>
  <c r="F91" i="33"/>
  <c r="C210" i="25" s="1"/>
  <c r="E91" i="33"/>
  <c r="B210" i="25" s="1"/>
  <c r="B91" i="33"/>
  <c r="F90" i="33"/>
  <c r="C209" i="25" s="1"/>
  <c r="E90" i="33"/>
  <c r="B209" i="25" s="1"/>
  <c r="B90" i="33"/>
  <c r="F89" i="33"/>
  <c r="C208" i="25" s="1"/>
  <c r="E89" i="33"/>
  <c r="B208" i="25" s="1"/>
  <c r="B89" i="33"/>
  <c r="F88" i="33"/>
  <c r="C207" i="25" s="1"/>
  <c r="E88" i="33"/>
  <c r="B207" i="25" s="1"/>
  <c r="B88" i="33"/>
  <c r="F87" i="33"/>
  <c r="C206" i="25" s="1"/>
  <c r="E87" i="33"/>
  <c r="B206" i="25" s="1"/>
  <c r="B87" i="33"/>
  <c r="F86" i="33"/>
  <c r="C205" i="25" s="1"/>
  <c r="E86" i="33"/>
  <c r="B205" i="25" s="1"/>
  <c r="B86" i="33"/>
  <c r="F85" i="33"/>
  <c r="C204" i="25" s="1"/>
  <c r="E85" i="33"/>
  <c r="B204" i="25" s="1"/>
  <c r="B85" i="33"/>
  <c r="F84" i="33"/>
  <c r="C203" i="25" s="1"/>
  <c r="E84" i="33"/>
  <c r="B203" i="25" s="1"/>
  <c r="B84" i="33"/>
  <c r="F83" i="33"/>
  <c r="C202" i="25" s="1"/>
  <c r="E83" i="33"/>
  <c r="B202" i="25" s="1"/>
  <c r="B83" i="33"/>
  <c r="F82" i="33"/>
  <c r="C201" i="25" s="1"/>
  <c r="E82" i="33"/>
  <c r="B201" i="25" s="1"/>
  <c r="B82" i="33"/>
  <c r="F81" i="33"/>
  <c r="C200" i="25" s="1"/>
  <c r="E81" i="33"/>
  <c r="B200" i="25" s="1"/>
  <c r="B81" i="33"/>
  <c r="F80" i="33"/>
  <c r="C199" i="25" s="1"/>
  <c r="E80" i="33"/>
  <c r="B199" i="25" s="1"/>
  <c r="B80" i="33"/>
  <c r="F79" i="33"/>
  <c r="C198" i="25" s="1"/>
  <c r="E79" i="33"/>
  <c r="B198" i="25" s="1"/>
  <c r="B79" i="33"/>
  <c r="F78" i="33"/>
  <c r="C197" i="25" s="1"/>
  <c r="E78" i="33"/>
  <c r="B197" i="25" s="1"/>
  <c r="B78" i="33"/>
  <c r="F77" i="33"/>
  <c r="C196" i="25" s="1"/>
  <c r="E77" i="33"/>
  <c r="B196" i="25" s="1"/>
  <c r="B77" i="33"/>
  <c r="F76" i="33"/>
  <c r="C195" i="25" s="1"/>
  <c r="E76" i="33"/>
  <c r="B195" i="25" s="1"/>
  <c r="B76" i="33"/>
  <c r="F75" i="33"/>
  <c r="C194" i="25" s="1"/>
  <c r="E75" i="33"/>
  <c r="B194" i="25" s="1"/>
  <c r="B75" i="33"/>
  <c r="F74" i="33"/>
  <c r="C193" i="25" s="1"/>
  <c r="E74" i="33"/>
  <c r="B193" i="25" s="1"/>
  <c r="B74" i="33"/>
  <c r="F73" i="33"/>
  <c r="C192" i="25" s="1"/>
  <c r="E73" i="33"/>
  <c r="B192" i="25" s="1"/>
  <c r="B254" i="25" s="1"/>
  <c r="B73" i="33"/>
  <c r="F72" i="33"/>
  <c r="C191" i="25" s="1"/>
  <c r="C253" i="25" s="1"/>
  <c r="E72" i="33"/>
  <c r="B191" i="25" s="1"/>
  <c r="B253" i="25" s="1"/>
  <c r="B72" i="33"/>
  <c r="F71" i="33"/>
  <c r="C190" i="25" s="1"/>
  <c r="E71" i="33"/>
  <c r="B71" i="33"/>
  <c r="F70" i="33"/>
  <c r="C189" i="25" s="1"/>
  <c r="E70" i="33"/>
  <c r="B189" i="25" s="1"/>
  <c r="B70" i="33"/>
  <c r="F69" i="33"/>
  <c r="C188" i="25" s="1"/>
  <c r="C250" i="25" s="1"/>
  <c r="E69" i="33"/>
  <c r="B188" i="25" s="1"/>
  <c r="B69" i="33"/>
  <c r="F68" i="33"/>
  <c r="C187" i="25" s="1"/>
  <c r="C249" i="25" s="1"/>
  <c r="E68" i="33"/>
  <c r="B187" i="25" s="1"/>
  <c r="B68" i="33"/>
  <c r="F67" i="33"/>
  <c r="C186" i="25" s="1"/>
  <c r="C248" i="25" s="1"/>
  <c r="E67" i="33"/>
  <c r="B67" i="33"/>
  <c r="F66" i="33"/>
  <c r="C185" i="25" s="1"/>
  <c r="E66" i="33"/>
  <c r="B185" i="25" s="1"/>
  <c r="B66" i="33"/>
  <c r="F65" i="33"/>
  <c r="C184" i="25" s="1"/>
  <c r="E65" i="33"/>
  <c r="B184" i="25" s="1"/>
  <c r="B246" i="25" s="1"/>
  <c r="B65" i="33"/>
  <c r="F64" i="33"/>
  <c r="C183" i="25" s="1"/>
  <c r="C245" i="25" s="1"/>
  <c r="E64" i="33"/>
  <c r="B183" i="25" s="1"/>
  <c r="B245" i="25" s="1"/>
  <c r="B64" i="33"/>
  <c r="F63" i="33"/>
  <c r="C182" i="25" s="1"/>
  <c r="E63" i="33"/>
  <c r="B63" i="33"/>
  <c r="F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M15" i="33"/>
  <c r="B15" i="33"/>
  <c r="B14" i="33"/>
  <c r="B13" i="33"/>
  <c r="B12" i="33"/>
  <c r="B11" i="33"/>
  <c r="B10" i="33"/>
  <c r="B9" i="33"/>
  <c r="B8" i="33"/>
  <c r="B7" i="33"/>
  <c r="B6" i="33"/>
  <c r="B5" i="33"/>
  <c r="B4" i="33"/>
  <c r="B3" i="33"/>
  <c r="C251" i="25" l="1"/>
  <c r="B155" i="33"/>
  <c r="C246" i="25"/>
  <c r="B249" i="25"/>
  <c r="C254" i="25"/>
  <c r="C244" i="25"/>
  <c r="B247" i="25"/>
  <c r="C252" i="25"/>
  <c r="C247" i="25"/>
  <c r="B250" i="25"/>
  <c r="C255" i="25"/>
  <c r="U19" i="23"/>
  <c r="B12" i="23" s="1"/>
  <c r="S19" i="23"/>
  <c r="B10" i="23" s="1"/>
  <c r="R19" i="23"/>
  <c r="B9" i="23" s="1"/>
  <c r="B182" i="25"/>
  <c r="B244" i="25" s="1"/>
  <c r="B190" i="25"/>
  <c r="B252" i="25" s="1"/>
  <c r="B186" i="25"/>
  <c r="B248" i="25" s="1"/>
  <c r="B237" i="25"/>
  <c r="B251" i="25" s="1"/>
  <c r="B241" i="25"/>
  <c r="B255" i="25" s="1"/>
  <c r="D3" i="23"/>
  <c r="B156" i="33"/>
  <c r="B157" i="33"/>
  <c r="B154" i="33"/>
  <c r="B158" i="33"/>
  <c r="F123" i="33"/>
  <c r="F135" i="33" s="1"/>
  <c r="F124" i="33"/>
  <c r="F136" i="33" s="1"/>
  <c r="F125" i="33"/>
  <c r="F137" i="33" s="1"/>
  <c r="F126" i="33"/>
  <c r="F138" i="33" s="1"/>
  <c r="F127" i="33"/>
  <c r="F139" i="33" s="1"/>
  <c r="F128" i="33"/>
  <c r="F140" i="33" s="1"/>
  <c r="F129" i="33"/>
  <c r="F141" i="33" s="1"/>
  <c r="F130" i="33"/>
  <c r="F142" i="33" s="1"/>
  <c r="F131" i="33"/>
  <c r="F143" i="33" s="1"/>
  <c r="F132" i="33"/>
  <c r="F144" i="33" s="1"/>
  <c r="F133" i="33"/>
  <c r="F145" i="33" s="1"/>
  <c r="F134" i="33"/>
  <c r="F146" i="33" s="1"/>
  <c r="E123" i="33"/>
  <c r="E124" i="33"/>
  <c r="E125" i="33"/>
  <c r="E126" i="33"/>
  <c r="E127" i="33"/>
  <c r="E128" i="33"/>
  <c r="E129" i="33"/>
  <c r="E130" i="33"/>
  <c r="E131" i="33"/>
  <c r="E132" i="33"/>
  <c r="E133" i="33"/>
  <c r="E134" i="33"/>
  <c r="B149" i="33"/>
  <c r="T226" i="33"/>
  <c r="T228" i="33"/>
  <c r="M16" i="33"/>
  <c r="T229" i="33"/>
  <c r="T230" i="33"/>
  <c r="B150" i="33"/>
  <c r="B151" i="33"/>
  <c r="B152" i="33"/>
  <c r="B19" i="23" l="1"/>
  <c r="E137" i="33"/>
  <c r="E144" i="33"/>
  <c r="E140" i="33"/>
  <c r="E136" i="33"/>
  <c r="E145" i="33"/>
  <c r="E141" i="33"/>
  <c r="E146" i="33"/>
  <c r="E143" i="33"/>
  <c r="E139" i="33"/>
  <c r="E135" i="33"/>
  <c r="E142" i="33"/>
  <c r="E138" i="33"/>
  <c r="T232" i="33"/>
  <c r="T231" i="33"/>
  <c r="T227" i="33"/>
  <c r="M17" i="33"/>
  <c r="M18" i="33" l="1"/>
  <c r="M19" i="33" l="1"/>
  <c r="M20" i="33" l="1"/>
  <c r="M21" i="33" l="1"/>
  <c r="M22" i="33" l="1"/>
  <c r="M23" i="33" l="1"/>
  <c r="M24" i="33" l="1"/>
  <c r="M25" i="33" l="1"/>
  <c r="M122" i="33" l="1"/>
  <c r="M110" i="33"/>
  <c r="M98" i="33"/>
  <c r="M86" i="33"/>
  <c r="M74" i="33"/>
  <c r="M87" i="33" l="1"/>
  <c r="M88" i="33" s="1"/>
  <c r="M89" i="33" s="1"/>
  <c r="M90" i="33" s="1"/>
  <c r="M91" i="33" s="1"/>
  <c r="M92" i="33" s="1"/>
  <c r="M93" i="33" s="1"/>
  <c r="M94" i="33" s="1"/>
  <c r="M95" i="33" s="1"/>
  <c r="M96" i="33" s="1"/>
  <c r="M97" i="33" s="1"/>
  <c r="M99" i="33"/>
  <c r="M100" i="33" s="1"/>
  <c r="M101" i="33" s="1"/>
  <c r="M102" i="33" s="1"/>
  <c r="M103" i="33" s="1"/>
  <c r="M104" i="33" s="1"/>
  <c r="M105" i="33" s="1"/>
  <c r="M106" i="33" s="1"/>
  <c r="M107" i="33" s="1"/>
  <c r="M108" i="33" s="1"/>
  <c r="M109" i="33" s="1"/>
  <c r="M75" i="33"/>
  <c r="M76" i="33" s="1"/>
  <c r="M111" i="33"/>
  <c r="M112" i="33" s="1"/>
  <c r="M113" i="33" s="1"/>
  <c r="M114" i="33" s="1"/>
  <c r="M115" i="33" s="1"/>
  <c r="F7" i="18"/>
  <c r="F8" i="18"/>
  <c r="F9" i="18"/>
  <c r="I55" i="11" s="1"/>
  <c r="I60" i="11" s="1"/>
  <c r="F10" i="18"/>
  <c r="J55" i="11" s="1"/>
  <c r="J60" i="11" s="1"/>
  <c r="F11" i="18"/>
  <c r="K55" i="11" s="1"/>
  <c r="K60" i="11" s="1"/>
  <c r="M26" i="33"/>
  <c r="M38" i="33"/>
  <c r="M50" i="33"/>
  <c r="M116" i="33" l="1"/>
  <c r="M117" i="33" s="1"/>
  <c r="M118" i="33" s="1"/>
  <c r="M119" i="33" s="1"/>
  <c r="M120" i="33" s="1"/>
  <c r="M121" i="33" s="1"/>
  <c r="M39" i="33"/>
  <c r="M40" i="33" s="1"/>
  <c r="M41" i="33" s="1"/>
  <c r="M42" i="33" s="1"/>
  <c r="M43" i="33" s="1"/>
  <c r="M44" i="33" s="1"/>
  <c r="M45" i="33" s="1"/>
  <c r="M46" i="33" s="1"/>
  <c r="M47" i="33" s="1"/>
  <c r="M48" i="33" s="1"/>
  <c r="M49" i="33" s="1"/>
  <c r="M27" i="33"/>
  <c r="M28" i="33" s="1"/>
  <c r="M29" i="33" s="1"/>
  <c r="M30" i="33" s="1"/>
  <c r="M31" i="33" s="1"/>
  <c r="M32" i="33" s="1"/>
  <c r="M33" i="33" s="1"/>
  <c r="M34" i="33" s="1"/>
  <c r="M35" i="33" s="1"/>
  <c r="M36" i="33" s="1"/>
  <c r="M37" i="33" s="1"/>
  <c r="M77" i="33"/>
  <c r="M78" i="33" s="1"/>
  <c r="M79" i="33" s="1"/>
  <c r="M80" i="33" s="1"/>
  <c r="M81" i="33" s="1"/>
  <c r="M82" i="33" s="1"/>
  <c r="M83" i="33" s="1"/>
  <c r="M84" i="33" s="1"/>
  <c r="M85" i="33" s="1"/>
  <c r="C176" i="32"/>
  <c r="C166" i="32"/>
  <c r="E155" i="32"/>
  <c r="F154" i="32"/>
  <c r="F156" i="32" s="1"/>
  <c r="E153" i="32"/>
  <c r="E152" i="32"/>
  <c r="C144" i="32"/>
  <c r="B144" i="32"/>
  <c r="F143" i="32"/>
  <c r="E142" i="32"/>
  <c r="F142" i="32" s="1"/>
  <c r="D141" i="32"/>
  <c r="E141" i="32" s="1"/>
  <c r="F141" i="32" s="1"/>
  <c r="E140" i="32"/>
  <c r="B138" i="32"/>
  <c r="F134" i="32"/>
  <c r="A129" i="32"/>
  <c r="H51" i="32"/>
  <c r="G51" i="32"/>
  <c r="F51" i="32"/>
  <c r="E51" i="32"/>
  <c r="D51" i="32"/>
  <c r="C51" i="32"/>
  <c r="B51" i="32"/>
  <c r="H50" i="32"/>
  <c r="G50" i="32"/>
  <c r="F50" i="32"/>
  <c r="E50" i="32"/>
  <c r="D50" i="32"/>
  <c r="C50" i="32"/>
  <c r="B50" i="32"/>
  <c r="H49" i="32"/>
  <c r="G49" i="32"/>
  <c r="F49" i="32"/>
  <c r="E49" i="32"/>
  <c r="D49" i="32"/>
  <c r="C49" i="32"/>
  <c r="B49" i="32"/>
  <c r="H48" i="32"/>
  <c r="G48" i="32"/>
  <c r="F48" i="32"/>
  <c r="E48" i="32"/>
  <c r="D48" i="32"/>
  <c r="C48" i="32"/>
  <c r="B48" i="32"/>
  <c r="H47" i="32"/>
  <c r="G47" i="32"/>
  <c r="F47" i="32"/>
  <c r="E47" i="32"/>
  <c r="D47" i="32"/>
  <c r="C47" i="32"/>
  <c r="B47" i="32"/>
  <c r="H46" i="32"/>
  <c r="G46" i="32"/>
  <c r="F46" i="32"/>
  <c r="E46" i="32"/>
  <c r="D46" i="32"/>
  <c r="C46" i="32"/>
  <c r="B46" i="32"/>
  <c r="H45" i="32"/>
  <c r="G45" i="32"/>
  <c r="F45" i="32"/>
  <c r="E45" i="32"/>
  <c r="D45" i="32"/>
  <c r="C45" i="32"/>
  <c r="B45" i="32"/>
  <c r="H44" i="32"/>
  <c r="G44" i="32"/>
  <c r="F44" i="32"/>
  <c r="E44" i="32"/>
  <c r="D44" i="32"/>
  <c r="C44" i="32"/>
  <c r="B44" i="32"/>
  <c r="G43" i="32"/>
  <c r="F43" i="32"/>
  <c r="E43" i="32"/>
  <c r="D43" i="32"/>
  <c r="C43" i="32"/>
  <c r="B43" i="32"/>
  <c r="G42" i="32"/>
  <c r="F42" i="32"/>
  <c r="E42" i="32"/>
  <c r="D42" i="32"/>
  <c r="C42" i="32"/>
  <c r="B42" i="32"/>
  <c r="G41" i="32"/>
  <c r="F41" i="32"/>
  <c r="E41" i="32"/>
  <c r="D41" i="32"/>
  <c r="C41" i="32"/>
  <c r="B41" i="32"/>
  <c r="I35" i="32"/>
  <c r="I51" i="32" s="1"/>
  <c r="I34" i="32"/>
  <c r="I49" i="32" s="1"/>
  <c r="I33" i="32"/>
  <c r="I32" i="32"/>
  <c r="I31" i="32"/>
  <c r="I30" i="32"/>
  <c r="I45" i="32" s="1"/>
  <c r="I29" i="32"/>
  <c r="I28" i="32"/>
  <c r="I27" i="32"/>
  <c r="I26" i="32"/>
  <c r="I25" i="32"/>
  <c r="I24" i="32"/>
  <c r="I14" i="23"/>
  <c r="E3" i="23" s="1"/>
  <c r="B26" i="23" s="1"/>
  <c r="B137" i="22"/>
  <c r="B133" i="22"/>
  <c r="B132" i="22"/>
  <c r="B131" i="22"/>
  <c r="B130" i="22"/>
  <c r="B129" i="22"/>
  <c r="B128" i="22"/>
  <c r="B127" i="22"/>
  <c r="B126" i="22"/>
  <c r="D119" i="22"/>
  <c r="D110" i="22"/>
  <c r="D122" i="22" s="1"/>
  <c r="C110" i="22"/>
  <c r="C122" i="22" s="1"/>
  <c r="J122" i="22" s="1"/>
  <c r="D109" i="22"/>
  <c r="D121" i="22" s="1"/>
  <c r="C109" i="22"/>
  <c r="D108" i="22"/>
  <c r="D120" i="22" s="1"/>
  <c r="C108" i="22"/>
  <c r="D107" i="22"/>
  <c r="C107" i="22"/>
  <c r="D106" i="22"/>
  <c r="D118" i="22" s="1"/>
  <c r="C106" i="22"/>
  <c r="D105" i="22"/>
  <c r="D117" i="22" s="1"/>
  <c r="C105" i="22"/>
  <c r="D104" i="22"/>
  <c r="D116" i="22" s="1"/>
  <c r="C104" i="22"/>
  <c r="C116" i="22" s="1"/>
  <c r="J116" i="22" s="1"/>
  <c r="D103" i="22"/>
  <c r="D115" i="22" s="1"/>
  <c r="C103" i="22"/>
  <c r="D102" i="22"/>
  <c r="D114" i="22" s="1"/>
  <c r="C102" i="22"/>
  <c r="D101" i="22"/>
  <c r="D113" i="22" s="1"/>
  <c r="C101" i="22"/>
  <c r="D100" i="22"/>
  <c r="D112" i="22" s="1"/>
  <c r="C100" i="22"/>
  <c r="D99" i="22"/>
  <c r="D111" i="22" s="1"/>
  <c r="C99" i="22"/>
  <c r="H92" i="22"/>
  <c r="J92" i="22" s="1"/>
  <c r="H81" i="22"/>
  <c r="J81" i="22" s="1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3" i="22"/>
  <c r="B133" i="21"/>
  <c r="B132" i="21"/>
  <c r="B131" i="21"/>
  <c r="B130" i="21"/>
  <c r="B129" i="21"/>
  <c r="B128" i="21"/>
  <c r="B127" i="21"/>
  <c r="B126" i="21"/>
  <c r="D120" i="21"/>
  <c r="D116" i="21"/>
  <c r="D110" i="21"/>
  <c r="D122" i="21" s="1"/>
  <c r="C110" i="21"/>
  <c r="D109" i="21"/>
  <c r="D121" i="21" s="1"/>
  <c r="C109" i="21"/>
  <c r="D108" i="21"/>
  <c r="C108" i="21"/>
  <c r="D107" i="21"/>
  <c r="D119" i="21" s="1"/>
  <c r="C107" i="21"/>
  <c r="D106" i="21"/>
  <c r="D118" i="21" s="1"/>
  <c r="C106" i="21"/>
  <c r="D105" i="21"/>
  <c r="D117" i="21" s="1"/>
  <c r="C105" i="21"/>
  <c r="D104" i="21"/>
  <c r="C104" i="21"/>
  <c r="D103" i="21"/>
  <c r="D115" i="21" s="1"/>
  <c r="C103" i="21"/>
  <c r="C115" i="21" s="1"/>
  <c r="J115" i="21" s="1"/>
  <c r="D102" i="21"/>
  <c r="D114" i="21" s="1"/>
  <c r="C102" i="21"/>
  <c r="D101" i="21"/>
  <c r="D113" i="21" s="1"/>
  <c r="C101" i="21"/>
  <c r="D100" i="21"/>
  <c r="D112" i="21" s="1"/>
  <c r="C100" i="21"/>
  <c r="D99" i="21"/>
  <c r="D111" i="21" s="1"/>
  <c r="C99" i="21"/>
  <c r="H92" i="21"/>
  <c r="H81" i="21"/>
  <c r="J81" i="21" s="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J4" i="21"/>
  <c r="J3" i="21"/>
  <c r="B133" i="20"/>
  <c r="B132" i="20"/>
  <c r="B131" i="20"/>
  <c r="B130" i="20"/>
  <c r="B129" i="20"/>
  <c r="B128" i="20"/>
  <c r="B127" i="20"/>
  <c r="B126" i="20"/>
  <c r="D110" i="20"/>
  <c r="D122" i="20" s="1"/>
  <c r="C110" i="20"/>
  <c r="C122" i="20" s="1"/>
  <c r="D109" i="20"/>
  <c r="D121" i="20" s="1"/>
  <c r="C109" i="20"/>
  <c r="C121" i="20" s="1"/>
  <c r="D108" i="20"/>
  <c r="D120" i="20" s="1"/>
  <c r="C108" i="20"/>
  <c r="C120" i="20" s="1"/>
  <c r="D107" i="20"/>
  <c r="D119" i="20" s="1"/>
  <c r="C107" i="20"/>
  <c r="C119" i="20" s="1"/>
  <c r="D106" i="20"/>
  <c r="D118" i="20" s="1"/>
  <c r="C106" i="20"/>
  <c r="C118" i="20" s="1"/>
  <c r="D105" i="20"/>
  <c r="D117" i="20" s="1"/>
  <c r="C105" i="20"/>
  <c r="C117" i="20" s="1"/>
  <c r="D104" i="20"/>
  <c r="D116" i="20" s="1"/>
  <c r="C104" i="20"/>
  <c r="C116" i="20" s="1"/>
  <c r="D103" i="20"/>
  <c r="D115" i="20" s="1"/>
  <c r="C103" i="20"/>
  <c r="C115" i="20" s="1"/>
  <c r="D102" i="20"/>
  <c r="D114" i="20" s="1"/>
  <c r="C102" i="20"/>
  <c r="C114" i="20" s="1"/>
  <c r="D101" i="20"/>
  <c r="D113" i="20" s="1"/>
  <c r="C101" i="20"/>
  <c r="C113" i="20" s="1"/>
  <c r="D100" i="20"/>
  <c r="D112" i="20" s="1"/>
  <c r="C100" i="20"/>
  <c r="C112" i="20" s="1"/>
  <c r="D99" i="20"/>
  <c r="D111" i="20" s="1"/>
  <c r="C99" i="20"/>
  <c r="C111" i="20" s="1"/>
  <c r="H92" i="20"/>
  <c r="J92" i="20" s="1"/>
  <c r="H81" i="20"/>
  <c r="H75" i="20" s="1"/>
  <c r="H76" i="20" s="1"/>
  <c r="H77" i="20" s="1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J6" i="20"/>
  <c r="J5" i="20"/>
  <c r="J4" i="20"/>
  <c r="J3" i="20"/>
  <c r="D6" i="18"/>
  <c r="F6" i="18" s="1"/>
  <c r="F55" i="11" s="1"/>
  <c r="F5" i="18"/>
  <c r="E55" i="11" s="1"/>
  <c r="E60" i="11" s="1"/>
  <c r="F4" i="18"/>
  <c r="D55" i="11" s="1"/>
  <c r="D60" i="11" s="1"/>
  <c r="F3" i="18"/>
  <c r="C55" i="11" s="1"/>
  <c r="C60" i="11" s="1"/>
  <c r="F2" i="18"/>
  <c r="B55" i="11" s="1"/>
  <c r="J55" i="17"/>
  <c r="H55" i="17"/>
  <c r="G55" i="17"/>
  <c r="G65" i="17" s="1"/>
  <c r="C55" i="17"/>
  <c r="C65" i="17" s="1"/>
  <c r="B55" i="17"/>
  <c r="B65" i="17" s="1"/>
  <c r="J54" i="17"/>
  <c r="H54" i="17"/>
  <c r="G54" i="17"/>
  <c r="G64" i="17" s="1"/>
  <c r="D54" i="17"/>
  <c r="C54" i="17"/>
  <c r="B54" i="17"/>
  <c r="I54" i="17" s="1"/>
  <c r="D53" i="17"/>
  <c r="D63" i="17" s="1"/>
  <c r="B20" i="17"/>
  <c r="B30" i="17" s="1"/>
  <c r="B32" i="17" s="1"/>
  <c r="B13" i="17" s="1"/>
  <c r="H7" i="17"/>
  <c r="F43" i="11" s="1"/>
  <c r="E7" i="17"/>
  <c r="H2" i="17"/>
  <c r="G2" i="17"/>
  <c r="E1" i="18" s="1"/>
  <c r="F2" i="17"/>
  <c r="D1" i="18" s="1"/>
  <c r="E2" i="17"/>
  <c r="C1" i="18" s="1"/>
  <c r="D2" i="17"/>
  <c r="B1" i="18" s="1"/>
  <c r="C2" i="17"/>
  <c r="B2" i="17"/>
  <c r="H33" i="9"/>
  <c r="I33" i="9" s="1"/>
  <c r="B146" i="26"/>
  <c r="B62" i="33" s="1"/>
  <c r="C86" i="26"/>
  <c r="G53" i="11"/>
  <c r="G43" i="11"/>
  <c r="A42" i="11"/>
  <c r="G38" i="11"/>
  <c r="A37" i="11"/>
  <c r="G33" i="11"/>
  <c r="A32" i="11"/>
  <c r="G28" i="11"/>
  <c r="A27" i="11"/>
  <c r="G23" i="11"/>
  <c r="A22" i="11"/>
  <c r="G19" i="11"/>
  <c r="A18" i="11"/>
  <c r="G15" i="11"/>
  <c r="G63" i="11" s="1"/>
  <c r="H65" i="11" s="1"/>
  <c r="F15" i="11"/>
  <c r="E15" i="11"/>
  <c r="D15" i="11"/>
  <c r="C15" i="11"/>
  <c r="B15" i="11"/>
  <c r="A14" i="11"/>
  <c r="B137" i="20" l="1"/>
  <c r="I41" i="32"/>
  <c r="I43" i="32"/>
  <c r="J127" i="22"/>
  <c r="K127" i="22" s="1"/>
  <c r="L127" i="22" s="1"/>
  <c r="J129" i="22"/>
  <c r="K129" i="22" s="1"/>
  <c r="L129" i="22" s="1"/>
  <c r="J131" i="22"/>
  <c r="K131" i="22" s="1"/>
  <c r="L131" i="22" s="1"/>
  <c r="J128" i="20"/>
  <c r="K128" i="20" s="1"/>
  <c r="L128" i="20" s="1"/>
  <c r="J130" i="20"/>
  <c r="K130" i="20" s="1"/>
  <c r="L130" i="20" s="1"/>
  <c r="I44" i="32"/>
  <c r="C48" i="11"/>
  <c r="C58" i="11" s="1"/>
  <c r="B137" i="21"/>
  <c r="J128" i="22"/>
  <c r="K128" i="22" s="1"/>
  <c r="L128" i="22" s="1"/>
  <c r="J130" i="22"/>
  <c r="K130" i="22" s="1"/>
  <c r="L130" i="22" s="1"/>
  <c r="I47" i="32"/>
  <c r="I42" i="32"/>
  <c r="I46" i="32"/>
  <c r="J127" i="20"/>
  <c r="K127" i="20" s="1"/>
  <c r="L127" i="20" s="1"/>
  <c r="J129" i="20"/>
  <c r="K129" i="20" s="1"/>
  <c r="L129" i="20" s="1"/>
  <c r="J131" i="20"/>
  <c r="K131" i="20" s="1"/>
  <c r="L131" i="20" s="1"/>
  <c r="I48" i="32"/>
  <c r="E154" i="32"/>
  <c r="E156" i="32" s="1"/>
  <c r="B48" i="11"/>
  <c r="B58" i="11" s="1"/>
  <c r="J128" i="21"/>
  <c r="K128" i="21" s="1"/>
  <c r="L128" i="21" s="1"/>
  <c r="D21" i="18"/>
  <c r="D28" i="18" s="1"/>
  <c r="F35" i="11"/>
  <c r="F50" i="11" s="1"/>
  <c r="F60" i="11" s="1"/>
  <c r="G48" i="11"/>
  <c r="G58" i="11" s="1"/>
  <c r="E48" i="11"/>
  <c r="E58" i="11" s="1"/>
  <c r="D48" i="11"/>
  <c r="D58" i="11" s="1"/>
  <c r="L15" i="11"/>
  <c r="L63" i="11" s="1"/>
  <c r="L65" i="11" s="1"/>
  <c r="I13" i="17"/>
  <c r="L53" i="11" s="1"/>
  <c r="H26" i="9"/>
  <c r="B14" i="17"/>
  <c r="I7" i="17"/>
  <c r="F53" i="11" s="1"/>
  <c r="F28" i="11"/>
  <c r="F48" i="11" s="1"/>
  <c r="I34" i="9"/>
  <c r="I35" i="9"/>
  <c r="B27" i="23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D37" i="23" s="1"/>
  <c r="C4" i="23" s="1"/>
  <c r="D4" i="23" s="1"/>
  <c r="E4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C49" i="23" s="1"/>
  <c r="F4" i="23" s="1"/>
  <c r="B60" i="11"/>
  <c r="H23" i="17"/>
  <c r="H24" i="17"/>
  <c r="E23" i="17"/>
  <c r="E24" i="17"/>
  <c r="J81" i="20"/>
  <c r="B153" i="33"/>
  <c r="K54" i="17"/>
  <c r="J76" i="20"/>
  <c r="J75" i="20"/>
  <c r="H75" i="22"/>
  <c r="J75" i="22" s="1"/>
  <c r="H93" i="22"/>
  <c r="J93" i="22" s="1"/>
  <c r="H82" i="20"/>
  <c r="H83" i="20" s="1"/>
  <c r="J83" i="20" s="1"/>
  <c r="H82" i="22"/>
  <c r="H82" i="21"/>
  <c r="J82" i="21" s="1"/>
  <c r="I65" i="17"/>
  <c r="J92" i="21"/>
  <c r="H93" i="21"/>
  <c r="C113" i="21"/>
  <c r="J113" i="21" s="1"/>
  <c r="J126" i="21"/>
  <c r="J127" i="21"/>
  <c r="K127" i="21" s="1"/>
  <c r="L127" i="21" s="1"/>
  <c r="J129" i="21"/>
  <c r="K129" i="21" s="1"/>
  <c r="L129" i="21" s="1"/>
  <c r="J130" i="21"/>
  <c r="K130" i="21" s="1"/>
  <c r="L130" i="21" s="1"/>
  <c r="J131" i="21"/>
  <c r="K131" i="21" s="1"/>
  <c r="L131" i="21" s="1"/>
  <c r="C117" i="21"/>
  <c r="J117" i="21" s="1"/>
  <c r="H65" i="17"/>
  <c r="J126" i="20"/>
  <c r="H78" i="20"/>
  <c r="J77" i="20"/>
  <c r="C121" i="21"/>
  <c r="J121" i="21" s="1"/>
  <c r="J126" i="22"/>
  <c r="C112" i="22"/>
  <c r="J112" i="22" s="1"/>
  <c r="I55" i="17"/>
  <c r="K55" i="17" s="1"/>
  <c r="B64" i="17"/>
  <c r="H64" i="17"/>
  <c r="H93" i="20"/>
  <c r="H75" i="21"/>
  <c r="C112" i="21"/>
  <c r="J112" i="21" s="1"/>
  <c r="C116" i="21"/>
  <c r="J116" i="21" s="1"/>
  <c r="C120" i="21"/>
  <c r="J120" i="21" s="1"/>
  <c r="C114" i="22"/>
  <c r="J114" i="22" s="1"/>
  <c r="C64" i="17"/>
  <c r="C111" i="21"/>
  <c r="J111" i="21" s="1"/>
  <c r="C119" i="21"/>
  <c r="J119" i="21" s="1"/>
  <c r="D64" i="17"/>
  <c r="C114" i="21"/>
  <c r="J114" i="21" s="1"/>
  <c r="C118" i="21"/>
  <c r="J118" i="21" s="1"/>
  <c r="C122" i="21"/>
  <c r="J122" i="21" s="1"/>
  <c r="C118" i="22"/>
  <c r="J118" i="22" s="1"/>
  <c r="J110" i="22"/>
  <c r="C120" i="22"/>
  <c r="J120" i="22" s="1"/>
  <c r="C111" i="22"/>
  <c r="J111" i="22" s="1"/>
  <c r="C115" i="22"/>
  <c r="J115" i="22" s="1"/>
  <c r="C119" i="22"/>
  <c r="J119" i="22" s="1"/>
  <c r="C113" i="22"/>
  <c r="J113" i="22" s="1"/>
  <c r="C117" i="22"/>
  <c r="J117" i="22" s="1"/>
  <c r="C121" i="22"/>
  <c r="J121" i="22" s="1"/>
  <c r="E144" i="32"/>
  <c r="F140" i="32"/>
  <c r="C135" i="32"/>
  <c r="D144" i="32"/>
  <c r="I50" i="32"/>
  <c r="F144" i="32" l="1"/>
  <c r="L48" i="11"/>
  <c r="H30" i="17"/>
  <c r="M62" i="33"/>
  <c r="M51" i="33" s="1"/>
  <c r="M52" i="33" s="1"/>
  <c r="M53" i="33" s="1"/>
  <c r="M54" i="33" s="1"/>
  <c r="M55" i="33" s="1"/>
  <c r="M56" i="33" s="1"/>
  <c r="M57" i="33" s="1"/>
  <c r="M58" i="33" s="1"/>
  <c r="M59" i="33" s="1"/>
  <c r="M60" i="33" s="1"/>
  <c r="M61" i="33" s="1"/>
  <c r="F58" i="11"/>
  <c r="E30" i="17"/>
  <c r="H46" i="9"/>
  <c r="O46" i="9" s="1"/>
  <c r="G26" i="9"/>
  <c r="I14" i="17"/>
  <c r="M53" i="11" s="1"/>
  <c r="M15" i="11"/>
  <c r="M63" i="11" s="1"/>
  <c r="M65" i="11" s="1"/>
  <c r="H27" i="9"/>
  <c r="L58" i="11"/>
  <c r="M63" i="33"/>
  <c r="D49" i="23"/>
  <c r="C5" i="23" s="1"/>
  <c r="D5" i="23" s="1"/>
  <c r="E5" i="23" s="1"/>
  <c r="B50" i="23" s="1"/>
  <c r="H76" i="22"/>
  <c r="H77" i="22" s="1"/>
  <c r="H84" i="20"/>
  <c r="J84" i="20" s="1"/>
  <c r="H94" i="22"/>
  <c r="J94" i="22" s="1"/>
  <c r="J82" i="20"/>
  <c r="J82" i="22"/>
  <c r="H83" i="22"/>
  <c r="H83" i="21"/>
  <c r="H84" i="21" s="1"/>
  <c r="C11" i="11"/>
  <c r="D175" i="32"/>
  <c r="B17" i="18"/>
  <c r="B28" i="18" s="1"/>
  <c r="B70" i="17"/>
  <c r="B75" i="17" s="1"/>
  <c r="C70" i="17"/>
  <c r="C75" i="17" s="1"/>
  <c r="C80" i="17" s="1"/>
  <c r="J135" i="21"/>
  <c r="B11" i="11"/>
  <c r="H94" i="20"/>
  <c r="J93" i="20"/>
  <c r="K126" i="22"/>
  <c r="L126" i="22" s="1"/>
  <c r="H79" i="20"/>
  <c r="J78" i="20"/>
  <c r="G70" i="17"/>
  <c r="G75" i="17" s="1"/>
  <c r="G80" i="17" s="1"/>
  <c r="H70" i="17"/>
  <c r="H75" i="17" s="1"/>
  <c r="H80" i="17" s="1"/>
  <c r="K126" i="21"/>
  <c r="L126" i="21" s="1"/>
  <c r="I64" i="17"/>
  <c r="H69" i="17" s="1"/>
  <c r="H74" i="17" s="1"/>
  <c r="H79" i="17" s="1"/>
  <c r="K126" i="20"/>
  <c r="L126" i="20" s="1"/>
  <c r="J135" i="22"/>
  <c r="H94" i="21"/>
  <c r="J93" i="21"/>
  <c r="D11" i="11"/>
  <c r="D69" i="17"/>
  <c r="D74" i="17" s="1"/>
  <c r="D79" i="17" s="1"/>
  <c r="D135" i="32"/>
  <c r="C138" i="32"/>
  <c r="H76" i="21"/>
  <c r="J75" i="21"/>
  <c r="Q30" i="9" l="1"/>
  <c r="M48" i="11"/>
  <c r="O15" i="11"/>
  <c r="G27" i="9"/>
  <c r="H47" i="9"/>
  <c r="O47" i="9" s="1"/>
  <c r="J76" i="22"/>
  <c r="M58" i="11"/>
  <c r="H85" i="20"/>
  <c r="H86" i="20" s="1"/>
  <c r="M64" i="33"/>
  <c r="M65" i="33" s="1"/>
  <c r="M66" i="33" s="1"/>
  <c r="M67" i="33" s="1"/>
  <c r="M68" i="33" s="1"/>
  <c r="M69" i="33" s="1"/>
  <c r="M70" i="33" s="1"/>
  <c r="M71" i="33" s="1"/>
  <c r="M72" i="33" s="1"/>
  <c r="M73" i="33" s="1"/>
  <c r="J83" i="21"/>
  <c r="B51" i="23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C37" i="23"/>
  <c r="F3" i="23" s="1"/>
  <c r="D174" i="32"/>
  <c r="D176" i="32" s="1"/>
  <c r="E11" i="11"/>
  <c r="H95" i="22"/>
  <c r="H96" i="22" s="1"/>
  <c r="J83" i="22"/>
  <c r="H84" i="22"/>
  <c r="B69" i="17"/>
  <c r="B74" i="17" s="1"/>
  <c r="B79" i="17" s="1"/>
  <c r="D165" i="32"/>
  <c r="B59" i="11"/>
  <c r="E135" i="32"/>
  <c r="F135" i="32" s="1"/>
  <c r="J94" i="21"/>
  <c r="H95" i="21"/>
  <c r="G69" i="17"/>
  <c r="G74" i="17" s="1"/>
  <c r="G79" i="17" s="1"/>
  <c r="D68" i="17"/>
  <c r="D73" i="17" s="1"/>
  <c r="D78" i="17" s="1"/>
  <c r="H80" i="20"/>
  <c r="J80" i="20" s="1"/>
  <c r="J79" i="20"/>
  <c r="J84" i="21"/>
  <c r="H85" i="21"/>
  <c r="C69" i="17"/>
  <c r="C74" i="17" s="1"/>
  <c r="C79" i="17" s="1"/>
  <c r="H95" i="20"/>
  <c r="J94" i="20"/>
  <c r="J77" i="22"/>
  <c r="H78" i="22"/>
  <c r="F11" i="11"/>
  <c r="H77" i="21"/>
  <c r="J76" i="21"/>
  <c r="B80" i="17"/>
  <c r="I75" i="17"/>
  <c r="J75" i="17" s="1"/>
  <c r="Q31" i="9" l="1"/>
  <c r="J85" i="20"/>
  <c r="D164" i="32"/>
  <c r="D166" i="32" s="1"/>
  <c r="I74" i="17"/>
  <c r="J74" i="17" s="1"/>
  <c r="J95" i="22"/>
  <c r="C61" i="23"/>
  <c r="F5" i="23" s="1"/>
  <c r="D61" i="23"/>
  <c r="C6" i="23" s="1"/>
  <c r="D6" i="23" s="1"/>
  <c r="E6" i="23" s="1"/>
  <c r="B62" i="23" s="1"/>
  <c r="J84" i="22"/>
  <c r="H85" i="22"/>
  <c r="H34" i="9"/>
  <c r="O34" i="9" s="1"/>
  <c r="H96" i="20"/>
  <c r="J95" i="20"/>
  <c r="H78" i="21"/>
  <c r="J77" i="21"/>
  <c r="H86" i="21"/>
  <c r="J85" i="21"/>
  <c r="H87" i="20"/>
  <c r="J86" i="20"/>
  <c r="J132" i="20" s="1"/>
  <c r="D136" i="32"/>
  <c r="J96" i="22"/>
  <c r="H97" i="22"/>
  <c r="J78" i="22"/>
  <c r="H79" i="22"/>
  <c r="H96" i="21"/>
  <c r="J95" i="21"/>
  <c r="H35" i="9"/>
  <c r="O35" i="9" s="1"/>
  <c r="B63" i="23" l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J85" i="22"/>
  <c r="H86" i="22"/>
  <c r="E136" i="32"/>
  <c r="F136" i="32" s="1"/>
  <c r="D138" i="32"/>
  <c r="J96" i="21"/>
  <c r="H97" i="21"/>
  <c r="J97" i="22"/>
  <c r="H98" i="22"/>
  <c r="K132" i="20"/>
  <c r="L132" i="20" s="1"/>
  <c r="J78" i="21"/>
  <c r="H79" i="21"/>
  <c r="M34" i="11"/>
  <c r="H88" i="20"/>
  <c r="J87" i="20"/>
  <c r="J79" i="22"/>
  <c r="H80" i="22"/>
  <c r="J80" i="22" s="1"/>
  <c r="J86" i="21"/>
  <c r="H87" i="21"/>
  <c r="H97" i="20"/>
  <c r="J96" i="20"/>
  <c r="D73" i="23" l="1"/>
  <c r="C7" i="23" s="1"/>
  <c r="D7" i="23" s="1"/>
  <c r="E7" i="23" s="1"/>
  <c r="B74" i="23" s="1"/>
  <c r="C73" i="23"/>
  <c r="F6" i="23" s="1"/>
  <c r="H87" i="22"/>
  <c r="J86" i="22"/>
  <c r="J132" i="22" s="1"/>
  <c r="K132" i="22" s="1"/>
  <c r="L132" i="22" s="1"/>
  <c r="H98" i="20"/>
  <c r="J97" i="20"/>
  <c r="H88" i="21"/>
  <c r="J87" i="21"/>
  <c r="H98" i="21"/>
  <c r="J97" i="21"/>
  <c r="H80" i="21"/>
  <c r="J80" i="21" s="1"/>
  <c r="J79" i="21"/>
  <c r="H89" i="20"/>
  <c r="J88" i="20"/>
  <c r="J98" i="22"/>
  <c r="H99" i="22"/>
  <c r="E137" i="32"/>
  <c r="F137" i="32" s="1"/>
  <c r="F138" i="32" s="1"/>
  <c r="E138" i="32"/>
  <c r="B75" i="23" l="1"/>
  <c r="L3" i="33"/>
  <c r="J132" i="21"/>
  <c r="K132" i="21" s="1"/>
  <c r="L132" i="21" s="1"/>
  <c r="H88" i="22"/>
  <c r="J87" i="22"/>
  <c r="J98" i="21"/>
  <c r="H99" i="21"/>
  <c r="H100" i="22"/>
  <c r="J99" i="22"/>
  <c r="H99" i="20"/>
  <c r="J98" i="20"/>
  <c r="H90" i="20"/>
  <c r="J89" i="20"/>
  <c r="J88" i="21"/>
  <c r="H89" i="21"/>
  <c r="S3" i="33" l="1"/>
  <c r="B76" i="23"/>
  <c r="L4" i="33"/>
  <c r="S4" i="33" s="1"/>
  <c r="J88" i="22"/>
  <c r="H89" i="22"/>
  <c r="H100" i="20"/>
  <c r="J99" i="20"/>
  <c r="H91" i="20"/>
  <c r="J91" i="20" s="1"/>
  <c r="J90" i="20"/>
  <c r="H101" i="22"/>
  <c r="J100" i="22"/>
  <c r="H90" i="21"/>
  <c r="J89" i="21"/>
  <c r="H100" i="21"/>
  <c r="J99" i="21"/>
  <c r="B77" i="23" l="1"/>
  <c r="L5" i="33"/>
  <c r="J133" i="20"/>
  <c r="K133" i="20" s="1"/>
  <c r="L133" i="20" s="1"/>
  <c r="H90" i="22"/>
  <c r="J89" i="22"/>
  <c r="H102" i="22"/>
  <c r="J101" i="22"/>
  <c r="H101" i="20"/>
  <c r="J100" i="20"/>
  <c r="J90" i="21"/>
  <c r="H91" i="21"/>
  <c r="J91" i="21" s="1"/>
  <c r="H101" i="21"/>
  <c r="J100" i="21"/>
  <c r="S5" i="33" l="1"/>
  <c r="B78" i="23"/>
  <c r="L6" i="33"/>
  <c r="J137" i="20"/>
  <c r="K137" i="20" s="1"/>
  <c r="J133" i="21"/>
  <c r="K133" i="21" s="1"/>
  <c r="L133" i="21" s="1"/>
  <c r="J90" i="22"/>
  <c r="H91" i="22"/>
  <c r="J91" i="22" s="1"/>
  <c r="H103" i="22"/>
  <c r="J102" i="22"/>
  <c r="H102" i="20"/>
  <c r="J101" i="20"/>
  <c r="H102" i="21"/>
  <c r="J101" i="21"/>
  <c r="S6" i="33" l="1"/>
  <c r="B79" i="23"/>
  <c r="L7" i="33"/>
  <c r="S7" i="33" s="1"/>
  <c r="J137" i="21"/>
  <c r="K137" i="21" s="1"/>
  <c r="J133" i="22"/>
  <c r="H103" i="21"/>
  <c r="J102" i="21"/>
  <c r="H103" i="20"/>
  <c r="J102" i="20"/>
  <c r="H104" i="22"/>
  <c r="J103" i="22"/>
  <c r="B80" i="23" l="1"/>
  <c r="L8" i="33"/>
  <c r="S8" i="33" s="1"/>
  <c r="K133" i="22"/>
  <c r="L133" i="22" s="1"/>
  <c r="J137" i="22"/>
  <c r="K137" i="22" s="1"/>
  <c r="H105" i="22"/>
  <c r="J104" i="22"/>
  <c r="H104" i="20"/>
  <c r="J103" i="20"/>
  <c r="H104" i="21"/>
  <c r="J103" i="21"/>
  <c r="B81" i="23" l="1"/>
  <c r="L9" i="33"/>
  <c r="H105" i="20"/>
  <c r="J104" i="20"/>
  <c r="H106" i="22"/>
  <c r="J105" i="22"/>
  <c r="H105" i="21"/>
  <c r="J104" i="21"/>
  <c r="S9" i="33" l="1"/>
  <c r="B82" i="23"/>
  <c r="L10" i="33"/>
  <c r="S10" i="33" s="1"/>
  <c r="H107" i="22"/>
  <c r="J106" i="22"/>
  <c r="H106" i="21"/>
  <c r="J105" i="21"/>
  <c r="H106" i="20"/>
  <c r="J105" i="20"/>
  <c r="B83" i="23" l="1"/>
  <c r="L11" i="33"/>
  <c r="S11" i="33" s="1"/>
  <c r="H107" i="20"/>
  <c r="J106" i="20"/>
  <c r="H108" i="22"/>
  <c r="J107" i="22"/>
  <c r="H107" i="21"/>
  <c r="J106" i="21"/>
  <c r="B84" i="23" l="1"/>
  <c r="L12" i="33"/>
  <c r="S12" i="33" s="1"/>
  <c r="H108" i="20"/>
  <c r="J107" i="20"/>
  <c r="E150" i="32"/>
  <c r="E157" i="32" s="1"/>
  <c r="H108" i="21"/>
  <c r="J107" i="21"/>
  <c r="H109" i="22"/>
  <c r="J109" i="22" s="1"/>
  <c r="J108" i="22"/>
  <c r="B85" i="23" l="1"/>
  <c r="L13" i="33"/>
  <c r="S13" i="33" s="1"/>
  <c r="H109" i="20"/>
  <c r="J108" i="20"/>
  <c r="J124" i="22"/>
  <c r="J134" i="22"/>
  <c r="J139" i="22" s="1"/>
  <c r="H109" i="21"/>
  <c r="J108" i="21"/>
  <c r="L14" i="33" l="1"/>
  <c r="D85" i="23"/>
  <c r="C8" i="23" s="1"/>
  <c r="D8" i="23" s="1"/>
  <c r="E8" i="23" s="1"/>
  <c r="B86" i="23" s="1"/>
  <c r="C85" i="23"/>
  <c r="F7" i="23" s="1"/>
  <c r="K139" i="22"/>
  <c r="H110" i="20"/>
  <c r="J109" i="20"/>
  <c r="H110" i="21"/>
  <c r="J110" i="21" s="1"/>
  <c r="J109" i="21"/>
  <c r="L15" i="33" l="1"/>
  <c r="B87" i="23"/>
  <c r="S14" i="33"/>
  <c r="R149" i="33"/>
  <c r="H111" i="20"/>
  <c r="J110" i="20"/>
  <c r="J134" i="20" s="1"/>
  <c r="J124" i="21"/>
  <c r="J134" i="21"/>
  <c r="J139" i="21" s="1"/>
  <c r="B88" i="23" l="1"/>
  <c r="L16" i="33"/>
  <c r="S16" i="33" s="1"/>
  <c r="C3" i="9"/>
  <c r="B5" i="11"/>
  <c r="S15" i="33"/>
  <c r="K139" i="21"/>
  <c r="H112" i="20"/>
  <c r="J111" i="20"/>
  <c r="B89" i="23" l="1"/>
  <c r="L17" i="33"/>
  <c r="H113" i="20"/>
  <c r="J112" i="20"/>
  <c r="S17" i="33" l="1"/>
  <c r="B90" i="23"/>
  <c r="L18" i="33"/>
  <c r="S18" i="33" s="1"/>
  <c r="H114" i="20"/>
  <c r="J113" i="20"/>
  <c r="B91" i="23" l="1"/>
  <c r="L19" i="33"/>
  <c r="S19" i="33" s="1"/>
  <c r="H115" i="20"/>
  <c r="J114" i="20"/>
  <c r="B92" i="23" l="1"/>
  <c r="L20" i="33"/>
  <c r="H116" i="20"/>
  <c r="J115" i="20"/>
  <c r="S20" i="33" l="1"/>
  <c r="B93" i="23"/>
  <c r="L21" i="33"/>
  <c r="S21" i="33" s="1"/>
  <c r="H117" i="20"/>
  <c r="J116" i="20"/>
  <c r="B94" i="23" l="1"/>
  <c r="L22" i="33"/>
  <c r="S22" i="33" s="1"/>
  <c r="H118" i="20"/>
  <c r="J117" i="20"/>
  <c r="B95" i="23" l="1"/>
  <c r="L23" i="33"/>
  <c r="S23" i="33" s="1"/>
  <c r="H119" i="20"/>
  <c r="J118" i="20"/>
  <c r="B96" i="23" l="1"/>
  <c r="L24" i="33"/>
  <c r="S24" i="33" s="1"/>
  <c r="H120" i="20"/>
  <c r="J119" i="20"/>
  <c r="B97" i="23" l="1"/>
  <c r="L25" i="33"/>
  <c r="S25" i="33" s="1"/>
  <c r="H121" i="20"/>
  <c r="J120" i="20"/>
  <c r="L26" i="33" l="1"/>
  <c r="D97" i="23"/>
  <c r="C9" i="23" s="1"/>
  <c r="D9" i="23" s="1"/>
  <c r="E9" i="23" s="1"/>
  <c r="B98" i="23" s="1"/>
  <c r="C97" i="23"/>
  <c r="F8" i="23" s="1"/>
  <c r="H122" i="20"/>
  <c r="J122" i="20" s="1"/>
  <c r="J121" i="20"/>
  <c r="B99" i="23" l="1"/>
  <c r="L27" i="33"/>
  <c r="S26" i="33"/>
  <c r="R150" i="33"/>
  <c r="J124" i="20"/>
  <c r="J135" i="20"/>
  <c r="J139" i="20" s="1"/>
  <c r="S27" i="33" l="1"/>
  <c r="C4" i="9"/>
  <c r="C5" i="11"/>
  <c r="B100" i="23"/>
  <c r="L28" i="33"/>
  <c r="S28" i="33" s="1"/>
  <c r="K139" i="20"/>
  <c r="B101" i="23" l="1"/>
  <c r="L29" i="33"/>
  <c r="S29" i="33" s="1"/>
  <c r="F150" i="32"/>
  <c r="F157" i="32" s="1"/>
  <c r="B102" i="23" l="1"/>
  <c r="L30" i="33"/>
  <c r="H40" i="11"/>
  <c r="G40" i="11"/>
  <c r="H30" i="11"/>
  <c r="G30" i="11"/>
  <c r="S30" i="33" l="1"/>
  <c r="B103" i="23"/>
  <c r="L31" i="33"/>
  <c r="S31" i="33" s="1"/>
  <c r="H55" i="11"/>
  <c r="H25" i="11"/>
  <c r="G55" i="11"/>
  <c r="G25" i="11"/>
  <c r="G35" i="11"/>
  <c r="H35" i="11"/>
  <c r="G50" i="11" l="1"/>
  <c r="G60" i="11" s="1"/>
  <c r="H50" i="11"/>
  <c r="H60" i="11" s="1"/>
  <c r="B104" i="23"/>
  <c r="L32" i="33"/>
  <c r="S32" i="33" s="1"/>
  <c r="B105" i="23" l="1"/>
  <c r="L33" i="33"/>
  <c r="S33" i="33" s="1"/>
  <c r="B106" i="23" l="1"/>
  <c r="L34" i="33"/>
  <c r="S34" i="33" s="1"/>
  <c r="B107" i="23" l="1"/>
  <c r="L35" i="33"/>
  <c r="S35" i="33" s="1"/>
  <c r="B108" i="23" l="1"/>
  <c r="L36" i="33"/>
  <c r="S36" i="33" s="1"/>
  <c r="B109" i="23" l="1"/>
  <c r="L37" i="33"/>
  <c r="S37" i="33" s="1"/>
  <c r="L38" i="33" l="1"/>
  <c r="D109" i="23"/>
  <c r="C10" i="23" s="1"/>
  <c r="D10" i="23" s="1"/>
  <c r="E10" i="23" s="1"/>
  <c r="B110" i="23" s="1"/>
  <c r="C109" i="23"/>
  <c r="F9" i="23" s="1"/>
  <c r="L39" i="33" l="1"/>
  <c r="B111" i="23"/>
  <c r="S38" i="33"/>
  <c r="R151" i="33"/>
  <c r="B112" i="23" l="1"/>
  <c r="L40" i="33"/>
  <c r="S40" i="33" s="1"/>
  <c r="C5" i="9"/>
  <c r="D5" i="11"/>
  <c r="S39" i="33"/>
  <c r="B113" i="23" l="1"/>
  <c r="L41" i="33"/>
  <c r="S41" i="33" l="1"/>
  <c r="B114" i="23"/>
  <c r="L42" i="33"/>
  <c r="S42" i="33" s="1"/>
  <c r="B115" i="23" l="1"/>
  <c r="L43" i="33"/>
  <c r="S43" i="33" s="1"/>
  <c r="B116" i="23" l="1"/>
  <c r="L44" i="33"/>
  <c r="S44" i="33" l="1"/>
  <c r="B117" i="23"/>
  <c r="L45" i="33"/>
  <c r="S45" i="33" s="1"/>
  <c r="B118" i="23" l="1"/>
  <c r="L46" i="33"/>
  <c r="S46" i="33" l="1"/>
  <c r="B119" i="23"/>
  <c r="L47" i="33"/>
  <c r="S47" i="33" s="1"/>
  <c r="B120" i="23" l="1"/>
  <c r="L48" i="33"/>
  <c r="S48" i="33" s="1"/>
  <c r="B121" i="23" l="1"/>
  <c r="L49" i="33"/>
  <c r="S49" i="33" s="1"/>
  <c r="L50" i="33" l="1"/>
  <c r="D121" i="23"/>
  <c r="C11" i="23" s="1"/>
  <c r="D11" i="23" s="1"/>
  <c r="E11" i="23" s="1"/>
  <c r="B122" i="23" s="1"/>
  <c r="C121" i="23"/>
  <c r="F10" i="23" s="1"/>
  <c r="L51" i="33" l="1"/>
  <c r="B123" i="23"/>
  <c r="S50" i="33"/>
  <c r="R152" i="33"/>
  <c r="B124" i="23" l="1"/>
  <c r="L52" i="33"/>
  <c r="S52" i="33" s="1"/>
  <c r="E5" i="11"/>
  <c r="C6" i="9"/>
  <c r="S51" i="33"/>
  <c r="B125" i="23" l="1"/>
  <c r="L53" i="33"/>
  <c r="S53" i="33" l="1"/>
  <c r="B126" i="23"/>
  <c r="L54" i="33"/>
  <c r="S54" i="33" s="1"/>
  <c r="B127" i="23" l="1"/>
  <c r="L55" i="33"/>
  <c r="S55" i="33" s="1"/>
  <c r="B128" i="23" l="1"/>
  <c r="L56" i="33"/>
  <c r="S56" i="33" l="1"/>
  <c r="B129" i="23"/>
  <c r="L57" i="33"/>
  <c r="S57" i="33" s="1"/>
  <c r="B130" i="23" l="1"/>
  <c r="L58" i="33"/>
  <c r="S58" i="33" s="1"/>
  <c r="B131" i="23" l="1"/>
  <c r="L59" i="33"/>
  <c r="S59" i="33" s="1"/>
  <c r="B132" i="23" l="1"/>
  <c r="L60" i="33"/>
  <c r="S60" i="33" s="1"/>
  <c r="B133" i="23" l="1"/>
  <c r="L61" i="33"/>
  <c r="S61" i="33" s="1"/>
  <c r="L62" i="33" l="1"/>
  <c r="D133" i="23"/>
  <c r="C12" i="23" s="1"/>
  <c r="D12" i="23" s="1"/>
  <c r="E12" i="23" s="1"/>
  <c r="B134" i="23" s="1"/>
  <c r="C133" i="23"/>
  <c r="F11" i="23" s="1"/>
  <c r="L63" i="33" l="1"/>
  <c r="B135" i="23"/>
  <c r="S62" i="33"/>
  <c r="R153" i="33"/>
  <c r="F5" i="11" l="1"/>
  <c r="C7" i="9"/>
  <c r="B136" i="23"/>
  <c r="L64" i="33"/>
  <c r="S64" i="33" s="1"/>
  <c r="S63" i="33"/>
  <c r="B137" i="23" l="1"/>
  <c r="L65" i="33"/>
  <c r="S65" i="33" l="1"/>
  <c r="B138" i="23"/>
  <c r="L66" i="33"/>
  <c r="S66" i="33" s="1"/>
  <c r="B139" i="23" l="1"/>
  <c r="L67" i="33"/>
  <c r="S67" i="33" s="1"/>
  <c r="B140" i="23" l="1"/>
  <c r="L68" i="33"/>
  <c r="S68" i="33" l="1"/>
  <c r="B141" i="23"/>
  <c r="L69" i="33"/>
  <c r="S69" i="33" s="1"/>
  <c r="B142" i="23" l="1"/>
  <c r="L70" i="33"/>
  <c r="S70" i="33" s="1"/>
  <c r="B143" i="23" l="1"/>
  <c r="L71" i="33"/>
  <c r="S71" i="33" s="1"/>
  <c r="B144" i="23" l="1"/>
  <c r="L72" i="33"/>
  <c r="S72" i="33" s="1"/>
  <c r="B145" i="23" l="1"/>
  <c r="L73" i="33"/>
  <c r="S73" i="33" s="1"/>
  <c r="D145" i="23" l="1"/>
  <c r="C13" i="23" s="1"/>
  <c r="D13" i="23" s="1"/>
  <c r="E13" i="23" s="1"/>
  <c r="B146" i="23" s="1"/>
  <c r="L74" i="33"/>
  <c r="C145" i="23"/>
  <c r="F12" i="23" s="1"/>
  <c r="S74" i="33" l="1"/>
  <c r="R154" i="33"/>
  <c r="L75" i="33"/>
  <c r="B147" i="23"/>
  <c r="B148" i="23" l="1"/>
  <c r="L76" i="33"/>
  <c r="S76" i="33" s="1"/>
  <c r="C8" i="9"/>
  <c r="G5" i="11"/>
  <c r="S75" i="33"/>
  <c r="B149" i="23" l="1"/>
  <c r="L77" i="33"/>
  <c r="S77" i="33" s="1"/>
  <c r="B150" i="23" l="1"/>
  <c r="L78" i="33"/>
  <c r="S78" i="33" s="1"/>
  <c r="B151" i="23" l="1"/>
  <c r="L79" i="33"/>
  <c r="S79" i="33" l="1"/>
  <c r="B152" i="23"/>
  <c r="L80" i="33"/>
  <c r="S80" i="33" s="1"/>
  <c r="B153" i="23" l="1"/>
  <c r="L81" i="33"/>
  <c r="S81" i="33" s="1"/>
  <c r="B154" i="23" l="1"/>
  <c r="L82" i="33"/>
  <c r="S82" i="33" s="1"/>
  <c r="B155" i="23" l="1"/>
  <c r="L83" i="33"/>
  <c r="S83" i="33" s="1"/>
  <c r="B156" i="23" l="1"/>
  <c r="L84" i="33"/>
  <c r="S84" i="33" s="1"/>
  <c r="B157" i="23" l="1"/>
  <c r="L85" i="33"/>
  <c r="S85" i="33" s="1"/>
  <c r="L86" i="33" l="1"/>
  <c r="D157" i="23"/>
  <c r="C14" i="23" s="1"/>
  <c r="D14" i="23" s="1"/>
  <c r="E14" i="23" s="1"/>
  <c r="B158" i="23" s="1"/>
  <c r="C157" i="23"/>
  <c r="F13" i="23" s="1"/>
  <c r="L87" i="33" l="1"/>
  <c r="B159" i="23"/>
  <c r="S86" i="33"/>
  <c r="R155" i="33"/>
  <c r="C9" i="9" l="1"/>
  <c r="H5" i="11"/>
  <c r="B160" i="23"/>
  <c r="L88" i="33"/>
  <c r="S88" i="33" s="1"/>
  <c r="S87" i="33"/>
  <c r="B161" i="23" l="1"/>
  <c r="L89" i="33"/>
  <c r="S89" i="33" s="1"/>
  <c r="B162" i="23" l="1"/>
  <c r="L90" i="33"/>
  <c r="S90" i="33" s="1"/>
  <c r="B163" i="23" l="1"/>
  <c r="L91" i="33"/>
  <c r="S91" i="33" l="1"/>
  <c r="B164" i="23"/>
  <c r="L92" i="33"/>
  <c r="S92" i="33" s="1"/>
  <c r="B165" i="23" l="1"/>
  <c r="L93" i="33"/>
  <c r="S93" i="33" s="1"/>
  <c r="B166" i="23" l="1"/>
  <c r="L94" i="33"/>
  <c r="S94" i="33" s="1"/>
  <c r="B167" i="23" l="1"/>
  <c r="L95" i="33"/>
  <c r="S95" i="33" s="1"/>
  <c r="B168" i="23" l="1"/>
  <c r="L96" i="33"/>
  <c r="S96" i="33" s="1"/>
  <c r="B169" i="23" l="1"/>
  <c r="L97" i="33"/>
  <c r="S97" i="33" s="1"/>
  <c r="C169" i="23" l="1"/>
  <c r="F14" i="23" s="1"/>
  <c r="L98" i="33"/>
  <c r="D169" i="23"/>
  <c r="C15" i="23" s="1"/>
  <c r="D15" i="23" s="1"/>
  <c r="E15" i="23" s="1"/>
  <c r="B170" i="23" s="1"/>
  <c r="S98" i="33" l="1"/>
  <c r="R156" i="33"/>
  <c r="L99" i="33"/>
  <c r="B171" i="23"/>
  <c r="S99" i="33" l="1"/>
  <c r="C10" i="9"/>
  <c r="I5" i="11"/>
  <c r="B172" i="23"/>
  <c r="L100" i="33"/>
  <c r="S100" i="33" s="1"/>
  <c r="B173" i="23" l="1"/>
  <c r="L101" i="33"/>
  <c r="S101" i="33" s="1"/>
  <c r="B174" i="23" l="1"/>
  <c r="L102" i="33"/>
  <c r="S102" i="33" s="1"/>
  <c r="B175" i="23" l="1"/>
  <c r="L103" i="33"/>
  <c r="S103" i="33" s="1"/>
  <c r="B176" i="23" l="1"/>
  <c r="L104" i="33"/>
  <c r="S104" i="33" l="1"/>
  <c r="B177" i="23"/>
  <c r="L105" i="33"/>
  <c r="S105" i="33" s="1"/>
  <c r="B178" i="23" l="1"/>
  <c r="L106" i="33"/>
  <c r="S106" i="33" s="1"/>
  <c r="B179" i="23" l="1"/>
  <c r="L107" i="33"/>
  <c r="S107" i="33" s="1"/>
  <c r="B180" i="23" l="1"/>
  <c r="L108" i="33"/>
  <c r="S108" i="33" s="1"/>
  <c r="B181" i="23" l="1"/>
  <c r="L109" i="33"/>
  <c r="S109" i="33" s="1"/>
  <c r="L110" i="33" l="1"/>
  <c r="D181" i="23"/>
  <c r="C16" i="23" s="1"/>
  <c r="D16" i="23" s="1"/>
  <c r="E16" i="23" s="1"/>
  <c r="B182" i="23" s="1"/>
  <c r="C181" i="23"/>
  <c r="F15" i="23" s="1"/>
  <c r="L111" i="33" l="1"/>
  <c r="B183" i="23"/>
  <c r="S110" i="33"/>
  <c r="R157" i="33"/>
  <c r="B184" i="23" l="1"/>
  <c r="L112" i="33"/>
  <c r="S112" i="33" s="1"/>
  <c r="C11" i="9"/>
  <c r="J5" i="11"/>
  <c r="S111" i="33"/>
  <c r="B185" i="23" l="1"/>
  <c r="L113" i="33"/>
  <c r="S113" i="33" s="1"/>
  <c r="B186" i="23" l="1"/>
  <c r="L114" i="33"/>
  <c r="S114" i="33" s="1"/>
  <c r="B187" i="23" l="1"/>
  <c r="L115" i="33"/>
  <c r="S115" i="33" s="1"/>
  <c r="B188" i="23" l="1"/>
  <c r="L116" i="33"/>
  <c r="S116" i="33" s="1"/>
  <c r="B189" i="23" l="1"/>
  <c r="L117" i="33"/>
  <c r="S117" i="33" s="1"/>
  <c r="B190" i="23" l="1"/>
  <c r="L118" i="33"/>
  <c r="S118" i="33" s="1"/>
  <c r="B191" i="23" l="1"/>
  <c r="L119" i="33"/>
  <c r="S119" i="33" s="1"/>
  <c r="B192" i="23" l="1"/>
  <c r="L120" i="33"/>
  <c r="S120" i="33" s="1"/>
  <c r="B193" i="23" l="1"/>
  <c r="L121" i="33"/>
  <c r="S121" i="33" s="1"/>
  <c r="L122" i="33" l="1"/>
  <c r="D193" i="23"/>
  <c r="C17" i="23" s="1"/>
  <c r="D17" i="23" s="1"/>
  <c r="E17" i="23" s="1"/>
  <c r="B194" i="23" s="1"/>
  <c r="C193" i="23"/>
  <c r="F16" i="23" s="1"/>
  <c r="L123" i="33" l="1"/>
  <c r="B195" i="23"/>
  <c r="S122" i="33"/>
  <c r="R158" i="33"/>
  <c r="C12" i="9" l="1"/>
  <c r="K5" i="11"/>
  <c r="R162" i="33"/>
  <c r="B196" i="23"/>
  <c r="L124" i="33"/>
  <c r="B197" i="23" l="1"/>
  <c r="L125" i="33"/>
  <c r="B198" i="23" l="1"/>
  <c r="L126" i="33"/>
  <c r="B199" i="23" l="1"/>
  <c r="L127" i="33"/>
  <c r="B200" i="23" l="1"/>
  <c r="L128" i="33"/>
  <c r="B201" i="23" l="1"/>
  <c r="L129" i="33"/>
  <c r="B202" i="23" l="1"/>
  <c r="L130" i="33"/>
  <c r="B203" i="23" l="1"/>
  <c r="L131" i="33"/>
  <c r="B204" i="23" l="1"/>
  <c r="L132" i="33"/>
  <c r="B205" i="23" l="1"/>
  <c r="L133" i="33"/>
  <c r="L134" i="33" l="1"/>
  <c r="R159" i="33" s="1"/>
  <c r="D205" i="23"/>
  <c r="C18" i="23" s="1"/>
  <c r="D18" i="23" s="1"/>
  <c r="E18" i="23" s="1"/>
  <c r="B206" i="23" s="1"/>
  <c r="C205" i="23"/>
  <c r="F17" i="23" s="1"/>
  <c r="L135" i="33" l="1"/>
  <c r="B207" i="23"/>
  <c r="C13" i="9"/>
  <c r="L5" i="11"/>
  <c r="B208" i="23" l="1"/>
  <c r="L136" i="33"/>
  <c r="L169" i="33"/>
  <c r="R169" i="33" s="1"/>
  <c r="L170" i="33" l="1"/>
  <c r="R170" i="33" s="1"/>
  <c r="B209" i="23"/>
  <c r="L137" i="33"/>
  <c r="L171" i="33" l="1"/>
  <c r="R171" i="33" s="1"/>
  <c r="B210" i="23"/>
  <c r="L138" i="33"/>
  <c r="B211" i="23" l="1"/>
  <c r="L139" i="33"/>
  <c r="L172" i="33"/>
  <c r="R172" i="33" s="1"/>
  <c r="B212" i="23" l="1"/>
  <c r="L140" i="33"/>
  <c r="L173" i="33"/>
  <c r="R173" i="33" s="1"/>
  <c r="L174" i="33" l="1"/>
  <c r="R174" i="33" s="1"/>
  <c r="B213" i="23"/>
  <c r="L141" i="33"/>
  <c r="L175" i="33" l="1"/>
  <c r="R175" i="33" s="1"/>
  <c r="B214" i="23"/>
  <c r="L142" i="33"/>
  <c r="L176" i="33" l="1"/>
  <c r="R176" i="33" s="1"/>
  <c r="B215" i="23"/>
  <c r="L143" i="33"/>
  <c r="L177" i="33" l="1"/>
  <c r="R177" i="33" s="1"/>
  <c r="B216" i="23"/>
  <c r="L144" i="33"/>
  <c r="B217" i="23" l="1"/>
  <c r="L145" i="33"/>
  <c r="L178" i="33"/>
  <c r="R178" i="33" s="1"/>
  <c r="L179" i="33" l="1"/>
  <c r="R179" i="33" s="1"/>
  <c r="D217" i="23"/>
  <c r="L146" i="33"/>
  <c r="B218" i="23"/>
  <c r="C217" i="23"/>
  <c r="F18" i="23" s="1"/>
  <c r="L180" i="33" l="1"/>
  <c r="R180" i="33" s="1"/>
  <c r="S180" i="33" s="1"/>
  <c r="R147" i="33" l="1"/>
  <c r="R160" i="33"/>
  <c r="C14" i="9" l="1"/>
  <c r="M5" i="11"/>
  <c r="R164" i="33"/>
  <c r="S164" i="33" s="1"/>
  <c r="C87" i="26" l="1"/>
  <c r="C88" i="26"/>
  <c r="C4" i="33" s="1"/>
  <c r="C89" i="26"/>
  <c r="C5" i="33" s="1"/>
  <c r="C90" i="26"/>
  <c r="C6" i="33" s="1"/>
  <c r="C91" i="26"/>
  <c r="C92" i="26"/>
  <c r="C8" i="33" s="1"/>
  <c r="C93" i="26"/>
  <c r="C9" i="33" s="1"/>
  <c r="C94" i="26"/>
  <c r="C10" i="33" s="1"/>
  <c r="C95" i="26"/>
  <c r="C96" i="26"/>
  <c r="C12" i="33" s="1"/>
  <c r="C97" i="26"/>
  <c r="C13" i="33" s="1"/>
  <c r="C98" i="26"/>
  <c r="C14" i="33" s="1"/>
  <c r="C99" i="26"/>
  <c r="C100" i="26"/>
  <c r="C16" i="33" s="1"/>
  <c r="C101" i="26"/>
  <c r="C17" i="33" s="1"/>
  <c r="C102" i="26"/>
  <c r="C18" i="33" s="1"/>
  <c r="C103" i="26"/>
  <c r="C104" i="26"/>
  <c r="C20" i="33" s="1"/>
  <c r="C105" i="26"/>
  <c r="C21" i="33" s="1"/>
  <c r="C106" i="26"/>
  <c r="C22" i="33" s="1"/>
  <c r="C107" i="26"/>
  <c r="C23" i="33" s="1"/>
  <c r="C108" i="26"/>
  <c r="C24" i="33" s="1"/>
  <c r="C109" i="26"/>
  <c r="C25" i="33" s="1"/>
  <c r="C110" i="26"/>
  <c r="C26" i="33" s="1"/>
  <c r="C111" i="26"/>
  <c r="C112" i="26"/>
  <c r="C28" i="33" s="1"/>
  <c r="C113" i="26"/>
  <c r="C29" i="33" s="1"/>
  <c r="C114" i="26"/>
  <c r="C30" i="33" s="1"/>
  <c r="C115" i="26"/>
  <c r="C116" i="26"/>
  <c r="C32" i="33" s="1"/>
  <c r="C117" i="26"/>
  <c r="C33" i="33" s="1"/>
  <c r="C118" i="26"/>
  <c r="C34" i="33" s="1"/>
  <c r="C119" i="26"/>
  <c r="C35" i="33" s="1"/>
  <c r="C120" i="26"/>
  <c r="C36" i="33" s="1"/>
  <c r="C121" i="26"/>
  <c r="C37" i="33" s="1"/>
  <c r="C122" i="26"/>
  <c r="C38" i="33" s="1"/>
  <c r="C123" i="26"/>
  <c r="C124" i="26"/>
  <c r="C40" i="33" s="1"/>
  <c r="C125" i="26"/>
  <c r="C41" i="33" s="1"/>
  <c r="C126" i="26"/>
  <c r="C42" i="33" s="1"/>
  <c r="C127" i="26"/>
  <c r="C128" i="26"/>
  <c r="C44" i="33" s="1"/>
  <c r="C129" i="26"/>
  <c r="C45" i="33" s="1"/>
  <c r="C130" i="26"/>
  <c r="C46" i="33" s="1"/>
  <c r="C131" i="26"/>
  <c r="C47" i="33" s="1"/>
  <c r="C132" i="26"/>
  <c r="C48" i="33" s="1"/>
  <c r="C133" i="26"/>
  <c r="C49" i="33" s="1"/>
  <c r="C134" i="26"/>
  <c r="C50" i="33" s="1"/>
  <c r="C135" i="26"/>
  <c r="C136" i="26"/>
  <c r="C52" i="33" s="1"/>
  <c r="C137" i="26"/>
  <c r="C53" i="33" s="1"/>
  <c r="C138" i="26"/>
  <c r="C54" i="33" s="1"/>
  <c r="C139" i="26"/>
  <c r="C140" i="26"/>
  <c r="C56" i="33" s="1"/>
  <c r="C141" i="26"/>
  <c r="C57" i="33" s="1"/>
  <c r="C142" i="26"/>
  <c r="C58" i="33" s="1"/>
  <c r="C143" i="26"/>
  <c r="C59" i="33" s="1"/>
  <c r="C144" i="26"/>
  <c r="C60" i="33" s="1"/>
  <c r="C145" i="26"/>
  <c r="C61" i="33" s="1"/>
  <c r="C146" i="26"/>
  <c r="C62" i="33" s="1"/>
  <c r="C147" i="26"/>
  <c r="C148" i="26"/>
  <c r="C64" i="33" s="1"/>
  <c r="C149" i="26"/>
  <c r="C65" i="33" s="1"/>
  <c r="C150" i="26"/>
  <c r="C66" i="33" s="1"/>
  <c r="C151" i="26"/>
  <c r="C152" i="26"/>
  <c r="C68" i="33" s="1"/>
  <c r="C153" i="26"/>
  <c r="C69" i="33" s="1"/>
  <c r="C154" i="26"/>
  <c r="C70" i="33" s="1"/>
  <c r="C155" i="26"/>
  <c r="C71" i="33" s="1"/>
  <c r="C156" i="26"/>
  <c r="C72" i="33" s="1"/>
  <c r="C157" i="26"/>
  <c r="C73" i="33" s="1"/>
  <c r="C158" i="26"/>
  <c r="C74" i="33" s="1"/>
  <c r="C159" i="26"/>
  <c r="C160" i="26"/>
  <c r="C76" i="33" s="1"/>
  <c r="C161" i="26"/>
  <c r="C77" i="33" s="1"/>
  <c r="C162" i="26"/>
  <c r="C78" i="33" s="1"/>
  <c r="C163" i="26"/>
  <c r="C164" i="26"/>
  <c r="C80" i="33" s="1"/>
  <c r="C165" i="26"/>
  <c r="C81" i="33" s="1"/>
  <c r="C166" i="26"/>
  <c r="C82" i="33" s="1"/>
  <c r="C167" i="26"/>
  <c r="C83" i="33" s="1"/>
  <c r="C168" i="26"/>
  <c r="C84" i="33" s="1"/>
  <c r="C169" i="26"/>
  <c r="C85" i="33" s="1"/>
  <c r="C170" i="26"/>
  <c r="C86" i="33" s="1"/>
  <c r="C171" i="26"/>
  <c r="C172" i="26"/>
  <c r="C88" i="33" s="1"/>
  <c r="C173" i="26"/>
  <c r="C89" i="33" s="1"/>
  <c r="C174" i="26"/>
  <c r="C90" i="33" s="1"/>
  <c r="C175" i="26"/>
  <c r="C176" i="26"/>
  <c r="C92" i="33" s="1"/>
  <c r="C177" i="26"/>
  <c r="C93" i="33" s="1"/>
  <c r="C178" i="26"/>
  <c r="C94" i="33" s="1"/>
  <c r="C179" i="26"/>
  <c r="C95" i="33" s="1"/>
  <c r="C180" i="26"/>
  <c r="C96" i="33" s="1"/>
  <c r="C181" i="26"/>
  <c r="C97" i="33" s="1"/>
  <c r="C182" i="26"/>
  <c r="C98" i="33" s="1"/>
  <c r="C183" i="26"/>
  <c r="C184" i="26"/>
  <c r="C100" i="33" s="1"/>
  <c r="C185" i="26"/>
  <c r="C101" i="33" s="1"/>
  <c r="C186" i="26"/>
  <c r="C102" i="33" s="1"/>
  <c r="C187" i="26"/>
  <c r="C188" i="26"/>
  <c r="C104" i="33" s="1"/>
  <c r="C189" i="26"/>
  <c r="C105" i="33" s="1"/>
  <c r="C190" i="26"/>
  <c r="C106" i="33" s="1"/>
  <c r="C191" i="26"/>
  <c r="C107" i="33" s="1"/>
  <c r="C192" i="26"/>
  <c r="C108" i="33" s="1"/>
  <c r="C193" i="26"/>
  <c r="C109" i="33" s="1"/>
  <c r="C194" i="26"/>
  <c r="C110" i="33" s="1"/>
  <c r="C195" i="26"/>
  <c r="C196" i="26"/>
  <c r="C112" i="33" s="1"/>
  <c r="C197" i="26"/>
  <c r="C113" i="33" s="1"/>
  <c r="C198" i="26"/>
  <c r="C114" i="33" s="1"/>
  <c r="C199" i="26"/>
  <c r="C200" i="26"/>
  <c r="C116" i="33" s="1"/>
  <c r="C201" i="26"/>
  <c r="C117" i="33" s="1"/>
  <c r="C202" i="26"/>
  <c r="C118" i="33" s="1"/>
  <c r="C203" i="26"/>
  <c r="C119" i="33" s="1"/>
  <c r="C204" i="26"/>
  <c r="C120" i="33" s="1"/>
  <c r="C205" i="26"/>
  <c r="C121" i="33" s="1"/>
  <c r="C206" i="26"/>
  <c r="C122" i="33" s="1"/>
  <c r="C3" i="33"/>
  <c r="C7" i="33"/>
  <c r="C11" i="33"/>
  <c r="C15" i="33"/>
  <c r="C19" i="33"/>
  <c r="C27" i="33"/>
  <c r="C31" i="33"/>
  <c r="C39" i="33"/>
  <c r="C43" i="33"/>
  <c r="C51" i="33"/>
  <c r="C55" i="33"/>
  <c r="C63" i="33"/>
  <c r="C67" i="33"/>
  <c r="C75" i="33"/>
  <c r="C79" i="33"/>
  <c r="C87" i="33"/>
  <c r="C91" i="33"/>
  <c r="C99" i="33"/>
  <c r="C103" i="33"/>
  <c r="C111" i="33"/>
  <c r="C115" i="33"/>
  <c r="D156" i="33" l="1"/>
  <c r="S156" i="33" s="1"/>
  <c r="T156" i="33" s="1"/>
  <c r="D154" i="33"/>
  <c r="S154" i="33"/>
  <c r="T154" i="33" s="1"/>
  <c r="B8" i="9"/>
  <c r="G4" i="11"/>
  <c r="G6" i="11" s="1"/>
  <c r="D152" i="33"/>
  <c r="D158" i="33"/>
  <c r="D150" i="33"/>
  <c r="D157" i="33"/>
  <c r="D149" i="33"/>
  <c r="D155" i="33"/>
  <c r="D151" i="33"/>
  <c r="D153" i="33"/>
  <c r="I4" i="11" l="1"/>
  <c r="I6" i="11" s="1"/>
  <c r="B10" i="9"/>
  <c r="H4" i="11"/>
  <c r="H6" i="11" s="1"/>
  <c r="S155" i="33"/>
  <c r="T155" i="33" s="1"/>
  <c r="B9" i="9"/>
  <c r="S158" i="33"/>
  <c r="T158" i="33" s="1"/>
  <c r="B12" i="9"/>
  <c r="K4" i="11"/>
  <c r="K6" i="11" s="1"/>
  <c r="D162" i="33"/>
  <c r="S162" i="33" s="1"/>
  <c r="S149" i="33"/>
  <c r="B4" i="11"/>
  <c r="B6" i="11" s="1"/>
  <c r="B3" i="9"/>
  <c r="S152" i="33"/>
  <c r="B6" i="9"/>
  <c r="E4" i="11"/>
  <c r="E6" i="11" s="1"/>
  <c r="S153" i="33"/>
  <c r="B7" i="9"/>
  <c r="F4" i="11"/>
  <c r="F6" i="11" s="1"/>
  <c r="S157" i="33"/>
  <c r="T157" i="33" s="1"/>
  <c r="B11" i="9"/>
  <c r="J4" i="11"/>
  <c r="J6" i="11" s="1"/>
  <c r="D10" i="9"/>
  <c r="E10" i="9" s="1"/>
  <c r="F10" i="9"/>
  <c r="D4" i="11"/>
  <c r="D6" i="11" s="1"/>
  <c r="S151" i="33"/>
  <c r="B5" i="9"/>
  <c r="S150" i="33"/>
  <c r="B4" i="9"/>
  <c r="C4" i="11"/>
  <c r="C6" i="11" s="1"/>
  <c r="D8" i="9"/>
  <c r="E8" i="9" s="1"/>
  <c r="F8" i="9"/>
  <c r="D5" i="9" l="1"/>
  <c r="E5" i="9" s="1"/>
  <c r="F5" i="9"/>
  <c r="T149" i="33"/>
  <c r="T233" i="33"/>
  <c r="T235" i="33"/>
  <c r="T151" i="33"/>
  <c r="D4" i="9"/>
  <c r="E4" i="9" s="1"/>
  <c r="F4" i="9"/>
  <c r="T153" i="33"/>
  <c r="T237" i="33"/>
  <c r="D6" i="9"/>
  <c r="E6" i="9" s="1"/>
  <c r="F6" i="9"/>
  <c r="D7" i="9"/>
  <c r="E7" i="9" s="1"/>
  <c r="F7" i="9"/>
  <c r="T236" i="33"/>
  <c r="T152" i="33"/>
  <c r="D9" i="9"/>
  <c r="E9" i="9" s="1"/>
  <c r="F9" i="9"/>
  <c r="D11" i="9"/>
  <c r="E11" i="9" s="1"/>
  <c r="F11" i="9"/>
  <c r="D3" i="9"/>
  <c r="E3" i="9" s="1"/>
  <c r="F3" i="9"/>
  <c r="T234" i="33"/>
  <c r="T150" i="33"/>
  <c r="D12" i="9"/>
  <c r="E12" i="9" s="1"/>
  <c r="F12" i="9"/>
  <c r="F16" i="9" l="1"/>
  <c r="G14" i="9" l="1"/>
  <c r="L8" i="11"/>
  <c r="M7" i="11"/>
  <c r="M8" i="11"/>
  <c r="G13" i="9"/>
  <c r="L7" i="11"/>
  <c r="L9" i="11" s="1"/>
  <c r="M9" i="11" l="1"/>
  <c r="G30" i="9"/>
  <c r="G38" i="9"/>
  <c r="G31" i="9"/>
  <c r="G39" i="9"/>
  <c r="I38" i="9" l="1"/>
  <c r="I30" i="9" s="1"/>
  <c r="L20" i="11" s="1"/>
  <c r="M38" i="9"/>
  <c r="M30" i="9" s="1"/>
  <c r="H38" i="9"/>
  <c r="N38" i="9"/>
  <c r="N30" i="9" s="1"/>
  <c r="L44" i="11" s="1"/>
  <c r="J38" i="9"/>
  <c r="J30" i="9" s="1"/>
  <c r="K38" i="9"/>
  <c r="K30" i="9" s="1"/>
  <c r="L38" i="9"/>
  <c r="L30" i="9" s="1"/>
  <c r="H39" i="9"/>
  <c r="L39" i="9"/>
  <c r="L31" i="9" s="1"/>
  <c r="D13" i="18" s="1"/>
  <c r="M35" i="11" s="1"/>
  <c r="J39" i="9"/>
  <c r="J31" i="9" s="1"/>
  <c r="K39" i="9"/>
  <c r="K31" i="9" s="1"/>
  <c r="N39" i="9"/>
  <c r="N31" i="9" s="1"/>
  <c r="M44" i="11" s="1"/>
  <c r="M39" i="9"/>
  <c r="M31" i="9" s="1"/>
  <c r="I39" i="9"/>
  <c r="I31" i="9" s="1"/>
  <c r="M20" i="11" s="1"/>
  <c r="D12" i="18" l="1"/>
  <c r="L35" i="11" s="1"/>
  <c r="L34" i="11"/>
  <c r="H31" i="9"/>
  <c r="O39" i="9"/>
  <c r="M29" i="11"/>
  <c r="C13" i="18"/>
  <c r="M30" i="11" s="1"/>
  <c r="H30" i="9"/>
  <c r="O38" i="9"/>
  <c r="B13" i="18"/>
  <c r="M24" i="11"/>
  <c r="C12" i="18"/>
  <c r="L30" i="11" s="1"/>
  <c r="L29" i="11"/>
  <c r="L39" i="11"/>
  <c r="E12" i="18"/>
  <c r="L40" i="11" s="1"/>
  <c r="E13" i="18"/>
  <c r="M40" i="11" s="1"/>
  <c r="M39" i="11"/>
  <c r="B12" i="18"/>
  <c r="L24" i="11"/>
  <c r="O30" i="9" l="1"/>
  <c r="P46" i="9" s="1"/>
  <c r="L16" i="11"/>
  <c r="O31" i="9"/>
  <c r="P47" i="9" s="1"/>
  <c r="M16" i="11"/>
  <c r="F12" i="18"/>
  <c r="L55" i="11" s="1"/>
  <c r="L25" i="11"/>
  <c r="M25" i="11"/>
  <c r="F13" i="18"/>
  <c r="M55" i="11" s="1"/>
  <c r="L49" i="11" l="1"/>
  <c r="L50" i="11"/>
  <c r="L60" i="11" s="1"/>
  <c r="M49" i="11"/>
  <c r="M50" i="11"/>
  <c r="M60" i="11" s="1"/>
  <c r="P31" i="9"/>
  <c r="R31" i="9" s="1"/>
  <c r="M54" i="11"/>
  <c r="M11" i="11"/>
  <c r="L11" i="11"/>
  <c r="P30" i="9"/>
  <c r="R30" i="9" s="1"/>
  <c r="L54" i="11"/>
  <c r="L59" i="11" l="1"/>
  <c r="M59" i="11"/>
</calcChain>
</file>

<file path=xl/sharedStrings.xml><?xml version="1.0" encoding="utf-8"?>
<sst xmlns="http://schemas.openxmlformats.org/spreadsheetml/2006/main" count="607" uniqueCount="227">
  <si>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</si>
  <si>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</si>
  <si>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</si>
  <si>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</si>
  <si>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</si>
  <si>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</si>
  <si>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</si>
  <si>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</si>
  <si>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</si>
  <si>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</si>
  <si>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</si>
  <si>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</si>
  <si>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</si>
  <si>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</si>
  <si>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</si>
  <si>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Weatther Normal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</si>
  <si>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</si>
  <si>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</si>
  <si>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</si>
  <si>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</si>
  <si>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</si>
  <si>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</si>
  <si>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</si>
  <si>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</si>
  <si>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</si>
  <si>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</si>
  <si>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</si>
  <si>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</si>
  <si>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</si>
  <si>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</si>
  <si>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</si>
  <si>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</si>
  <si>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</si>
  <si>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</si>
  <si>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</si>
  <si>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</si>
  <si>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</si>
  <si>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</si>
  <si>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</si>
  <si>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</si>
  <si>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</si>
  <si>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</si>
  <si>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</si>
  <si>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</si>
  <si>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</si>
  <si>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</si>
  <si>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</si>
  <si>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</si>
  <si>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</si>
  <si>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</si>
  <si>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</si>
  <si>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</si>
  <si>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</si>
  <si>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</si>
  <si>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</si>
  <si>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</si>
  <si>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</si>
  <si>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</si>
  <si>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</si>
  <si>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</si>
  <si>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</si>
  <si>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</si>
  <si>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</si>
  <si>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</si>
  <si>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</si>
  <si>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Check totals above sould be zero</t>
  </si>
  <si>
    <t>Number of Customers</t>
  </si>
  <si>
    <t>Residential</t>
  </si>
  <si>
    <t>GS&lt;50</t>
  </si>
  <si>
    <t>USL</t>
  </si>
  <si>
    <t>Billed</t>
  </si>
  <si>
    <t>Streetlights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</si>
  <si>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</si>
  <si>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</si>
  <si>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</si>
  <si>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</si>
  <si>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</si>
  <si>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</si>
  <si>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>Consumed</t>
  </si>
  <si>
    <t>Total to 2010</t>
  </si>
  <si>
    <t>GS&gt;50 to 999</t>
  </si>
  <si>
    <t>GS&gt; 1000 to 4999</t>
  </si>
  <si>
    <t>Employment Number %</t>
  </si>
  <si>
    <t>Month</t>
  </si>
  <si>
    <t>Jan</t>
  </si>
  <si>
    <t>4 Year 2011 to 2014 target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</si>
  <si>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</si>
  <si>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</si>
  <si>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</si>
  <si>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</si>
  <si>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</si>
  <si>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</si>
  <si>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</si>
  <si>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</si>
  <si>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</si>
  <si>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</si>
  <si>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</si>
  <si>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Increment</t>
  </si>
  <si>
    <t>4 Year (2011-2014) kWh Target</t>
  </si>
  <si>
    <t>Year</t>
  </si>
  <si>
    <t xml:space="preserve"> CDM Results (Net)</t>
  </si>
  <si>
    <t>2011 CDM Programs</t>
  </si>
  <si>
    <t>2012 CDM Programs</t>
  </si>
  <si>
    <t>2013 CDM Programs</t>
  </si>
  <si>
    <t>2014 CDM Programs</t>
  </si>
  <si>
    <t>Total in Year</t>
  </si>
  <si>
    <t xml:space="preserve">2011 Actual </t>
  </si>
  <si>
    <t xml:space="preserve">2012 Actual </t>
  </si>
  <si>
    <t xml:space="preserve">2013 Actual </t>
  </si>
  <si>
    <t xml:space="preserve">2014 Actual </t>
  </si>
  <si>
    <t>HDD</t>
  </si>
  <si>
    <t>CDD</t>
  </si>
  <si>
    <t>10 Year Average</t>
  </si>
  <si>
    <t>Wholesale Market Participant</t>
  </si>
  <si>
    <t>Trend</t>
  </si>
  <si>
    <t>HDD Trend</t>
  </si>
  <si>
    <t>CDD Trend</t>
  </si>
  <si>
    <t>Spring Flag</t>
  </si>
  <si>
    <t>Fall Flag</t>
  </si>
  <si>
    <t>Outlet Mall</t>
  </si>
  <si>
    <t>Population</t>
  </si>
  <si>
    <t xml:space="preserve">Residential </t>
  </si>
  <si>
    <t>GS&lt;50 kW</t>
  </si>
  <si>
    <t>GS&gt;50 kW</t>
  </si>
  <si>
    <t>GS&gt;1,000 kW</t>
  </si>
  <si>
    <t>Total kWh</t>
  </si>
  <si>
    <t>.</t>
  </si>
  <si>
    <t>Table 3-4</t>
  </si>
  <si>
    <t>Forecast Summary Excluding CDM Impacts</t>
  </si>
  <si>
    <t>10 Year HDD/CDD</t>
  </si>
  <si>
    <t>Table 3-5</t>
  </si>
  <si>
    <t>Historical Number of Customers/Connections</t>
  </si>
  <si>
    <t>GS &lt;50 kW</t>
  </si>
  <si>
    <t>GS &gt;50 to 999 kW</t>
  </si>
  <si>
    <t>GS &gt;1,000 to 4,999 kW</t>
  </si>
  <si>
    <t>Unmetered Scatterred Load</t>
  </si>
  <si>
    <t>Table 3-6</t>
  </si>
  <si>
    <t>Customer/Connection Percentage Growth Rates</t>
  </si>
  <si>
    <t>Table 3-7</t>
  </si>
  <si>
    <t>Forecasted Customers/Connections</t>
  </si>
  <si>
    <t>Table 3-8</t>
  </si>
  <si>
    <t>Historical kWh Usage</t>
  </si>
  <si>
    <t>Table 3-9</t>
  </si>
  <si>
    <t>Historical Percentage Growth Rates</t>
  </si>
  <si>
    <t>Table 3-10</t>
  </si>
  <si>
    <t>Forecasted Annual kWh Usage Per Customer/Connection</t>
  </si>
  <si>
    <t>Table 3-11</t>
  </si>
  <si>
    <t>Billed Energy Forecast - Non-Normalized Weather</t>
  </si>
  <si>
    <t>Table 3-12</t>
  </si>
  <si>
    <t>Weather Sensitivity By Rate Class kWh</t>
  </si>
  <si>
    <t>Table 3-13</t>
  </si>
  <si>
    <t>Normalized kWh, Excluding CDM Adjustments</t>
  </si>
  <si>
    <t>% Savings</t>
  </si>
  <si>
    <t>kWh Savings</t>
  </si>
  <si>
    <t>Table 3-14</t>
  </si>
  <si>
    <t>Impact of 2011 to 2014 CDM Programs (kWH)</t>
  </si>
  <si>
    <t>CDM Impacts</t>
  </si>
  <si>
    <t>Daylight Hours</t>
  </si>
  <si>
    <t>CDM Impacts on the 2016 Load Forecast (MWh)</t>
  </si>
  <si>
    <t>Load Forecast (excluding CDM)</t>
  </si>
  <si>
    <t>Deduct persistent CDM savings (CDM savings were added to historical data):</t>
  </si>
  <si>
    <t>Pre 2011 CDM Programs</t>
  </si>
  <si>
    <t>2011 to 2014 CDM Programs</t>
  </si>
  <si>
    <t>Sub total</t>
  </si>
  <si>
    <t>Manual CDM Adjustment for 2015 and 2016 CDM Programs</t>
  </si>
  <si>
    <t>Load Forecast Including impact of CDM</t>
  </si>
  <si>
    <t>2016 CDM Impacts By Rate Class</t>
  </si>
  <si>
    <t>Table 3-</t>
  </si>
  <si>
    <t>(Not Required)</t>
  </si>
  <si>
    <t>kWh</t>
  </si>
  <si>
    <t>kW</t>
  </si>
  <si>
    <t>Table 3-15 CDM Impacts By Rate Class for Load Forecast</t>
  </si>
  <si>
    <t>Table 3-16 CDM Impacts By Rate Class for LRAM VA</t>
  </si>
  <si>
    <t>Table 3-17 Historical kW by Rate Class</t>
  </si>
  <si>
    <t>Table 3-18 Historical Relationship between kW and kWh by Rate Class</t>
  </si>
  <si>
    <t>kW / kWh</t>
  </si>
  <si>
    <t>Year End Values</t>
  </si>
  <si>
    <t>Year End Customers</t>
  </si>
  <si>
    <t>Year End Connections</t>
  </si>
  <si>
    <t>Total Power Purchases</t>
  </si>
  <si>
    <t>Purchased - IESO</t>
  </si>
  <si>
    <t>2006 Programs</t>
  </si>
  <si>
    <t>2007 Programs</t>
  </si>
  <si>
    <t>2008 Programs</t>
  </si>
  <si>
    <t>2009 Programs</t>
  </si>
  <si>
    <t>2010 Programs</t>
  </si>
  <si>
    <t>2011 Programs</t>
  </si>
  <si>
    <t>2012 Programs</t>
  </si>
  <si>
    <t>2013 Programs</t>
  </si>
  <si>
    <t>2014 Programs</t>
  </si>
  <si>
    <t>2015 Programs</t>
  </si>
  <si>
    <t>2016 Programs</t>
  </si>
  <si>
    <t>2017 Programs</t>
  </si>
  <si>
    <t>2018 Programs</t>
  </si>
  <si>
    <t>2019 Programs</t>
  </si>
  <si>
    <t>Total with half year rule adjustment</t>
  </si>
  <si>
    <t>CDM Activity Variable</t>
  </si>
  <si>
    <t>2020 Programs</t>
  </si>
  <si>
    <t>Used</t>
  </si>
  <si>
    <t>Geomean</t>
  </si>
  <si>
    <t xml:space="preserve">Covid 19 % Impact </t>
  </si>
  <si>
    <t xml:space="preserve">Covid 19 Impact </t>
  </si>
  <si>
    <t>From March 15th</t>
  </si>
  <si>
    <t>Full Year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</si>
  <si>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</si>
  <si>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</si>
  <si>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</si>
  <si>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</si>
  <si>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</si>
  <si>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>2020 Weather Normal</t>
  </si>
  <si>
    <t>2021 Weather Normal</t>
  </si>
  <si>
    <t>Halton Hills Hydro Inc. Weather Normal Load Forecast for 2021 Rate Application</t>
  </si>
  <si>
    <t>20 Year Trend Scenario</t>
  </si>
  <si>
    <t>CDM</t>
  </si>
  <si>
    <t>Covid Adjustment</t>
  </si>
  <si>
    <t>Net Purchases</t>
  </si>
  <si>
    <t>Direct CDM Adjustment</t>
  </si>
  <si>
    <t>Direct CDM and Closing adjustment</t>
  </si>
  <si>
    <t>Direct CDM and Closing Reductions</t>
  </si>
  <si>
    <t>Customer</t>
  </si>
  <si>
    <t>Source File</t>
  </si>
  <si>
    <t>Total Manual kW Adjustment</t>
  </si>
  <si>
    <t>Total Manual kWh Adjustment</t>
  </si>
  <si>
    <t>Average Customer Count - 2021</t>
  </si>
  <si>
    <t>Base on May 20, 2020 IESO  update</t>
  </si>
  <si>
    <t>Metered Customers</t>
  </si>
  <si>
    <t>Average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</si>
</sst>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_(* #,##0.000_);_(* \(#,##0.000\);_(* &quot;-&quot;??_);_(@_)"/>
    <numFmt numFmtId="174" formatCode="_-* #,##0_-;\-* #,##0_-;_-* &quot;-&quot;??_-;_-@_-"/>
    <numFmt numFmtId="175" formatCode="#,##0.0"/>
    <numFmt numFmtId="176" formatCode="_-* #,##0.0000_-;\-* #,##0.0000_-;_-* &quot;-&quot;??_-;_-@_-"/>
    <numFmt numFmtId="177" formatCode="_(* #,##0.0000_);_(* \(#,##0.0000\);_(* &quot;-&quot;??_);_(@_)"/>
    <numFmt numFmtId="178" formatCode="_-* #,##0.0_-;\-* #,##0.0_-;_-* &quot;-&quot;?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7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" fontId="0" fillId="0" borderId="0" xfId="4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0" fillId="0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3" fillId="0" borderId="0" xfId="0" applyFont="1" applyAlignment="1"/>
    <xf numFmtId="17" fontId="3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4" fontId="2" fillId="0" borderId="0" xfId="0" applyNumberFormat="1" applyFont="1" applyAlignment="1">
      <alignment horizontal="center" wrapText="1"/>
    </xf>
    <xf numFmtId="4" fontId="0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4" fillId="0" borderId="0" xfId="0" applyFont="1"/>
    <xf numFmtId="165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wrapText="1"/>
    </xf>
    <xf numFmtId="3" fontId="0" fillId="3" borderId="0" xfId="4" applyNumberFormat="1" applyFont="1" applyFill="1" applyAlignment="1">
      <alignment horizontal="center"/>
    </xf>
    <xf numFmtId="37" fontId="0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ont="1" applyFill="1" applyAlignment="1">
      <alignment horizontal="center"/>
    </xf>
    <xf numFmtId="164" fontId="0" fillId="0" borderId="0" xfId="4" applyFont="1" applyFill="1" applyBorder="1" applyAlignment="1"/>
    <xf numFmtId="164" fontId="0" fillId="0" borderId="2" xfId="4" applyFont="1" applyFill="1" applyBorder="1" applyAlignment="1"/>
    <xf numFmtId="170" fontId="0" fillId="0" borderId="0" xfId="4" applyNumberFormat="1" applyFont="1" applyFill="1" applyBorder="1" applyAlignment="1"/>
    <xf numFmtId="170" fontId="0" fillId="0" borderId="2" xfId="4" applyNumberFormat="1" applyFont="1" applyFill="1" applyBorder="1" applyAlignment="1"/>
    <xf numFmtId="9" fontId="0" fillId="0" borderId="0" xfId="1" applyFont="1" applyFill="1" applyBorder="1" applyAlignment="1"/>
    <xf numFmtId="171" fontId="0" fillId="3" borderId="0" xfId="0" applyNumberFormat="1" applyFill="1" applyAlignment="1">
      <alignment horizontal="center"/>
    </xf>
    <xf numFmtId="3" fontId="0" fillId="0" borderId="0" xfId="4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/>
    <xf numFmtId="3" fontId="0" fillId="0" borderId="0" xfId="4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0" fillId="0" borderId="0" xfId="0" applyNumberFormat="1" applyFont="1" applyAlignment="1">
      <alignment horizontal="center"/>
    </xf>
    <xf numFmtId="9" fontId="0" fillId="3" borderId="0" xfId="1" applyFont="1" applyFill="1" applyAlignment="1">
      <alignment horizontal="center"/>
    </xf>
    <xf numFmtId="0" fontId="0" fillId="0" borderId="0" xfId="0" applyFont="1" applyAlignment="1">
      <alignment horizontal="center" wrapText="1"/>
    </xf>
    <xf numFmtId="4" fontId="0" fillId="0" borderId="0" xfId="0" applyNumberFormat="1" applyFont="1" applyAlignment="1">
      <alignment horizontal="center" wrapText="1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37" fontId="0" fillId="0" borderId="0" xfId="0" applyNumberFormat="1" applyFont="1" applyAlignment="1">
      <alignment horizontal="right"/>
    </xf>
    <xf numFmtId="174" fontId="0" fillId="0" borderId="0" xfId="9" applyNumberFormat="1" applyFont="1"/>
    <xf numFmtId="0" fontId="0" fillId="0" borderId="1" xfId="0" applyBorder="1" applyAlignment="1">
      <alignment horizontal="center"/>
    </xf>
    <xf numFmtId="174" fontId="0" fillId="0" borderId="0" xfId="0" applyNumberFormat="1"/>
    <xf numFmtId="0" fontId="0" fillId="0" borderId="0" xfId="0" applyFont="1"/>
    <xf numFmtId="3" fontId="0" fillId="0" borderId="0" xfId="0" applyNumberFormat="1"/>
    <xf numFmtId="170" fontId="0" fillId="0" borderId="0" xfId="4" applyNumberFormat="1" applyFont="1"/>
    <xf numFmtId="174" fontId="0" fillId="0" borderId="0" xfId="9" applyNumberFormat="1" applyFont="1" applyFill="1"/>
    <xf numFmtId="170" fontId="0" fillId="0" borderId="0" xfId="4" applyNumberFormat="1" applyFont="1" applyFill="1"/>
    <xf numFmtId="164" fontId="0" fillId="0" borderId="0" xfId="4" applyNumberFormat="1" applyFont="1" applyFill="1"/>
    <xf numFmtId="0" fontId="0" fillId="0" borderId="0" xfId="0" applyBorder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7" xfId="0" applyFont="1" applyBorder="1"/>
    <xf numFmtId="0" fontId="0" fillId="0" borderId="8" xfId="0" applyFont="1" applyBorder="1"/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0" xfId="0" applyFont="1" applyFill="1" applyAlignment="1">
      <alignment horizontal="right" vertical="center" wrapText="1"/>
    </xf>
    <xf numFmtId="3" fontId="0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2" fontId="0" fillId="0" borderId="0" xfId="4" applyNumberFormat="1" applyFont="1"/>
    <xf numFmtId="17" fontId="0" fillId="0" borderId="0" xfId="0" applyNumberFormat="1" applyBorder="1" applyAlignment="1">
      <alignment horizontal="center"/>
    </xf>
    <xf numFmtId="172" fontId="0" fillId="0" borderId="0" xfId="0" applyNumberFormat="1" applyBorder="1"/>
    <xf numFmtId="0" fontId="0" fillId="0" borderId="0" xfId="0" applyBorder="1"/>
    <xf numFmtId="172" fontId="0" fillId="0" borderId="0" xfId="4" applyNumberFormat="1" applyFont="1" applyFill="1" applyBorder="1" applyAlignment="1">
      <alignment horizontal="center"/>
    </xf>
    <xf numFmtId="170" fontId="0" fillId="0" borderId="0" xfId="0" applyNumberFormat="1" applyBorder="1"/>
    <xf numFmtId="0" fontId="0" fillId="0" borderId="0" xfId="0" applyFont="1" applyFill="1"/>
    <xf numFmtId="17" fontId="0" fillId="0" borderId="0" xfId="12" applyNumberFormat="1" applyFont="1" applyFill="1"/>
    <xf numFmtId="0" fontId="0" fillId="0" borderId="0" xfId="12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 wrapText="1"/>
    </xf>
    <xf numFmtId="170" fontId="0" fillId="0" borderId="0" xfId="0" applyNumberFormat="1"/>
    <xf numFmtId="0" fontId="6" fillId="0" borderId="0" xfId="0" applyFont="1"/>
    <xf numFmtId="172" fontId="0" fillId="0" borderId="0" xfId="4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72" fontId="3" fillId="0" borderId="0" xfId="4" applyNumberFormat="1" applyFont="1" applyFill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170" fontId="0" fillId="0" borderId="0" xfId="4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wrapText="1"/>
    </xf>
    <xf numFmtId="164" fontId="0" fillId="0" borderId="0" xfId="4" applyFont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Alignment="1">
      <alignment horizontal="left"/>
    </xf>
    <xf numFmtId="170" fontId="0" fillId="0" borderId="0" xfId="0" applyNumberFormat="1" applyFill="1"/>
    <xf numFmtId="0" fontId="0" fillId="0" borderId="0" xfId="0" applyFont="1" applyAlignment="1">
      <alignment horizontal="left" wrapText="1"/>
    </xf>
    <xf numFmtId="173" fontId="0" fillId="5" borderId="0" xfId="4" applyNumberFormat="1" applyFont="1" applyFill="1" applyAlignment="1">
      <alignment horizontal="center"/>
    </xf>
    <xf numFmtId="172" fontId="0" fillId="5" borderId="0" xfId="4" applyNumberFormat="1" applyFont="1" applyFill="1" applyAlignment="1">
      <alignment horizontal="center"/>
    </xf>
    <xf numFmtId="0" fontId="0" fillId="0" borderId="1" xfId="0" applyBorder="1"/>
    <xf numFmtId="170" fontId="0" fillId="0" borderId="1" xfId="4" applyNumberFormat="1" applyFont="1" applyBorder="1"/>
    <xf numFmtId="0" fontId="0" fillId="0" borderId="0" xfId="0" applyFont="1" applyFill="1" applyAlignment="1">
      <alignment horizontal="center" wrapText="1"/>
    </xf>
    <xf numFmtId="4" fontId="0" fillId="0" borderId="0" xfId="0" applyNumberFormat="1" applyFont="1" applyFill="1" applyAlignment="1">
      <alignment horizontal="center" wrapText="1"/>
    </xf>
    <xf numFmtId="173" fontId="0" fillId="0" borderId="0" xfId="4" applyNumberFormat="1" applyFont="1" applyFill="1" applyAlignment="1">
      <alignment horizontal="center"/>
    </xf>
    <xf numFmtId="170" fontId="0" fillId="0" borderId="0" xfId="4" applyNumberFormat="1" applyFont="1" applyFill="1"/>
    <xf numFmtId="175" fontId="0" fillId="0" borderId="0" xfId="0" applyNumberFormat="1" applyAlignment="1">
      <alignment horizontal="center"/>
    </xf>
    <xf numFmtId="170" fontId="0" fillId="0" borderId="0" xfId="4" applyNumberFormat="1" applyFont="1" applyFill="1" applyAlignment="1">
      <alignment horizontal="center"/>
    </xf>
    <xf numFmtId="9" fontId="0" fillId="0" borderId="0" xfId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0" fontId="0" fillId="0" borderId="0" xfId="1" applyNumberFormat="1" applyFont="1"/>
    <xf numFmtId="0" fontId="8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166" fontId="0" fillId="0" borderId="0" xfId="0" applyNumberForma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74" fontId="0" fillId="0" borderId="1" xfId="4" applyNumberFormat="1" applyFont="1" applyBorder="1"/>
    <xf numFmtId="174" fontId="0" fillId="0" borderId="1" xfId="4" applyNumberFormat="1" applyFont="1" applyBorder="1" applyAlignment="1">
      <alignment horizontal="center"/>
    </xf>
    <xf numFmtId="176" fontId="0" fillId="0" borderId="1" xfId="4" applyNumberFormat="1" applyFont="1" applyBorder="1" applyAlignment="1">
      <alignment horizontal="center"/>
    </xf>
    <xf numFmtId="176" fontId="0" fillId="0" borderId="1" xfId="4" applyNumberFormat="1" applyFont="1" applyBorder="1"/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7" fontId="0" fillId="0" borderId="1" xfId="4" applyNumberFormat="1" applyFont="1" applyBorder="1"/>
    <xf numFmtId="170" fontId="0" fillId="0" borderId="1" xfId="4" applyNumberFormat="1" applyFont="1" applyBorder="1" applyAlignment="1">
      <alignment horizontal="center"/>
    </xf>
    <xf numFmtId="0" fontId="0" fillId="0" borderId="1" xfId="4" applyNumberFormat="1" applyFont="1" applyBorder="1"/>
    <xf numFmtId="9" fontId="0" fillId="0" borderId="1" xfId="1" applyFont="1" applyBorder="1" applyAlignment="1">
      <alignment horizontal="center"/>
    </xf>
    <xf numFmtId="10" fontId="0" fillId="0" borderId="0" xfId="0" applyNumberFormat="1" applyFill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10" fontId="0" fillId="0" borderId="0" xfId="1" applyNumberFormat="1" applyFont="1" applyBorder="1" applyAlignment="1">
      <alignment horizontal="right"/>
    </xf>
    <xf numFmtId="10" fontId="0" fillId="0" borderId="9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0" fontId="3" fillId="0" borderId="11" xfId="0" quotePrefix="1" applyFont="1" applyBorder="1"/>
    <xf numFmtId="0" fontId="3" fillId="0" borderId="7" xfId="0" applyFont="1" applyBorder="1"/>
    <xf numFmtId="170" fontId="0" fillId="5" borderId="0" xfId="4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9" fontId="0" fillId="0" borderId="1" xfId="1" applyNumberFormat="1" applyFont="1" applyBorder="1"/>
    <xf numFmtId="170" fontId="0" fillId="0" borderId="0" xfId="4" applyNumberFormat="1" applyFont="1" applyBorder="1"/>
    <xf numFmtId="0" fontId="3" fillId="6" borderId="0" xfId="0" applyFont="1" applyFill="1"/>
    <xf numFmtId="2" fontId="0" fillId="0" borderId="0" xfId="0" applyNumberFormat="1" applyFill="1" applyAlignment="1">
      <alignment horizontal="right" wrapText="1"/>
    </xf>
    <xf numFmtId="0" fontId="3" fillId="7" borderId="0" xfId="0" applyFont="1" applyFill="1"/>
    <xf numFmtId="0" fontId="0" fillId="7" borderId="0" xfId="0" applyFill="1"/>
    <xf numFmtId="0" fontId="3" fillId="7" borderId="0" xfId="0" applyFont="1" applyFill="1" applyAlignment="1">
      <alignment horizontal="left"/>
    </xf>
    <xf numFmtId="0" fontId="7" fillId="7" borderId="11" xfId="0" applyFont="1" applyFill="1" applyBorder="1"/>
    <xf numFmtId="0" fontId="0" fillId="7" borderId="4" xfId="0" applyFill="1" applyBorder="1"/>
    <xf numFmtId="0" fontId="7" fillId="7" borderId="4" xfId="0" applyFont="1" applyFill="1" applyBorder="1" applyAlignment="1">
      <alignment horizontal="right"/>
    </xf>
    <xf numFmtId="0" fontId="7" fillId="7" borderId="5" xfId="0" applyFont="1" applyFill="1" applyBorder="1" applyAlignment="1">
      <alignment horizontal="right"/>
    </xf>
    <xf numFmtId="0" fontId="0" fillId="7" borderId="7" xfId="0" applyFill="1" applyBorder="1"/>
    <xf numFmtId="0" fontId="0" fillId="7" borderId="0" xfId="0" applyFill="1" applyBorder="1"/>
    <xf numFmtId="170" fontId="0" fillId="7" borderId="0" xfId="4" applyNumberFormat="1" applyFont="1" applyFill="1" applyBorder="1"/>
    <xf numFmtId="170" fontId="0" fillId="7" borderId="6" xfId="4" applyNumberFormat="1" applyFont="1" applyFill="1" applyBorder="1"/>
    <xf numFmtId="0" fontId="0" fillId="7" borderId="12" xfId="0" applyFill="1" applyBorder="1"/>
    <xf numFmtId="0" fontId="0" fillId="7" borderId="13" xfId="0" applyFill="1" applyBorder="1"/>
    <xf numFmtId="170" fontId="0" fillId="7" borderId="13" xfId="4" applyNumberFormat="1" applyFont="1" applyFill="1" applyBorder="1"/>
    <xf numFmtId="170" fontId="0" fillId="7" borderId="14" xfId="4" applyNumberFormat="1" applyFont="1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2" xfId="0" applyFill="1" applyBorder="1"/>
    <xf numFmtId="170" fontId="0" fillId="7" borderId="17" xfId="4" applyNumberFormat="1" applyFont="1" applyFill="1" applyBorder="1"/>
    <xf numFmtId="170" fontId="0" fillId="7" borderId="18" xfId="4" applyNumberFormat="1" applyFont="1" applyFill="1" applyBorder="1"/>
    <xf numFmtId="0" fontId="0" fillId="7" borderId="0" xfId="0" applyFont="1" applyFill="1"/>
    <xf numFmtId="3" fontId="0" fillId="7" borderId="0" xfId="0" applyNumberFormat="1" applyFill="1"/>
    <xf numFmtId="0" fontId="3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170" fontId="0" fillId="7" borderId="0" xfId="0" applyNumberFormat="1" applyFill="1" applyBorder="1"/>
    <xf numFmtId="0" fontId="0" fillId="7" borderId="6" xfId="0" applyFill="1" applyBorder="1"/>
    <xf numFmtId="170" fontId="0" fillId="7" borderId="15" xfId="0" applyNumberFormat="1" applyFill="1" applyBorder="1"/>
    <xf numFmtId="170" fontId="0" fillId="7" borderId="19" xfId="4" applyNumberFormat="1" applyFont="1" applyFill="1" applyBorder="1"/>
    <xf numFmtId="0" fontId="0" fillId="7" borderId="20" xfId="0" applyFill="1" applyBorder="1" applyAlignment="1">
      <alignment wrapText="1"/>
    </xf>
    <xf numFmtId="170" fontId="0" fillId="7" borderId="2" xfId="0" applyNumberFormat="1" applyFill="1" applyBorder="1"/>
    <xf numFmtId="170" fontId="0" fillId="7" borderId="21" xfId="0" applyNumberFormat="1" applyFill="1" applyBorder="1"/>
    <xf numFmtId="169" fontId="0" fillId="0" borderId="0" xfId="1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177" fontId="0" fillId="0" borderId="0" xfId="4" applyNumberFormat="1" applyFont="1"/>
    <xf numFmtId="10" fontId="0" fillId="0" borderId="0" xfId="1" applyNumberFormat="1" applyFont="1" applyFill="1" applyBorder="1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0" fillId="4" borderId="0" xfId="4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172" fontId="0" fillId="0" borderId="0" xfId="4" applyNumberFormat="1" applyFont="1" applyFill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1" xfId="0" applyFill="1" applyBorder="1" applyAlignment="1">
      <alignment vertical="top"/>
    </xf>
    <xf numFmtId="174" fontId="0" fillId="0" borderId="1" xfId="9" applyNumberFormat="1" applyFont="1" applyBorder="1"/>
    <xf numFmtId="0" fontId="0" fillId="0" borderId="23" xfId="0" applyFill="1" applyBorder="1" applyAlignment="1">
      <alignment vertical="top"/>
    </xf>
    <xf numFmtId="43" fontId="0" fillId="0" borderId="0" xfId="0" applyNumberFormat="1"/>
    <xf numFmtId="174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174" fontId="0" fillId="0" borderId="0" xfId="0" applyNumberFormat="1" applyFill="1"/>
    <xf numFmtId="170" fontId="0" fillId="0" borderId="0" xfId="9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3" fontId="9" fillId="0" borderId="0" xfId="0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0" borderId="0" xfId="1" applyNumberFormat="1" applyFont="1" applyAlignment="1">
      <alignment horizontal="center"/>
    </xf>
    <xf numFmtId="171" fontId="0" fillId="0" borderId="0" xfId="0" applyNumberFormat="1"/>
    <xf numFmtId="178" fontId="0" fillId="0" borderId="0" xfId="0" applyNumberFormat="1"/>
    <xf numFmtId="172" fontId="0" fillId="0" borderId="2" xfId="4" applyNumberFormat="1" applyFont="1" applyFill="1" applyBorder="1" applyAlignment="1"/>
    <xf numFmtId="3" fontId="0" fillId="0" borderId="0" xfId="0" applyNumberFormat="1" applyAlignment="1">
      <alignment horizontal="left"/>
    </xf>
    <xf numFmtId="0" fontId="10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center"/>
    </xf>
    <xf numFmtId="3" fontId="0" fillId="8" borderId="0" xfId="0" applyNumberFormat="1" applyFill="1" applyAlignment="1">
      <alignment horizontal="right"/>
    </xf>
    <xf numFmtId="166" fontId="0" fillId="8" borderId="0" xfId="0" applyNumberFormat="1" applyFill="1" applyAlignment="1">
      <alignment horizontal="center"/>
    </xf>
    <xf numFmtId="165" fontId="0" fillId="8" borderId="0" xfId="1" applyNumberFormat="1" applyFont="1" applyFill="1" applyAlignment="1">
      <alignment horizontal="center"/>
    </xf>
    <xf numFmtId="0" fontId="0" fillId="8" borderId="0" xfId="0" applyFill="1" applyAlignment="1">
      <alignment horizontal="center"/>
    </xf>
    <xf numFmtId="170" fontId="0" fillId="8" borderId="0" xfId="0" applyNumberFormat="1" applyFill="1" applyAlignment="1">
      <alignment horizontal="center"/>
    </xf>
    <xf numFmtId="37" fontId="0" fillId="8" borderId="0" xfId="0" applyNumberFormat="1" applyFill="1" applyBorder="1" applyAlignment="1">
      <alignment horizontal="center"/>
    </xf>
    <xf numFmtId="3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170" fontId="0" fillId="8" borderId="0" xfId="4" applyNumberFormat="1" applyFont="1" applyFill="1" applyAlignment="1">
      <alignment horizontal="center"/>
    </xf>
    <xf numFmtId="37" fontId="0" fillId="8" borderId="0" xfId="0" applyNumberFormat="1" applyFill="1" applyAlignment="1">
      <alignment horizontal="center"/>
    </xf>
    <xf numFmtId="2" fontId="0" fillId="0" borderId="0" xfId="0" applyNumberFormat="1"/>
    <xf numFmtId="37" fontId="0" fillId="8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right" vertical="top"/>
    </xf>
    <xf numFmtId="0" fontId="0" fillId="0" borderId="24" xfId="0" applyFill="1" applyBorder="1" applyAlignment="1">
      <alignment horizontal="right" vertical="top"/>
    </xf>
    <xf numFmtId="0" fontId="0" fillId="0" borderId="25" xfId="0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0" fillId="7" borderId="7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0" fillId="7" borderId="22" xfId="0" applyFill="1" applyBorder="1" applyAlignment="1">
      <alignment horizontal="left" wrapText="1"/>
    </xf>
    <xf numFmtId="0" fontId="0" fillId="7" borderId="15" xfId="0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7" borderId="0" xfId="0" applyFont="1" applyFill="1" applyAlignment="1">
      <alignment horizontal="left"/>
    </xf>
  </cellXfs>
  <cellStyles count="17">
    <cellStyle name="Comma" xfId="4"/>
    <cellStyle name="Comma [0]" xfId="5"/>
    <cellStyle name="Comma 2" xfId="6"/>
    <cellStyle name="Comma 2 2" xfId="13"/>
    <cellStyle name="Comma 3" xfId="7"/>
    <cellStyle name="Comma 3 2" xfId="15"/>
    <cellStyle name="Comma 4" xfId="11"/>
    <cellStyle name="Comma_CDM monthly amounts" xfId="9"/>
    <cellStyle name="Currency" xfId="2"/>
    <cellStyle name="Currency [0]" xfId="3"/>
    <cellStyle name="Normal" xfId="0" builtinId="0"/>
    <cellStyle name="Normal 2" xfId="12"/>
    <cellStyle name="Normal 3" xfId="10"/>
    <cellStyle name="Normal 5 2" xfId="14"/>
    <cellStyle name="Percent" xfId="1"/>
    <cellStyle name="Percent 2" xfId="8"/>
    <cellStyle name="Percent 3 2" xfId="16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ds.ontarioenergyboard.ca/Users/askidmore/AppData/Local/Microsoft/Windows/Temporary%20Internet%20Files/Content.Outlook/0GV1CQED/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HHH%202020%20applic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5_P1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6_P1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7_P1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8_P1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9_P1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2006-2010%20Final%20OPA%20CDM%20Results%20Halton%20Hills%20Hydro%20In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Halton%20Hills%20LRAMVA%20Work%20Form%20(2015-2019)V3%20-%20tr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LRAM%20VA%20HHH%20run%20date%20May%201%202020%20v2%20(by%20Clas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588340837587.xls"/>
    </sheetNames>
    <sheetDataSet>
      <sheetData sheetId="0">
        <row r="37">
          <cell r="H37">
            <v>3169000</v>
          </cell>
        </row>
        <row r="39">
          <cell r="H39">
            <v>4795637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 refreshError="1">
        <row r="32">
          <cell r="Q32">
            <v>792.39999999999975</v>
          </cell>
          <cell r="S32">
            <v>0</v>
          </cell>
        </row>
        <row r="61">
          <cell r="Q61">
            <v>856.8</v>
          </cell>
          <cell r="S61">
            <v>0</v>
          </cell>
        </row>
        <row r="92">
          <cell r="Q92">
            <v>615.49999999999989</v>
          </cell>
          <cell r="S92">
            <v>0</v>
          </cell>
        </row>
        <row r="122">
          <cell r="Q122">
            <v>313.7</v>
          </cell>
          <cell r="S122">
            <v>0</v>
          </cell>
        </row>
        <row r="153">
          <cell r="Q153">
            <v>89.3</v>
          </cell>
          <cell r="S153">
            <v>34.1</v>
          </cell>
        </row>
        <row r="183">
          <cell r="Q183">
            <v>33.800000000000004</v>
          </cell>
          <cell r="S183">
            <v>32.299999999999997</v>
          </cell>
        </row>
        <row r="214">
          <cell r="Q214">
            <v>4</v>
          </cell>
          <cell r="S214">
            <v>114.29999999999998</v>
          </cell>
        </row>
        <row r="245">
          <cell r="Q245">
            <v>4.4000000000000004</v>
          </cell>
          <cell r="S245">
            <v>88.6</v>
          </cell>
        </row>
        <row r="275">
          <cell r="Q275">
            <v>31.099999999999994</v>
          </cell>
          <cell r="S275">
            <v>81.900000000000006</v>
          </cell>
        </row>
        <row r="306">
          <cell r="Q306">
            <v>249.8</v>
          </cell>
          <cell r="S306">
            <v>0</v>
          </cell>
        </row>
        <row r="336">
          <cell r="Q336">
            <v>345</v>
          </cell>
          <cell r="S336">
            <v>0</v>
          </cell>
        </row>
        <row r="367">
          <cell r="Q367">
            <v>429.70000000000005</v>
          </cell>
          <cell r="S367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 refreshError="1">
        <row r="32">
          <cell r="Q32">
            <v>670.4</v>
          </cell>
          <cell r="S32">
            <v>0</v>
          </cell>
        </row>
        <row r="61">
          <cell r="Q61">
            <v>588.4</v>
          </cell>
          <cell r="S61">
            <v>0</v>
          </cell>
        </row>
        <row r="92">
          <cell r="Q92">
            <v>476.0999999999998</v>
          </cell>
          <cell r="S92">
            <v>0</v>
          </cell>
        </row>
        <row r="122">
          <cell r="Q122">
            <v>394.8</v>
          </cell>
          <cell r="S122">
            <v>0</v>
          </cell>
        </row>
        <row r="153">
          <cell r="Q153">
            <v>142.50000000000003</v>
          </cell>
          <cell r="S153">
            <v>36.9</v>
          </cell>
        </row>
        <row r="183">
          <cell r="Q183">
            <v>24.200000000000003</v>
          </cell>
          <cell r="S183">
            <v>83.7</v>
          </cell>
        </row>
        <row r="214">
          <cell r="Q214">
            <v>0</v>
          </cell>
          <cell r="S214">
            <v>176.89999999999998</v>
          </cell>
        </row>
        <row r="245">
          <cell r="Q245">
            <v>0</v>
          </cell>
          <cell r="S245">
            <v>195.4</v>
          </cell>
        </row>
        <row r="275">
          <cell r="Q275">
            <v>25.900000000000006</v>
          </cell>
          <cell r="S275">
            <v>69.400000000000006</v>
          </cell>
        </row>
        <row r="306">
          <cell r="Q306">
            <v>194.20000000000002</v>
          </cell>
          <cell r="S306">
            <v>4.0999999999999996</v>
          </cell>
        </row>
        <row r="336">
          <cell r="Q336">
            <v>337.80000000000007</v>
          </cell>
          <cell r="S336">
            <v>0</v>
          </cell>
        </row>
        <row r="367">
          <cell r="Q367">
            <v>607.99999999999989</v>
          </cell>
          <cell r="S36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 refreshError="1">
        <row r="32">
          <cell r="Q32">
            <v>608.9</v>
          </cell>
          <cell r="S32">
            <v>0</v>
          </cell>
        </row>
        <row r="61">
          <cell r="Q61">
            <v>510.4</v>
          </cell>
          <cell r="S61">
            <v>0</v>
          </cell>
        </row>
        <row r="92">
          <cell r="Q92">
            <v>574</v>
          </cell>
          <cell r="S92">
            <v>0</v>
          </cell>
        </row>
        <row r="122">
          <cell r="Q122">
            <v>257.49999999999994</v>
          </cell>
          <cell r="S122">
            <v>0</v>
          </cell>
        </row>
        <row r="153">
          <cell r="Q153">
            <v>177</v>
          </cell>
          <cell r="S153">
            <v>9</v>
          </cell>
        </row>
        <row r="183">
          <cell r="Q183">
            <v>26.699999999999996</v>
          </cell>
          <cell r="S183">
            <v>68.2</v>
          </cell>
        </row>
        <row r="214">
          <cell r="Q214">
            <v>0</v>
          </cell>
          <cell r="S214">
            <v>116.49999999999999</v>
          </cell>
        </row>
        <row r="245">
          <cell r="Q245">
            <v>11.6</v>
          </cell>
          <cell r="S245">
            <v>75.2</v>
          </cell>
        </row>
        <row r="275">
          <cell r="Q275">
            <v>49.1</v>
          </cell>
          <cell r="S275">
            <v>71.499999999999986</v>
          </cell>
        </row>
        <row r="306">
          <cell r="Q306">
            <v>153.99999999999997</v>
          </cell>
          <cell r="S306">
            <v>8.1</v>
          </cell>
        </row>
        <row r="336">
          <cell r="Q336">
            <v>414.2</v>
          </cell>
          <cell r="S336">
            <v>0</v>
          </cell>
        </row>
        <row r="367">
          <cell r="Q367">
            <v>718.49999999999989</v>
          </cell>
          <cell r="S36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 refreshError="1">
        <row r="32">
          <cell r="Q32">
            <v>732.29999999999984</v>
          </cell>
          <cell r="S32">
            <v>0</v>
          </cell>
        </row>
        <row r="61">
          <cell r="Q61">
            <v>555.00000000000023</v>
          </cell>
          <cell r="S61">
            <v>0</v>
          </cell>
        </row>
        <row r="92">
          <cell r="Q92">
            <v>553.99999999999989</v>
          </cell>
          <cell r="S92">
            <v>0</v>
          </cell>
        </row>
        <row r="122">
          <cell r="Q122">
            <v>437.20000000000005</v>
          </cell>
          <cell r="S122">
            <v>0</v>
          </cell>
        </row>
        <row r="153">
          <cell r="Q153">
            <v>75.3</v>
          </cell>
          <cell r="S153">
            <v>43.4</v>
          </cell>
        </row>
        <row r="183">
          <cell r="Q183">
            <v>14.799999999999999</v>
          </cell>
          <cell r="S183">
            <v>60.5</v>
          </cell>
        </row>
        <row r="214">
          <cell r="Q214">
            <v>0</v>
          </cell>
          <cell r="S214">
            <v>167.8</v>
          </cell>
        </row>
        <row r="245">
          <cell r="Q245">
            <v>1.2</v>
          </cell>
          <cell r="S245">
            <v>162.4</v>
          </cell>
        </row>
        <row r="275">
          <cell r="Q275">
            <v>41.399999999999991</v>
          </cell>
          <cell r="S275">
            <v>76.399999999999977</v>
          </cell>
        </row>
        <row r="306">
          <cell r="Q306">
            <v>289.40000000000003</v>
          </cell>
          <cell r="S306">
            <v>8.1999999999999993</v>
          </cell>
        </row>
        <row r="336">
          <cell r="Q336">
            <v>494.1</v>
          </cell>
          <cell r="S336">
            <v>0</v>
          </cell>
        </row>
        <row r="367">
          <cell r="Q367">
            <v>563.60000000000014</v>
          </cell>
          <cell r="S3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 refreshError="1">
        <row r="32">
          <cell r="Q32">
            <v>764.5</v>
          </cell>
          <cell r="S32">
            <v>0</v>
          </cell>
        </row>
        <row r="61">
          <cell r="Q61">
            <v>621.70000000000016</v>
          </cell>
          <cell r="S61">
            <v>0</v>
          </cell>
        </row>
        <row r="92">
          <cell r="Q92">
            <v>593.90000000000009</v>
          </cell>
          <cell r="S92">
            <v>0</v>
          </cell>
        </row>
        <row r="122">
          <cell r="Q122">
            <v>346.8</v>
          </cell>
          <cell r="S122">
            <v>0</v>
          </cell>
        </row>
        <row r="153">
          <cell r="Q153">
            <v>180.99999999999997</v>
          </cell>
          <cell r="S153">
            <v>0</v>
          </cell>
        </row>
        <row r="183">
          <cell r="Q183">
            <v>35.5</v>
          </cell>
          <cell r="S183">
            <v>41.300000000000004</v>
          </cell>
        </row>
        <row r="214">
          <cell r="Q214">
            <v>0</v>
          </cell>
          <cell r="S214">
            <v>166.90000000000003</v>
          </cell>
        </row>
        <row r="245">
          <cell r="Q245">
            <v>0.89999999999999991</v>
          </cell>
          <cell r="S245">
            <v>103.30000000000003</v>
          </cell>
        </row>
        <row r="275">
          <cell r="Q275">
            <v>38.400000000000006</v>
          </cell>
          <cell r="S275">
            <v>25.400000000000002</v>
          </cell>
        </row>
        <row r="306">
          <cell r="Q306">
            <v>236.5</v>
          </cell>
          <cell r="S306">
            <v>5.0999999999999996</v>
          </cell>
        </row>
        <row r="336">
          <cell r="Q336">
            <v>513.30000000000007</v>
          </cell>
          <cell r="S336">
            <v>0</v>
          </cell>
        </row>
        <row r="367">
          <cell r="Q367">
            <v>582.4</v>
          </cell>
          <cell r="S367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1882.9037485156621</v>
          </cell>
          <cell r="F19">
            <v>1882.9037485156621</v>
          </cell>
          <cell r="G19">
            <v>1882.9037485156621</v>
          </cell>
          <cell r="H19">
            <v>1882.9037485156621</v>
          </cell>
          <cell r="I19">
            <v>327.01868882582431</v>
          </cell>
          <cell r="J19">
            <v>327.01868882582431</v>
          </cell>
          <cell r="K19">
            <v>299.1330675248218</v>
          </cell>
          <cell r="L19">
            <v>299.1330675248218</v>
          </cell>
          <cell r="M19">
            <v>281.08160558644397</v>
          </cell>
          <cell r="N19">
            <v>281.08160558644397</v>
          </cell>
          <cell r="O19">
            <v>265.56011684155573</v>
          </cell>
          <cell r="P19">
            <v>265.56011684155573</v>
          </cell>
          <cell r="Q19">
            <v>265.56011684155573</v>
          </cell>
          <cell r="R19">
            <v>265.56011684155573</v>
          </cell>
          <cell r="S19">
            <v>240.38176628587243</v>
          </cell>
          <cell r="T19">
            <v>208.94349633422971</v>
          </cell>
        </row>
        <row r="20">
          <cell r="E20">
            <v>0</v>
          </cell>
          <cell r="F20">
            <v>1625.8795185128167</v>
          </cell>
          <cell r="G20">
            <v>1014.7050110792733</v>
          </cell>
          <cell r="H20">
            <v>938.72588141473977</v>
          </cell>
          <cell r="I20">
            <v>938.72588141473977</v>
          </cell>
          <cell r="J20">
            <v>938.62236720961459</v>
          </cell>
          <cell r="K20">
            <v>910.90808884368505</v>
          </cell>
          <cell r="L20">
            <v>910.90808884368505</v>
          </cell>
          <cell r="M20">
            <v>910.90808884368505</v>
          </cell>
          <cell r="N20">
            <v>298.90588692254761</v>
          </cell>
          <cell r="O20">
            <v>250.65986670833297</v>
          </cell>
          <cell r="P20">
            <v>148.69948343160988</v>
          </cell>
          <cell r="Q20">
            <v>148.69948343160988</v>
          </cell>
          <cell r="R20">
            <v>148.69948343160988</v>
          </cell>
          <cell r="S20">
            <v>148.69948343160988</v>
          </cell>
          <cell r="T20">
            <v>119.30985749194927</v>
          </cell>
        </row>
        <row r="21">
          <cell r="E21">
            <v>0</v>
          </cell>
          <cell r="F21">
            <v>0</v>
          </cell>
          <cell r="G21">
            <v>1360.0833028123809</v>
          </cell>
          <cell r="H21">
            <v>1219.7925664882346</v>
          </cell>
          <cell r="I21">
            <v>1219.7925664882346</v>
          </cell>
          <cell r="J21">
            <v>1219.7925664882346</v>
          </cell>
          <cell r="K21">
            <v>1122.4629622652078</v>
          </cell>
          <cell r="L21">
            <v>1122.2147422652079</v>
          </cell>
          <cell r="M21">
            <v>1021.1213796065518</v>
          </cell>
          <cell r="N21">
            <v>945.59607712177092</v>
          </cell>
          <cell r="O21">
            <v>725.56653389573717</v>
          </cell>
          <cell r="P21">
            <v>636.9269366447304</v>
          </cell>
          <cell r="Q21">
            <v>585.31112204176338</v>
          </cell>
          <cell r="R21">
            <v>585.31112204176338</v>
          </cell>
          <cell r="S21">
            <v>575.63276658119253</v>
          </cell>
          <cell r="T21">
            <v>568.25978811867321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3010.6452568705372</v>
          </cell>
          <cell r="I22">
            <v>2710.2366739396211</v>
          </cell>
          <cell r="J22">
            <v>2710.2366739396211</v>
          </cell>
          <cell r="K22">
            <v>2709.4532025897015</v>
          </cell>
          <cell r="L22">
            <v>2673.2929585959509</v>
          </cell>
          <cell r="M22">
            <v>2564.161459145138</v>
          </cell>
          <cell r="N22">
            <v>2512.7088322020891</v>
          </cell>
          <cell r="O22">
            <v>2511.5861728073105</v>
          </cell>
          <cell r="P22">
            <v>1807.9176189276779</v>
          </cell>
          <cell r="Q22">
            <v>993.42993223456108</v>
          </cell>
          <cell r="R22">
            <v>825.91733859163321</v>
          </cell>
          <cell r="S22">
            <v>276.79699116670525</v>
          </cell>
          <cell r="T22">
            <v>249.11961917871935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2207.2348427273928</v>
          </cell>
          <cell r="J23">
            <v>1661.9588143462229</v>
          </cell>
          <cell r="K23">
            <v>1659.0060083975786</v>
          </cell>
          <cell r="L23">
            <v>1658.597216175528</v>
          </cell>
          <cell r="M23">
            <v>1613.6449872964831</v>
          </cell>
          <cell r="N23">
            <v>1439.0068065256714</v>
          </cell>
          <cell r="O23">
            <v>1428.0736370743175</v>
          </cell>
          <cell r="P23">
            <v>1232.1536524472617</v>
          </cell>
          <cell r="Q23">
            <v>821.45903628330279</v>
          </cell>
          <cell r="R23">
            <v>378.78341439293672</v>
          </cell>
          <cell r="S23">
            <v>285.67270240434652</v>
          </cell>
          <cell r="T23">
            <v>285.67270240434652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structions"/>
      <sheetName val="LRAMVA Checklist Schematic"/>
      <sheetName val="DropDownList"/>
      <sheetName val="1.  LRAMVA Summary"/>
      <sheetName val="1-a.  Summary of Changes"/>
      <sheetName val="2. LRAMVA Threshold"/>
      <sheetName val="3.  Distribution Rates"/>
      <sheetName val="3-a.  Rate Class Allocations"/>
      <sheetName val="4.  2011-2014 LRAM"/>
      <sheetName val="5.  2015-2020 LRAM"/>
      <sheetName val="6.  Carrying Charges"/>
      <sheetName val="7.  Persistence Report"/>
      <sheetName val="8.  Streetligh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0">
          <cell r="AQ180">
            <v>2273376.0068896143</v>
          </cell>
          <cell r="AR180">
            <v>2245334.6748896143</v>
          </cell>
          <cell r="AS180">
            <v>2244076.5741759711</v>
          </cell>
          <cell r="AT180">
            <v>2214503.5694760797</v>
          </cell>
          <cell r="AU180">
            <v>1726498.6718951557</v>
          </cell>
          <cell r="AV180">
            <v>1634210.2959977281</v>
          </cell>
          <cell r="AW180">
            <v>1522927.8789099741</v>
          </cell>
          <cell r="AX180">
            <v>1522133.1277808524</v>
          </cell>
          <cell r="AY180">
            <v>1562051.4963071598</v>
          </cell>
          <cell r="AZ180">
            <v>1418050.3604854178</v>
          </cell>
          <cell r="BA180">
            <v>1364939.6069591586</v>
          </cell>
        </row>
        <row r="181">
          <cell r="AR181">
            <v>2248765.9807318272</v>
          </cell>
          <cell r="AS181">
            <v>2233807.0957318274</v>
          </cell>
          <cell r="AT181">
            <v>2232596.7013805439</v>
          </cell>
          <cell r="AU181">
            <v>2218464.6445765197</v>
          </cell>
          <cell r="AV181">
            <v>2180062.719101219</v>
          </cell>
          <cell r="AW181">
            <v>2099270.6196812219</v>
          </cell>
          <cell r="AX181">
            <v>2031329.2265474205</v>
          </cell>
          <cell r="AY181">
            <v>2031157.6690992014</v>
          </cell>
          <cell r="AZ181">
            <v>2006300.0277288868</v>
          </cell>
          <cell r="BA181">
            <v>1567459.0894588036</v>
          </cell>
        </row>
        <row r="182">
          <cell r="AS182">
            <v>2250100.6168208192</v>
          </cell>
          <cell r="AT182">
            <v>2227093.5770649943</v>
          </cell>
          <cell r="AU182">
            <v>2214830.2747772513</v>
          </cell>
          <cell r="AV182">
            <v>2163539.6898347423</v>
          </cell>
          <cell r="AW182">
            <v>1171880.3671497514</v>
          </cell>
          <cell r="AX182">
            <v>1143102.2384902181</v>
          </cell>
          <cell r="AY182">
            <v>1143102.2384902181</v>
          </cell>
          <cell r="AZ182">
            <v>1142049.310467046</v>
          </cell>
          <cell r="BA182">
            <v>1060279.3352298511</v>
          </cell>
        </row>
        <row r="183">
          <cell r="AT183">
            <v>3124600.382499672</v>
          </cell>
          <cell r="AU183">
            <v>3023755.597699672</v>
          </cell>
          <cell r="AV183">
            <v>2954510.769179672</v>
          </cell>
          <cell r="AW183">
            <v>2926124.011683072</v>
          </cell>
          <cell r="AX183">
            <v>2766222.4586278754</v>
          </cell>
          <cell r="AY183">
            <v>2664605.5941699999</v>
          </cell>
          <cell r="AZ183">
            <v>2587497.6751699997</v>
          </cell>
          <cell r="BA183">
            <v>2586995.8685699999</v>
          </cell>
        </row>
        <row r="184">
          <cell r="AU184">
            <v>6060697</v>
          </cell>
          <cell r="AV184">
            <v>6047709</v>
          </cell>
          <cell r="AW184">
            <v>6047708</v>
          </cell>
          <cell r="AX184">
            <v>6047804</v>
          </cell>
          <cell r="AY184">
            <v>6040361</v>
          </cell>
          <cell r="AZ184">
            <v>5809296</v>
          </cell>
          <cell r="BA184">
            <v>5809296</v>
          </cell>
        </row>
        <row r="185">
          <cell r="AV185">
            <v>6260833</v>
          </cell>
          <cell r="AW185">
            <v>6260832</v>
          </cell>
          <cell r="AX185">
            <v>6260832</v>
          </cell>
          <cell r="AY185">
            <v>6260832</v>
          </cell>
          <cell r="AZ185">
            <v>6260832</v>
          </cell>
          <cell r="BA185">
            <v>6215530</v>
          </cell>
        </row>
        <row r="186">
          <cell r="AW186">
            <v>8769800</v>
          </cell>
          <cell r="AX186">
            <v>7513017</v>
          </cell>
          <cell r="AY186">
            <v>7513017</v>
          </cell>
          <cell r="AZ186">
            <v>7513017</v>
          </cell>
          <cell r="BA186">
            <v>7512733</v>
          </cell>
        </row>
        <row r="187">
          <cell r="AX187">
            <v>2745943.0822438868</v>
          </cell>
          <cell r="AY187">
            <v>2737982.1135950126</v>
          </cell>
          <cell r="AZ187">
            <v>2730021.1449461393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588338901599.xls"/>
    </sheetNames>
    <sheetDataSet>
      <sheetData sheetId="0">
        <row r="388">
          <cell r="J388">
            <v>20447.900000000001</v>
          </cell>
        </row>
        <row r="389">
          <cell r="J389">
            <v>1555.6</v>
          </cell>
        </row>
        <row r="390">
          <cell r="J390">
            <v>16860.400000000001</v>
          </cell>
        </row>
        <row r="391">
          <cell r="J391">
            <v>18600.2</v>
          </cell>
        </row>
        <row r="392">
          <cell r="J392">
            <v>36630</v>
          </cell>
        </row>
        <row r="395">
          <cell r="J395">
            <v>15281.4</v>
          </cell>
        </row>
        <row r="398">
          <cell r="J398">
            <v>35465.199999999997</v>
          </cell>
        </row>
        <row r="401">
          <cell r="J401">
            <v>0</v>
          </cell>
        </row>
        <row r="402">
          <cell r="J402">
            <v>96238</v>
          </cell>
        </row>
        <row r="403">
          <cell r="J403">
            <v>9150</v>
          </cell>
        </row>
        <row r="404">
          <cell r="J404">
            <v>607491.4</v>
          </cell>
        </row>
        <row r="405">
          <cell r="J405">
            <v>78208</v>
          </cell>
        </row>
        <row r="411">
          <cell r="J411">
            <v>23162.400000000001</v>
          </cell>
        </row>
        <row r="412">
          <cell r="J412">
            <v>11199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zoomScaleNormal="100" workbookViewId="0">
      <pane xSplit="1" ySplit="3" topLeftCell="B4" activePane="bottomRight" state="frozen"/>
      <selection activeCell="R79" sqref="R79"/>
      <selection pane="topRight" activeCell="R79" sqref="R79"/>
      <selection pane="bottomLeft" activeCell="R79" sqref="R79"/>
      <selection pane="bottomRight" activeCell="D14" sqref="D14"/>
    </sheetView>
  </sheetViews>
  <sheetFormatPr defaultColWidth="9.33203125" defaultRowHeight="13.2" x14ac:dyDescent="0.25"/>
  <cols>
    <col min="1" max="1" width="32.6640625" customWidth="1"/>
    <col min="2" max="6" width="12.5546875" style="1" customWidth="1"/>
    <col min="7" max="7" width="12.5546875" style="24" customWidth="1"/>
    <col min="8" max="8" width="12.5546875" style="1" customWidth="1"/>
    <col min="9" max="11" width="12.5546875" customWidth="1"/>
    <col min="12" max="13" width="11.33203125" bestFit="1" customWidth="1"/>
    <col min="15" max="15" width="11.109375" customWidth="1"/>
  </cols>
  <sheetData>
    <row r="1" spans="1:15" ht="15.6" x14ac:dyDescent="0.3">
      <c r="A1" s="248" t="s">
        <v>211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3" spans="1:15" ht="52.8" x14ac:dyDescent="0.25">
      <c r="B3" s="43" t="s">
        <v>77</v>
      </c>
      <c r="C3" s="43" t="s">
        <v>106</v>
      </c>
      <c r="D3" s="43" t="s">
        <v>107</v>
      </c>
      <c r="E3" s="43" t="s">
        <v>108</v>
      </c>
      <c r="F3" s="43" t="s">
        <v>109</v>
      </c>
      <c r="G3" s="43" t="s">
        <v>204</v>
      </c>
      <c r="H3" s="43" t="s">
        <v>205</v>
      </c>
      <c r="I3" s="43" t="s">
        <v>206</v>
      </c>
      <c r="J3" s="43" t="s">
        <v>207</v>
      </c>
      <c r="K3" s="43" t="s">
        <v>208</v>
      </c>
      <c r="L3" s="51" t="s">
        <v>209</v>
      </c>
      <c r="M3" s="43" t="s">
        <v>210</v>
      </c>
      <c r="O3" s="43" t="s">
        <v>223</v>
      </c>
    </row>
    <row r="4" spans="1:15" x14ac:dyDescent="0.25">
      <c r="A4" s="21" t="s">
        <v>61</v>
      </c>
      <c r="B4" s="30">
        <f>'Purchased Power Model'!D149</f>
        <v>532007113.72215426</v>
      </c>
      <c r="C4" s="30">
        <f>'Purchased Power Model'!D150</f>
        <v>532339377.02627134</v>
      </c>
      <c r="D4" s="30">
        <f>'Purchased Power Model'!D151</f>
        <v>526949773.70057029</v>
      </c>
      <c r="E4" s="30">
        <f>'Purchased Power Model'!D152</f>
        <v>535649500.58989865</v>
      </c>
      <c r="F4" s="30">
        <f>'Purchased Power Model'!D153</f>
        <v>548881376.27432632</v>
      </c>
      <c r="G4" s="30">
        <f>'Purchased Power Model'!D154</f>
        <v>546524959.87960744</v>
      </c>
      <c r="H4" s="30">
        <f>'Purchased Power Model'!D155</f>
        <v>548902224.51638186</v>
      </c>
      <c r="I4" s="30">
        <f>'Purchased Power Model'!D156</f>
        <v>527496122.37603909</v>
      </c>
      <c r="J4" s="30">
        <f>'Purchased Power Model'!D157</f>
        <v>550762184.57449126</v>
      </c>
      <c r="K4" s="30">
        <f>'Purchased Power Model'!D158</f>
        <v>545918199.9910953</v>
      </c>
    </row>
    <row r="5" spans="1:15" x14ac:dyDescent="0.25">
      <c r="A5" s="21" t="s">
        <v>62</v>
      </c>
      <c r="B5" s="30">
        <f>'Purchased Power Model'!R149</f>
        <v>530651325.45774496</v>
      </c>
      <c r="C5" s="30">
        <f>'Purchased Power Model'!R150</f>
        <v>531593551.53104627</v>
      </c>
      <c r="D5" s="30">
        <f>'Purchased Power Model'!R151</f>
        <v>532044816.96135008</v>
      </c>
      <c r="E5" s="30">
        <f>'Purchased Power Model'!R152</f>
        <v>531013184.46955585</v>
      </c>
      <c r="F5" s="30">
        <f>'Purchased Power Model'!R153</f>
        <v>539121596.94489396</v>
      </c>
      <c r="G5" s="30">
        <f>'Purchased Power Model'!R154</f>
        <v>541797117.03281069</v>
      </c>
      <c r="H5" s="30">
        <f>'Purchased Power Model'!R155</f>
        <v>555022856.64684153</v>
      </c>
      <c r="I5" s="30">
        <f>'Purchased Power Model'!R156</f>
        <v>538678900.85793579</v>
      </c>
      <c r="J5" s="30">
        <f>'Purchased Power Model'!R157</f>
        <v>553128897.63353944</v>
      </c>
      <c r="K5" s="30">
        <f>'Purchased Power Model'!R158</f>
        <v>542378585.11511779</v>
      </c>
      <c r="L5" s="30">
        <f>'Purchased Power Model'!R159</f>
        <v>546195217.13729048</v>
      </c>
      <c r="M5" s="30">
        <f>'Purchased Power Model'!R160</f>
        <v>544931027.8379153</v>
      </c>
    </row>
    <row r="6" spans="1:15" x14ac:dyDescent="0.25">
      <c r="A6" s="21" t="s">
        <v>10</v>
      </c>
      <c r="B6" s="42">
        <f>(B5-B4)/B4</f>
        <v>-2.548440104350516E-3</v>
      </c>
      <c r="C6" s="42">
        <f t="shared" ref="C6:K6" si="0">(C5-C4)/C4</f>
        <v>-1.4010338656354269E-3</v>
      </c>
      <c r="D6" s="42">
        <f t="shared" si="0"/>
        <v>9.6689352858038511E-3</v>
      </c>
      <c r="E6" s="42">
        <f t="shared" si="0"/>
        <v>-8.6555034873306534E-3</v>
      </c>
      <c r="F6" s="42">
        <f t="shared" si="0"/>
        <v>-1.7781217857452885E-2</v>
      </c>
      <c r="G6" s="42">
        <f t="shared" si="0"/>
        <v>-8.6507354537626886E-3</v>
      </c>
      <c r="H6" s="42">
        <f t="shared" si="0"/>
        <v>1.1150678312248299E-2</v>
      </c>
      <c r="I6" s="42">
        <f t="shared" si="0"/>
        <v>2.1199735898579306E-2</v>
      </c>
      <c r="J6" s="42">
        <f t="shared" si="0"/>
        <v>4.2971596913042509E-3</v>
      </c>
      <c r="K6" s="42">
        <f t="shared" si="0"/>
        <v>-6.4837825081399602E-3</v>
      </c>
    </row>
    <row r="7" spans="1:15" x14ac:dyDescent="0.25">
      <c r="A7" s="21" t="s">
        <v>214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37">
        <f>'Rate Class Energy Model'!O46*'Rate Class Energy Model'!F16</f>
        <v>-12409054.079856437</v>
      </c>
      <c r="M7" s="37">
        <f>'Rate Class Energy Model'!O47*'Rate Class Energy Model'!F16</f>
        <v>-15621054.246233614</v>
      </c>
    </row>
    <row r="8" spans="1:15" x14ac:dyDescent="0.25">
      <c r="A8" s="21" t="s">
        <v>216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37">
        <f>'Rate Class Energy Model'!O50*'Rate Class Energy Model'!F16</f>
        <v>-9353801.8950671088</v>
      </c>
      <c r="M8" s="37">
        <f>'Rate Class Energy Model'!O51*'Rate Class Energy Model'!F16</f>
        <v>-9353801.8950671088</v>
      </c>
    </row>
    <row r="9" spans="1:15" x14ac:dyDescent="0.25">
      <c r="A9" s="21" t="s">
        <v>215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81">
        <f>SUM(L5:L8)</f>
        <v>524432361.16236693</v>
      </c>
      <c r="M9" s="81">
        <f>SUM(M5:M8)</f>
        <v>519956171.69661456</v>
      </c>
    </row>
    <row r="10" spans="1:15" x14ac:dyDescent="0.25">
      <c r="A10" s="21"/>
      <c r="B10" s="39"/>
      <c r="C10" s="39"/>
      <c r="D10" s="39"/>
      <c r="E10" s="39"/>
      <c r="F10" s="39"/>
      <c r="G10" s="52"/>
    </row>
    <row r="11" spans="1:15" x14ac:dyDescent="0.25">
      <c r="A11" s="21" t="s">
        <v>64</v>
      </c>
      <c r="B11" s="30">
        <f>'Rate Class Energy Model'!$G3</f>
        <v>491761404.63080317</v>
      </c>
      <c r="C11" s="30">
        <f>'Rate Class Energy Model'!$G4</f>
        <v>489371832</v>
      </c>
      <c r="D11" s="30">
        <f>'Rate Class Energy Model'!$G5</f>
        <v>488534313.33000195</v>
      </c>
      <c r="E11" s="30">
        <f>'Rate Class Energy Model'!$G6</f>
        <v>495520476.96950489</v>
      </c>
      <c r="F11" s="30">
        <f>'Rate Class Energy Model'!$G7</f>
        <v>501817329.813595</v>
      </c>
      <c r="G11" s="30">
        <f>'Rate Class Energy Model'!$G8</f>
        <v>510232246</v>
      </c>
      <c r="H11" s="30">
        <f>'Rate Class Energy Model'!$G9</f>
        <v>503249243</v>
      </c>
      <c r="I11" s="30">
        <f>'Rate Class Energy Model'!$G10</f>
        <v>481228433</v>
      </c>
      <c r="J11" s="30">
        <f>'Rate Class Energy Model'!$G11</f>
        <v>499443012</v>
      </c>
      <c r="K11" s="30">
        <f>'Rate Class Energy Model'!$G12</f>
        <v>493960560.70999932</v>
      </c>
      <c r="L11" s="30">
        <f>'Rate Class Energy Model'!O30</f>
        <v>481617701.04671687</v>
      </c>
      <c r="M11" s="30">
        <f>'Rate Class Energy Model'!O31</f>
        <v>477506947.70730239</v>
      </c>
    </row>
    <row r="12" spans="1:15" x14ac:dyDescent="0.25">
      <c r="A12" s="21"/>
      <c r="B12" s="24"/>
      <c r="C12" s="24"/>
      <c r="D12" s="24"/>
      <c r="E12" s="24"/>
      <c r="L12" s="30"/>
      <c r="M12" s="30"/>
    </row>
    <row r="13" spans="1:15" ht="15.6" x14ac:dyDescent="0.3">
      <c r="A13" s="41" t="s">
        <v>63</v>
      </c>
    </row>
    <row r="14" spans="1:15" x14ac:dyDescent="0.25">
      <c r="A14" s="40" t="str">
        <f>'Rate Class Energy Model'!H2</f>
        <v>Residential</v>
      </c>
    </row>
    <row r="15" spans="1:15" x14ac:dyDescent="0.25">
      <c r="A15" t="s">
        <v>56</v>
      </c>
      <c r="B15" s="6">
        <f>'Rate Class Customer Model'!$B$3</f>
        <v>18866.499999999993</v>
      </c>
      <c r="C15" s="6">
        <f>'Rate Class Customer Model'!$B$4</f>
        <v>19136</v>
      </c>
      <c r="D15" s="6">
        <f>'Rate Class Customer Model'!$B$5</f>
        <v>19194</v>
      </c>
      <c r="E15" s="6">
        <f>'Rate Class Customer Model'!$B$6</f>
        <v>19511</v>
      </c>
      <c r="F15" s="6">
        <f>'Rate Class Customer Model'!$B$7</f>
        <v>19623</v>
      </c>
      <c r="G15" s="28">
        <f>'Rate Class Customer Model'!B8</f>
        <v>19801</v>
      </c>
      <c r="H15" s="28">
        <f>'Rate Class Customer Model'!B9</f>
        <v>20057</v>
      </c>
      <c r="I15" s="28">
        <f>'Rate Class Customer Model'!B10</f>
        <v>20188</v>
      </c>
      <c r="J15" s="28">
        <f>'Rate Class Customer Model'!B11</f>
        <v>20332</v>
      </c>
      <c r="K15" s="28">
        <f>'Rate Class Customer Model'!B12</f>
        <v>20476</v>
      </c>
      <c r="L15" s="28">
        <f>'Rate Class Customer Model'!B13</f>
        <v>20663.103021016646</v>
      </c>
      <c r="M15" s="28">
        <f>'Rate Class Customer Model'!B14</f>
        <v>20851.915728518619</v>
      </c>
      <c r="N15" s="81"/>
      <c r="O15" s="81">
        <f>(L15+M15)/2</f>
        <v>20757.509374767633</v>
      </c>
    </row>
    <row r="16" spans="1:15" x14ac:dyDescent="0.25">
      <c r="A16" t="s">
        <v>57</v>
      </c>
      <c r="B16" s="6">
        <f>'Rate Class Energy Model'!H3</f>
        <v>215023348.72000325</v>
      </c>
      <c r="C16" s="6">
        <f>'Rate Class Energy Model'!H4</f>
        <v>208222717</v>
      </c>
      <c r="D16" s="6">
        <f>'Rate Class Energy Model'!H5</f>
        <v>213770411.52000195</v>
      </c>
      <c r="E16" s="6">
        <f>'Rate Class Energy Model'!H6</f>
        <v>207797230.02000487</v>
      </c>
      <c r="F16" s="6">
        <f>'Rate Class Energy Model'!H7</f>
        <v>203392794</v>
      </c>
      <c r="G16" s="6">
        <f>'Rate Class Energy Model'!H8</f>
        <v>203353342</v>
      </c>
      <c r="H16" s="6">
        <f>'Rate Class Energy Model'!H9</f>
        <v>204439774</v>
      </c>
      <c r="I16" s="6">
        <f>'Rate Class Energy Model'!H10</f>
        <v>193694443</v>
      </c>
      <c r="J16" s="6">
        <f>'Rate Class Energy Model'!H11</f>
        <v>208411376</v>
      </c>
      <c r="K16" s="6">
        <f>'Rate Class Energy Model'!H12</f>
        <v>202110917.7699993</v>
      </c>
      <c r="L16" s="6">
        <f>'Rate Class Energy Model'!H30</f>
        <v>214719451.29549128</v>
      </c>
      <c r="M16" s="6">
        <f>'Rate Class Energy Model'!H31</f>
        <v>216810964.92262158</v>
      </c>
    </row>
    <row r="17" spans="1:15" x14ac:dyDescent="0.25">
      <c r="B17" s="24"/>
      <c r="C17" s="24"/>
      <c r="D17" s="24"/>
      <c r="E17" s="24"/>
    </row>
    <row r="18" spans="1:15" x14ac:dyDescent="0.25">
      <c r="A18" s="40" t="str">
        <f>'Rate Class Energy Model'!I2</f>
        <v>GS&lt;50</v>
      </c>
    </row>
    <row r="19" spans="1:15" x14ac:dyDescent="0.25">
      <c r="A19" t="s">
        <v>56</v>
      </c>
      <c r="B19" s="6">
        <f>'Rate Class Customer Model'!C3</f>
        <v>1605.5000000000005</v>
      </c>
      <c r="C19" s="6">
        <f>'Rate Class Customer Model'!C4</f>
        <v>1708</v>
      </c>
      <c r="D19" s="6">
        <f>'Rate Class Customer Model'!C5</f>
        <v>1710</v>
      </c>
      <c r="E19" s="6">
        <f>'Rate Class Customer Model'!C6</f>
        <v>1710</v>
      </c>
      <c r="F19" s="6">
        <f>'Rate Class Customer Model'!C7</f>
        <v>1701</v>
      </c>
      <c r="G19" s="28">
        <f>'Rate Class Customer Model'!C8</f>
        <v>1920</v>
      </c>
      <c r="H19" s="28">
        <f>'Rate Class Customer Model'!C9</f>
        <v>1844</v>
      </c>
      <c r="I19" s="28">
        <f>'Rate Class Customer Model'!C10</f>
        <v>1810</v>
      </c>
      <c r="J19" s="28">
        <f>'Rate Class Customer Model'!C11</f>
        <v>1895</v>
      </c>
      <c r="K19" s="28">
        <f>'Rate Class Customer Model'!C12</f>
        <v>1824</v>
      </c>
      <c r="L19" s="28">
        <f>'Rate Class Customer Model'!C13</f>
        <v>1850.0437694954837</v>
      </c>
      <c r="M19" s="28">
        <f>'Rate Class Customer Model'!C14</f>
        <v>1876.4594018909311</v>
      </c>
      <c r="O19" s="81">
        <f>(L19+M19)/2</f>
        <v>1863.2515856932073</v>
      </c>
    </row>
    <row r="20" spans="1:15" x14ac:dyDescent="0.25">
      <c r="A20" t="s">
        <v>57</v>
      </c>
      <c r="B20" s="6">
        <f>'Rate Class Energy Model'!I3</f>
        <v>54778252.31000001</v>
      </c>
      <c r="C20" s="6">
        <f>'Rate Class Energy Model'!I4</f>
        <v>56992328</v>
      </c>
      <c r="D20" s="6">
        <f>'Rate Class Energy Model'!I5</f>
        <v>56941927.850000031</v>
      </c>
      <c r="E20" s="6">
        <f>'Rate Class Energy Model'!I6</f>
        <v>56899094.840000011</v>
      </c>
      <c r="F20" s="6">
        <f>'Rate Class Energy Model'!I7</f>
        <v>51541092</v>
      </c>
      <c r="G20" s="6">
        <f>'Rate Class Energy Model'!I8</f>
        <v>50702250</v>
      </c>
      <c r="H20" s="6">
        <f>'Rate Class Energy Model'!I9</f>
        <v>51296823</v>
      </c>
      <c r="I20" s="6">
        <f>'Rate Class Energy Model'!I10</f>
        <v>50527239</v>
      </c>
      <c r="J20" s="6">
        <f>'Rate Class Energy Model'!I11</f>
        <v>51979121</v>
      </c>
      <c r="K20" s="6">
        <f>'Rate Class Energy Model'!I12</f>
        <v>50654667.66999992</v>
      </c>
      <c r="L20" s="6">
        <f>'Rate Class Energy Model'!I30</f>
        <v>49614698.961205542</v>
      </c>
      <c r="M20" s="6">
        <f>'Rate Class Energy Model'!I31</f>
        <v>49161676.162328787</v>
      </c>
    </row>
    <row r="21" spans="1:15" x14ac:dyDescent="0.25">
      <c r="B21" s="24"/>
      <c r="C21" s="24"/>
      <c r="D21" s="24"/>
      <c r="E21" s="24"/>
    </row>
    <row r="22" spans="1:15" x14ac:dyDescent="0.25">
      <c r="A22" s="40" t="str">
        <f>'Rate Class Energy Model'!J2</f>
        <v>GS&gt;50 to 999</v>
      </c>
      <c r="H22" s="6"/>
    </row>
    <row r="23" spans="1:15" x14ac:dyDescent="0.25">
      <c r="A23" t="s">
        <v>56</v>
      </c>
      <c r="B23" s="6">
        <f>'Rate Class Customer Model'!D3</f>
        <v>167.99999999999994</v>
      </c>
      <c r="C23" s="6">
        <f>'Rate Class Customer Model'!D4</f>
        <v>156</v>
      </c>
      <c r="D23" s="6">
        <f>'Rate Class Customer Model'!D5</f>
        <v>200</v>
      </c>
      <c r="E23" s="6">
        <f>'Rate Class Customer Model'!D6</f>
        <v>207</v>
      </c>
      <c r="F23" s="6">
        <f>'Rate Class Customer Model'!D7</f>
        <v>198</v>
      </c>
      <c r="G23" s="28">
        <f>'Rate Class Customer Model'!D8</f>
        <v>195</v>
      </c>
      <c r="H23" s="28">
        <f>'Rate Class Customer Model'!D9</f>
        <v>198</v>
      </c>
      <c r="I23" s="28">
        <f>'Rate Class Customer Model'!D10</f>
        <v>186</v>
      </c>
      <c r="J23" s="28">
        <f>'Rate Class Customer Model'!D11</f>
        <v>205</v>
      </c>
      <c r="K23" s="28">
        <f>'Rate Class Customer Model'!D12</f>
        <v>217</v>
      </c>
      <c r="L23" s="28">
        <f>'Rate Class Customer Model'!D13+2</f>
        <v>219</v>
      </c>
      <c r="M23" s="28">
        <f>'Rate Class Customer Model'!D14+2</f>
        <v>219</v>
      </c>
      <c r="O23" s="81">
        <f>(L23+M23)/2</f>
        <v>219</v>
      </c>
    </row>
    <row r="24" spans="1:15" x14ac:dyDescent="0.25">
      <c r="A24" t="s">
        <v>57</v>
      </c>
      <c r="B24" s="6">
        <f>'Rate Class Energy Model'!J3</f>
        <v>115517109.04079999</v>
      </c>
      <c r="C24" s="6">
        <f>'Rate Class Energy Model'!J4</f>
        <v>114834153</v>
      </c>
      <c r="D24" s="6">
        <f>'Rate Class Energy Model'!J5</f>
        <v>112013765.17000002</v>
      </c>
      <c r="E24" s="6">
        <f>'Rate Class Energy Model'!J6</f>
        <v>115098501.22</v>
      </c>
      <c r="F24" s="6">
        <f>'Rate Class Energy Model'!J7</f>
        <v>126051551</v>
      </c>
      <c r="G24" s="6">
        <f>'Rate Class Energy Model'!J8</f>
        <v>140066367</v>
      </c>
      <c r="H24" s="6">
        <f>'Rate Class Energy Model'!J9</f>
        <v>137289389</v>
      </c>
      <c r="I24" s="6">
        <f>'Rate Class Energy Model'!J10</f>
        <v>135373696</v>
      </c>
      <c r="J24" s="6">
        <f>'Rate Class Energy Model'!J11</f>
        <v>144914027</v>
      </c>
      <c r="K24" s="6">
        <f>'Rate Class Energy Model'!J12</f>
        <v>150365344.72</v>
      </c>
      <c r="L24" s="6">
        <f>'Rate Class Energy Model'!J30</f>
        <v>142156886.81910318</v>
      </c>
      <c r="M24" s="6">
        <f>'Rate Class Energy Model'!J31</f>
        <v>138233750.69821975</v>
      </c>
    </row>
    <row r="25" spans="1:15" x14ac:dyDescent="0.25">
      <c r="A25" t="s">
        <v>58</v>
      </c>
      <c r="B25" s="28">
        <f>'Rate Class Load Model'!B2</f>
        <v>320892.79120000004</v>
      </c>
      <c r="C25" s="28">
        <f>'Rate Class Load Model'!B3</f>
        <v>318710.76</v>
      </c>
      <c r="D25" s="28">
        <f>'Rate Class Load Model'!B4</f>
        <v>313359.68</v>
      </c>
      <c r="E25" s="28">
        <f>'Rate Class Load Model'!B5</f>
        <v>321135.30999999994</v>
      </c>
      <c r="F25" s="28">
        <f>'Rate Class Load Model'!B6</f>
        <v>362945.97000000003</v>
      </c>
      <c r="G25" s="6">
        <f>'Rate Class Load Model'!B7</f>
        <v>394735</v>
      </c>
      <c r="H25" s="6">
        <f>'Rate Class Load Model'!B8</f>
        <v>390924</v>
      </c>
      <c r="I25" s="6">
        <f>'Rate Class Load Model'!B9</f>
        <v>394783</v>
      </c>
      <c r="J25" s="6">
        <f>'Rate Class Load Model'!B10</f>
        <v>410875</v>
      </c>
      <c r="K25" s="6">
        <f>'Rate Class Load Model'!B11</f>
        <v>418610</v>
      </c>
      <c r="L25" s="6">
        <f>'Rate Class Load Model'!B12</f>
        <v>396698.70517665747</v>
      </c>
      <c r="M25" s="6">
        <f>'Rate Class Load Model'!B13</f>
        <v>385776.87997404096</v>
      </c>
    </row>
    <row r="26" spans="1:15" x14ac:dyDescent="0.25">
      <c r="B26" s="24"/>
      <c r="C26" s="24"/>
      <c r="D26" s="24"/>
      <c r="E26" s="24"/>
      <c r="F26" s="24"/>
    </row>
    <row r="27" spans="1:15" x14ac:dyDescent="0.25">
      <c r="A27" s="40" t="str">
        <f>'Rate Class Energy Model'!K2</f>
        <v>GS&gt; 1000 to 4999</v>
      </c>
      <c r="H27" s="6"/>
    </row>
    <row r="28" spans="1:15" x14ac:dyDescent="0.25">
      <c r="A28" t="s">
        <v>56</v>
      </c>
      <c r="B28" s="6">
        <f>'Rate Class Customer Model'!E3</f>
        <v>10.999999999999996</v>
      </c>
      <c r="C28" s="6">
        <f>'Rate Class Customer Model'!E4</f>
        <v>12</v>
      </c>
      <c r="D28" s="6">
        <f>'Rate Class Customer Model'!E5</f>
        <v>12</v>
      </c>
      <c r="E28" s="6">
        <f>'Rate Class Customer Model'!E6</f>
        <v>13</v>
      </c>
      <c r="F28" s="6">
        <f>'Rate Class Customer Model'!E7</f>
        <v>13.13</v>
      </c>
      <c r="G28" s="28">
        <f>'Rate Class Customer Model'!E8</f>
        <v>13</v>
      </c>
      <c r="H28" s="28">
        <f>'Rate Class Customer Model'!E9</f>
        <v>13</v>
      </c>
      <c r="I28" s="28">
        <f>'Rate Class Customer Model'!E10</f>
        <v>11</v>
      </c>
      <c r="J28" s="28">
        <f>'Rate Class Customer Model'!E11</f>
        <v>10</v>
      </c>
      <c r="K28" s="28">
        <f>'Rate Class Customer Model'!E12</f>
        <v>11</v>
      </c>
      <c r="L28" s="28">
        <f>'Rate Class Customer Model'!E13-2</f>
        <v>9</v>
      </c>
      <c r="M28" s="28">
        <f>'Rate Class Customer Model'!E14-2</f>
        <v>9</v>
      </c>
      <c r="O28" s="81">
        <f>(L28+M28)/2</f>
        <v>9</v>
      </c>
    </row>
    <row r="29" spans="1:15" x14ac:dyDescent="0.25">
      <c r="A29" t="s">
        <v>57</v>
      </c>
      <c r="B29" s="6">
        <f>'Rate Class Energy Model'!K3</f>
        <v>102247109.22999999</v>
      </c>
      <c r="C29" s="6">
        <f>'Rate Class Energy Model'!K4</f>
        <v>105252631</v>
      </c>
      <c r="D29" s="6">
        <f>'Rate Class Energy Model'!K5</f>
        <v>101713649.52</v>
      </c>
      <c r="E29" s="6">
        <f>'Rate Class Energy Model'!K6</f>
        <v>111612294.22000001</v>
      </c>
      <c r="F29" s="6">
        <f>'Rate Class Energy Model'!K7</f>
        <v>116678000</v>
      </c>
      <c r="G29" s="6">
        <f>'Rate Class Energy Model'!K8</f>
        <v>112112962</v>
      </c>
      <c r="H29" s="6">
        <f>'Rate Class Energy Model'!K9</f>
        <v>107193041</v>
      </c>
      <c r="I29" s="6">
        <f>'Rate Class Energy Model'!K10</f>
        <v>99309703</v>
      </c>
      <c r="J29" s="6">
        <f>'Rate Class Energy Model'!K11</f>
        <v>91829369</v>
      </c>
      <c r="K29" s="6">
        <f>'Rate Class Energy Model'!K12</f>
        <v>88636118.290000007</v>
      </c>
      <c r="L29" s="6">
        <f>'Rate Class Energy Model'!K30</f>
        <v>72933151.710916847</v>
      </c>
      <c r="M29" s="6">
        <f>'Rate Class Energy Model'!K31</f>
        <v>71107043.664132237</v>
      </c>
    </row>
    <row r="30" spans="1:15" x14ac:dyDescent="0.25">
      <c r="A30" t="s">
        <v>58</v>
      </c>
      <c r="B30" s="28">
        <f>'Rate Class Load Model'!C2</f>
        <v>285634.91000000003</v>
      </c>
      <c r="C30" s="28">
        <f>'Rate Class Load Model'!C3</f>
        <v>294618.27999999997</v>
      </c>
      <c r="D30" s="28">
        <f>'Rate Class Load Model'!C4</f>
        <v>289208.77999999997</v>
      </c>
      <c r="E30" s="28">
        <f>'Rate Class Load Model'!C5</f>
        <v>296491.61</v>
      </c>
      <c r="F30" s="28">
        <f>'Rate Class Load Model'!C6</f>
        <v>307814.96999999991</v>
      </c>
      <c r="G30" s="6">
        <f>'Rate Class Load Model'!C7</f>
        <v>289796</v>
      </c>
      <c r="H30" s="6">
        <f>'Rate Class Load Model'!C8</f>
        <v>273610</v>
      </c>
      <c r="I30" s="6">
        <f>'Rate Class Load Model'!C9</f>
        <v>262132</v>
      </c>
      <c r="J30" s="6">
        <f>'Rate Class Load Model'!C10</f>
        <v>248453</v>
      </c>
      <c r="K30" s="6">
        <f>'Rate Class Load Model'!C11</f>
        <v>219090.77000000002</v>
      </c>
      <c r="L30" s="6">
        <f>'Rate Class Load Model'!C12</f>
        <v>174827.028646691</v>
      </c>
      <c r="M30" s="6">
        <f>'Rate Class Load Model'!C13</f>
        <v>170313.25451271731</v>
      </c>
    </row>
    <row r="31" spans="1:15" x14ac:dyDescent="0.25">
      <c r="B31" s="24"/>
      <c r="C31" s="24"/>
      <c r="D31" s="24"/>
      <c r="E31" s="24"/>
      <c r="F31" s="24"/>
    </row>
    <row r="32" spans="1:15" x14ac:dyDescent="0.25">
      <c r="A32" s="40" t="str">
        <f>'Rate Class Energy Model'!L2</f>
        <v>Sentinels</v>
      </c>
      <c r="H32" s="6"/>
    </row>
    <row r="33" spans="1:15" x14ac:dyDescent="0.25">
      <c r="A33" t="s">
        <v>72</v>
      </c>
      <c r="B33" s="28">
        <f>'Rate Class Customer Model'!F3</f>
        <v>327.50000000000011</v>
      </c>
      <c r="C33" s="28">
        <f>'Rate Class Customer Model'!F4</f>
        <v>161</v>
      </c>
      <c r="D33" s="28">
        <f>'Rate Class Customer Model'!F5</f>
        <v>153</v>
      </c>
      <c r="E33" s="28">
        <f>'Rate Class Customer Model'!F6</f>
        <v>177</v>
      </c>
      <c r="F33" s="28">
        <f>'Rate Class Customer Model'!F7</f>
        <v>170</v>
      </c>
      <c r="G33" s="6">
        <f>'Rate Class Customer Model'!F8</f>
        <v>172</v>
      </c>
      <c r="H33" s="6">
        <f>'Rate Class Customer Model'!F9</f>
        <v>170</v>
      </c>
      <c r="I33" s="6">
        <f>'Rate Class Customer Model'!F10</f>
        <v>173</v>
      </c>
      <c r="J33" s="6">
        <f>'Rate Class Customer Model'!F11</f>
        <v>175</v>
      </c>
      <c r="K33" s="6">
        <f>'Rate Class Customer Model'!F12</f>
        <v>175</v>
      </c>
      <c r="L33" s="6">
        <f>'Rate Class Customer Model'!F13</f>
        <v>175</v>
      </c>
      <c r="M33" s="6">
        <f>'Rate Class Customer Model'!F14</f>
        <v>175</v>
      </c>
      <c r="O33" s="81">
        <f>(L33+M33)/2</f>
        <v>175</v>
      </c>
    </row>
    <row r="34" spans="1:15" x14ac:dyDescent="0.25">
      <c r="A34" t="s">
        <v>57</v>
      </c>
      <c r="B34" s="6">
        <f>'Rate Class Energy Model'!L3</f>
        <v>571306.28</v>
      </c>
      <c r="C34" s="6">
        <f>'Rate Class Energy Model'!L4</f>
        <v>435096</v>
      </c>
      <c r="D34" s="6">
        <f>'Rate Class Energy Model'!L5</f>
        <v>439445.95</v>
      </c>
      <c r="E34" s="6">
        <f>'Rate Class Energy Model'!L6</f>
        <v>443840.40950000001</v>
      </c>
      <c r="F34" s="6">
        <f>'Rate Class Energy Model'!L7</f>
        <v>448278.81359500001</v>
      </c>
      <c r="G34" s="6">
        <f>'Rate Class Energy Model'!L8</f>
        <v>326944</v>
      </c>
      <c r="H34" s="6">
        <f>'Rate Class Energy Model'!L9</f>
        <v>273180</v>
      </c>
      <c r="I34" s="6">
        <f>'Rate Class Energy Model'!L10</f>
        <v>260238</v>
      </c>
      <c r="J34" s="6">
        <f>'Rate Class Energy Model'!L11</f>
        <v>261914</v>
      </c>
      <c r="K34" s="6">
        <f>'Rate Class Energy Model'!L12</f>
        <v>251878.97000000003</v>
      </c>
      <c r="L34" s="6">
        <f>'Rate Class Energy Model'!L30</f>
        <v>251878.97000000003</v>
      </c>
      <c r="M34" s="6">
        <f>'Rate Class Energy Model'!L27</f>
        <v>251878.97000000003</v>
      </c>
    </row>
    <row r="35" spans="1:15" x14ac:dyDescent="0.25">
      <c r="A35" t="s">
        <v>58</v>
      </c>
      <c r="B35" s="28">
        <f>'Rate Class Load Model'!D2</f>
        <v>585.82999999999993</v>
      </c>
      <c r="C35" s="28">
        <f>'Rate Class Load Model'!D3</f>
        <v>530.20999999999992</v>
      </c>
      <c r="D35" s="28">
        <f>'Rate Class Load Model'!D4</f>
        <v>649.59999999999991</v>
      </c>
      <c r="E35" s="28">
        <f>'Rate Class Load Model'!D5</f>
        <v>675.93</v>
      </c>
      <c r="F35" s="28">
        <f>'Rate Class Load Model'!D6</f>
        <v>703.32722429187197</v>
      </c>
      <c r="G35" s="6">
        <f>'Rate Class Load Model'!D7</f>
        <v>750</v>
      </c>
      <c r="H35" s="6">
        <f>'Rate Class Load Model'!D8</f>
        <v>739</v>
      </c>
      <c r="I35" s="6">
        <f>'Rate Class Load Model'!D9</f>
        <v>704</v>
      </c>
      <c r="J35" s="6">
        <f>'Rate Class Load Model'!D10</f>
        <v>695</v>
      </c>
      <c r="K35" s="6">
        <f>'Rate Class Load Model'!D11</f>
        <v>679.7399999999999</v>
      </c>
      <c r="L35" s="6">
        <f>'Rate Class Load Model'!D12</f>
        <v>679.7399999999999</v>
      </c>
      <c r="M35" s="6">
        <f>'Rate Class Load Model'!D13</f>
        <v>679.7399999999999</v>
      </c>
    </row>
    <row r="36" spans="1:15" x14ac:dyDescent="0.25">
      <c r="B36" s="6"/>
      <c r="C36" s="6"/>
      <c r="D36" s="6"/>
      <c r="E36" s="6"/>
      <c r="F36" s="6"/>
      <c r="G36" s="28"/>
      <c r="I36" s="6"/>
    </row>
    <row r="37" spans="1:15" x14ac:dyDescent="0.25">
      <c r="A37" s="40" t="str">
        <f>'Rate Class Energy Model'!M2</f>
        <v>Streetlights</v>
      </c>
    </row>
    <row r="38" spans="1:15" x14ac:dyDescent="0.25">
      <c r="A38" t="s">
        <v>72</v>
      </c>
      <c r="B38" s="28">
        <f>'Rate Class Customer Model'!G3</f>
        <v>4361.5</v>
      </c>
      <c r="C38" s="28">
        <f>'Rate Class Customer Model'!G4</f>
        <v>4387</v>
      </c>
      <c r="D38" s="28">
        <f>'Rate Class Customer Model'!G5</f>
        <v>4417</v>
      </c>
      <c r="E38" s="28">
        <f>'Rate Class Customer Model'!G6</f>
        <v>4477</v>
      </c>
      <c r="F38" s="28">
        <f>'Rate Class Customer Model'!G7</f>
        <v>4477</v>
      </c>
      <c r="G38" s="6">
        <f>'Rate Class Customer Model'!G8</f>
        <v>4595</v>
      </c>
      <c r="H38" s="6">
        <f>'Rate Class Customer Model'!G9</f>
        <v>4680</v>
      </c>
      <c r="I38" s="6">
        <f>'Rate Class Customer Model'!G10</f>
        <v>4674</v>
      </c>
      <c r="J38" s="6">
        <f>'Rate Class Customer Model'!G11</f>
        <v>4778</v>
      </c>
      <c r="K38" s="6">
        <f>'Rate Class Customer Model'!G12</f>
        <v>4833</v>
      </c>
      <c r="L38" s="6">
        <f>'Rate Class Customer Model'!G13</f>
        <v>4833</v>
      </c>
      <c r="M38" s="6">
        <f>'Rate Class Customer Model'!G14</f>
        <v>4833</v>
      </c>
      <c r="O38" s="81">
        <f>(L38+M38)/2</f>
        <v>4833</v>
      </c>
    </row>
    <row r="39" spans="1:15" x14ac:dyDescent="0.25">
      <c r="A39" t="s">
        <v>57</v>
      </c>
      <c r="B39" s="6">
        <f>'Rate Class Energy Model'!M3</f>
        <v>2708302.56</v>
      </c>
      <c r="C39" s="6">
        <f>'Rate Class Energy Model'!M4</f>
        <v>2743202</v>
      </c>
      <c r="D39" s="6">
        <f>'Rate Class Energy Model'!M5</f>
        <v>2762363.48</v>
      </c>
      <c r="E39" s="6">
        <f>'Rate Class Energy Model'!M6</f>
        <v>2769251.2600000002</v>
      </c>
      <c r="F39" s="6">
        <f>'Rate Class Energy Model'!M7</f>
        <v>2782603</v>
      </c>
      <c r="G39" s="6">
        <f>'Rate Class Energy Model'!M8</f>
        <v>2765164</v>
      </c>
      <c r="H39" s="6">
        <f>'Rate Class Energy Model'!M9</f>
        <v>1832979</v>
      </c>
      <c r="I39" s="6">
        <f>'Rate Class Energy Model'!M10</f>
        <v>1128400</v>
      </c>
      <c r="J39" s="6">
        <f>'Rate Class Energy Model'!M11</f>
        <v>1093732</v>
      </c>
      <c r="K39" s="6">
        <f>'Rate Class Energy Model'!M12</f>
        <v>979603.88</v>
      </c>
      <c r="L39" s="6">
        <f>'Rate Class Energy Model'!M30</f>
        <v>979603.88</v>
      </c>
      <c r="M39" s="64">
        <f>'Rate Class Energy Model'!M31</f>
        <v>979603.88</v>
      </c>
    </row>
    <row r="40" spans="1:15" x14ac:dyDescent="0.25">
      <c r="A40" t="s">
        <v>58</v>
      </c>
      <c r="B40" s="28">
        <f>'Rate Class Load Model'!E2</f>
        <v>7569.3000000000011</v>
      </c>
      <c r="C40" s="28">
        <f>'Rate Class Load Model'!E3</f>
        <v>7634.1600000000008</v>
      </c>
      <c r="D40" s="28">
        <f>'Rate Class Load Model'!E4</f>
        <v>7680.7800000000007</v>
      </c>
      <c r="E40" s="28">
        <f>'Rate Class Load Model'!E5</f>
        <v>7730.8799999999992</v>
      </c>
      <c r="F40" s="28">
        <f>'Rate Class Load Model'!E6</f>
        <v>7764.2099999999982</v>
      </c>
      <c r="G40" s="6">
        <f>'Rate Class Load Model'!E7</f>
        <v>7730</v>
      </c>
      <c r="H40" s="6">
        <f>'Rate Class Load Model'!E8</f>
        <v>5129</v>
      </c>
      <c r="I40" s="6">
        <f>'Rate Class Load Model'!E9</f>
        <v>3155</v>
      </c>
      <c r="J40" s="6">
        <f>'Rate Class Load Model'!E10</f>
        <v>3043</v>
      </c>
      <c r="K40" s="6">
        <f>'Rate Class Load Model'!E11</f>
        <v>3104.73</v>
      </c>
      <c r="L40" s="6">
        <f>'Rate Class Load Model'!E12</f>
        <v>3104.73</v>
      </c>
      <c r="M40" s="6">
        <f>'Rate Class Load Model'!E13</f>
        <v>3104.73</v>
      </c>
    </row>
    <row r="42" spans="1:15" x14ac:dyDescent="0.25">
      <c r="A42" s="40" t="str">
        <f>'Rate Class Energy Model'!N2</f>
        <v>USL</v>
      </c>
    </row>
    <row r="43" spans="1:15" x14ac:dyDescent="0.25">
      <c r="A43" t="s">
        <v>72</v>
      </c>
      <c r="B43" s="28">
        <f>'Rate Class Customer Model'!H3</f>
        <v>137.5</v>
      </c>
      <c r="C43" s="28">
        <f>'Rate Class Customer Model'!H4</f>
        <v>144</v>
      </c>
      <c r="D43" s="28">
        <f>'Rate Class Customer Model'!H5</f>
        <v>151</v>
      </c>
      <c r="E43" s="28">
        <f>'Rate Class Customer Model'!H6</f>
        <v>146</v>
      </c>
      <c r="F43" s="28">
        <f>'Rate Class Customer Model'!H7</f>
        <v>147.46</v>
      </c>
      <c r="G43" s="6">
        <f>'Rate Class Customer Model'!H8</f>
        <v>144</v>
      </c>
      <c r="H43" s="6">
        <f>'Rate Class Customer Model'!H9</f>
        <v>148</v>
      </c>
      <c r="I43" s="6">
        <f>'Rate Class Customer Model'!H10</f>
        <v>152</v>
      </c>
      <c r="J43" s="6">
        <f>'Rate Class Customer Model'!H11</f>
        <v>185</v>
      </c>
      <c r="K43" s="6">
        <f>'Rate Class Customer Model'!H12</f>
        <v>183</v>
      </c>
      <c r="L43" s="6">
        <f>'Rate Class Customer Model'!H13</f>
        <v>183</v>
      </c>
      <c r="M43" s="6">
        <f>'Rate Class Customer Model'!H14</f>
        <v>183</v>
      </c>
      <c r="O43" s="81">
        <f>(L43+M43)/2</f>
        <v>183</v>
      </c>
    </row>
    <row r="44" spans="1:15" x14ac:dyDescent="0.25">
      <c r="A44" t="s">
        <v>57</v>
      </c>
      <c r="B44" s="6">
        <f>'Rate Class Energy Model'!N3</f>
        <v>915976.48999999941</v>
      </c>
      <c r="C44" s="6">
        <f>'Rate Class Energy Model'!N4</f>
        <v>891705</v>
      </c>
      <c r="D44" s="6">
        <f>'Rate Class Energy Model'!N5</f>
        <v>892749.83999999973</v>
      </c>
      <c r="E44" s="6">
        <f>'Rate Class Energy Model'!N6</f>
        <v>900265</v>
      </c>
      <c r="F44" s="6">
        <f>'Rate Class Energy Model'!N7</f>
        <v>923011</v>
      </c>
      <c r="G44" s="6">
        <f>'Rate Class Energy Model'!N8</f>
        <v>905217</v>
      </c>
      <c r="H44" s="6">
        <f>'Rate Class Energy Model'!N9</f>
        <v>924057</v>
      </c>
      <c r="I44" s="6">
        <f>'Rate Class Energy Model'!N10</f>
        <v>934714</v>
      </c>
      <c r="J44" s="6">
        <f>'Rate Class Energy Model'!N11</f>
        <v>953473</v>
      </c>
      <c r="K44" s="6">
        <f>'Rate Class Energy Model'!N12</f>
        <v>962029.40999999968</v>
      </c>
      <c r="L44" s="6">
        <f>'Rate Class Energy Model'!N30</f>
        <v>962029.40999999968</v>
      </c>
      <c r="M44" s="6">
        <f>'Rate Class Energy Model'!N31</f>
        <v>962029.40999999968</v>
      </c>
    </row>
    <row r="45" spans="1:15" x14ac:dyDescent="0.25">
      <c r="B45" s="6"/>
      <c r="C45" s="6"/>
      <c r="D45" s="6"/>
      <c r="E45" s="6"/>
      <c r="L45" s="6"/>
      <c r="M45" s="6"/>
    </row>
    <row r="47" spans="1:15" x14ac:dyDescent="0.25">
      <c r="A47" s="40" t="s">
        <v>73</v>
      </c>
      <c r="B47" s="6"/>
      <c r="C47" s="6"/>
      <c r="D47" s="6"/>
      <c r="E47" s="6"/>
      <c r="G47" s="28"/>
    </row>
    <row r="48" spans="1:15" x14ac:dyDescent="0.25">
      <c r="A48" t="s">
        <v>60</v>
      </c>
      <c r="B48" s="6">
        <f t="shared" ref="B48:C48" si="1">B15+B19+B23+B28+B33+B38+B43</f>
        <v>25477.499999999993</v>
      </c>
      <c r="C48" s="6">
        <f t="shared" si="1"/>
        <v>25704</v>
      </c>
      <c r="D48" s="6">
        <f>D15+D19+D23+D28+D33+D38+D43</f>
        <v>25837</v>
      </c>
      <c r="E48" s="6">
        <f t="shared" ref="E48:M48" si="2">E15+E19+E23+E28+E33+E38+E43</f>
        <v>26241</v>
      </c>
      <c r="F48" s="6">
        <f t="shared" si="2"/>
        <v>26329.59</v>
      </c>
      <c r="G48" s="6">
        <f t="shared" si="2"/>
        <v>26840</v>
      </c>
      <c r="H48" s="6">
        <f t="shared" si="2"/>
        <v>27110</v>
      </c>
      <c r="I48" s="6">
        <f t="shared" si="2"/>
        <v>27194</v>
      </c>
      <c r="J48" s="6">
        <f t="shared" si="2"/>
        <v>27580</v>
      </c>
      <c r="K48" s="6">
        <f t="shared" si="2"/>
        <v>27719</v>
      </c>
      <c r="L48" s="6">
        <f t="shared" si="2"/>
        <v>27932.146790512132</v>
      </c>
      <c r="M48" s="6">
        <f t="shared" si="2"/>
        <v>28147.375130409549</v>
      </c>
    </row>
    <row r="49" spans="1:15" x14ac:dyDescent="0.25">
      <c r="A49" t="s">
        <v>57</v>
      </c>
      <c r="B49" s="6">
        <f t="shared" ref="B49:C49" si="3">B16+B20+B24+B29+B34+B39+B44</f>
        <v>491761404.63080317</v>
      </c>
      <c r="C49" s="6">
        <f t="shared" si="3"/>
        <v>489371832</v>
      </c>
      <c r="D49" s="6">
        <f>D16+D20+D24+D29+D34+D39+D44</f>
        <v>488534313.33000195</v>
      </c>
      <c r="E49" s="6">
        <f t="shared" ref="E49:M49" si="4">E16+E20+E24+E29+E34+E39+E44</f>
        <v>495520476.96950489</v>
      </c>
      <c r="F49" s="6">
        <f t="shared" si="4"/>
        <v>501817329.813595</v>
      </c>
      <c r="G49" s="6">
        <f t="shared" si="4"/>
        <v>510232246</v>
      </c>
      <c r="H49" s="6">
        <f t="shared" si="4"/>
        <v>503249243</v>
      </c>
      <c r="I49" s="6">
        <f t="shared" si="4"/>
        <v>481228433</v>
      </c>
      <c r="J49" s="6">
        <f t="shared" si="4"/>
        <v>499443012</v>
      </c>
      <c r="K49" s="6">
        <f t="shared" si="4"/>
        <v>493960560.70999932</v>
      </c>
      <c r="L49" s="6">
        <f t="shared" si="4"/>
        <v>481617701.04671687</v>
      </c>
      <c r="M49" s="6">
        <f t="shared" si="4"/>
        <v>477506947.70730239</v>
      </c>
    </row>
    <row r="50" spans="1:15" x14ac:dyDescent="0.25">
      <c r="A50" t="s">
        <v>59</v>
      </c>
      <c r="B50" s="6">
        <f>B25+B30+B35+B40</f>
        <v>614682.83120000002</v>
      </c>
      <c r="C50" s="6">
        <f>C25+C30+C35+C40</f>
        <v>621493.41</v>
      </c>
      <c r="D50" s="6">
        <f>D25+D30+D35+D40</f>
        <v>610898.84</v>
      </c>
      <c r="E50" s="6">
        <f t="shared" ref="E50:M50" si="5">E25+E30+E35+E40</f>
        <v>626033.73</v>
      </c>
      <c r="F50" s="6">
        <f t="shared" si="5"/>
        <v>679228.47722429177</v>
      </c>
      <c r="G50" s="6">
        <f t="shared" si="5"/>
        <v>693011</v>
      </c>
      <c r="H50" s="6">
        <f t="shared" si="5"/>
        <v>670402</v>
      </c>
      <c r="I50" s="6">
        <f t="shared" si="5"/>
        <v>660774</v>
      </c>
      <c r="J50" s="6">
        <f t="shared" si="5"/>
        <v>663066</v>
      </c>
      <c r="K50" s="6">
        <f t="shared" si="5"/>
        <v>641485.24</v>
      </c>
      <c r="L50" s="6">
        <f t="shared" si="5"/>
        <v>575310.20382334851</v>
      </c>
      <c r="M50" s="6">
        <f t="shared" si="5"/>
        <v>559874.60448675824</v>
      </c>
    </row>
    <row r="52" spans="1:15" x14ac:dyDescent="0.25">
      <c r="A52" s="40" t="s">
        <v>74</v>
      </c>
      <c r="H52" s="6"/>
    </row>
    <row r="53" spans="1:15" x14ac:dyDescent="0.25">
      <c r="A53" t="s">
        <v>60</v>
      </c>
      <c r="B53" s="6">
        <f>'Rate Class Customer Model'!I3</f>
        <v>25477.499999999993</v>
      </c>
      <c r="C53" s="6">
        <f>'Rate Class Customer Model'!I4</f>
        <v>25704</v>
      </c>
      <c r="D53" s="6">
        <f>'Rate Class Customer Model'!I5</f>
        <v>25837</v>
      </c>
      <c r="E53" s="6">
        <f>'Rate Class Customer Model'!I6</f>
        <v>26241</v>
      </c>
      <c r="F53" s="6">
        <f>'Rate Class Customer Model'!I7</f>
        <v>26329.59</v>
      </c>
      <c r="G53" s="6">
        <f>'Rate Class Customer Model'!I8</f>
        <v>26840</v>
      </c>
      <c r="H53" s="6">
        <f>'Rate Class Customer Model'!I9</f>
        <v>27110</v>
      </c>
      <c r="I53" s="6">
        <f>'Rate Class Customer Model'!I10</f>
        <v>27194</v>
      </c>
      <c r="J53" s="6">
        <f>'Rate Class Customer Model'!I11</f>
        <v>27580</v>
      </c>
      <c r="K53" s="6">
        <f>'Rate Class Customer Model'!I12</f>
        <v>27719</v>
      </c>
      <c r="L53" s="6">
        <f>'Rate Class Customer Model'!I13</f>
        <v>27932.146790512132</v>
      </c>
      <c r="M53" s="6">
        <f>'Rate Class Customer Model'!I14</f>
        <v>28147.375130409549</v>
      </c>
    </row>
    <row r="54" spans="1:15" x14ac:dyDescent="0.25">
      <c r="A54" t="s">
        <v>57</v>
      </c>
      <c r="B54" s="6">
        <f>'Rate Class Energy Model'!G3</f>
        <v>491761404.63080317</v>
      </c>
      <c r="C54" s="6">
        <f>'Rate Class Energy Model'!G4</f>
        <v>489371832</v>
      </c>
      <c r="D54" s="6">
        <f>'Rate Class Energy Model'!G5</f>
        <v>488534313.33000195</v>
      </c>
      <c r="E54" s="6">
        <f>'Rate Class Energy Model'!G6</f>
        <v>495520476.96950489</v>
      </c>
      <c r="F54" s="6">
        <f>'Rate Class Energy Model'!G7</f>
        <v>501817329.813595</v>
      </c>
      <c r="G54" s="6">
        <f>'Rate Class Energy Model'!G8</f>
        <v>510232246</v>
      </c>
      <c r="H54" s="6">
        <f>'Rate Class Energy Model'!G9</f>
        <v>503249243</v>
      </c>
      <c r="I54" s="6">
        <f>'Rate Class Energy Model'!G10</f>
        <v>481228433</v>
      </c>
      <c r="J54" s="6">
        <f>'Rate Class Energy Model'!G11</f>
        <v>499443012</v>
      </c>
      <c r="K54" s="6">
        <f>'Rate Class Energy Model'!G12</f>
        <v>493960560.70999932</v>
      </c>
      <c r="L54" s="6">
        <f>'Rate Class Energy Model'!O30</f>
        <v>481617701.04671687</v>
      </c>
      <c r="M54" s="6">
        <f>'Rate Class Energy Model'!O31</f>
        <v>477506947.70730239</v>
      </c>
    </row>
    <row r="55" spans="1:15" x14ac:dyDescent="0.25">
      <c r="A55" t="s">
        <v>59</v>
      </c>
      <c r="B55" s="28">
        <f>'Rate Class Load Model'!F2</f>
        <v>614682.83120000002</v>
      </c>
      <c r="C55" s="28">
        <f>'Rate Class Load Model'!F3</f>
        <v>621493.41</v>
      </c>
      <c r="D55" s="28">
        <f>'Rate Class Load Model'!F4</f>
        <v>610898.84</v>
      </c>
      <c r="E55" s="28">
        <f>'Rate Class Load Model'!F5</f>
        <v>626033.73</v>
      </c>
      <c r="F55" s="28">
        <f>'Rate Class Load Model'!F6</f>
        <v>679228.47722429177</v>
      </c>
      <c r="G55" s="6">
        <f>'Rate Class Load Model'!F7</f>
        <v>693011</v>
      </c>
      <c r="H55" s="6">
        <f>'Rate Class Load Model'!F8</f>
        <v>670402</v>
      </c>
      <c r="I55" s="6">
        <f>'Rate Class Load Model'!F9</f>
        <v>660774</v>
      </c>
      <c r="J55" s="6">
        <f>'Rate Class Load Model'!F10</f>
        <v>663066</v>
      </c>
      <c r="K55" s="6">
        <f>'Rate Class Load Model'!F11</f>
        <v>641485.24</v>
      </c>
      <c r="L55" s="6">
        <f>'Rate Class Load Model'!F12</f>
        <v>575310.20382334851</v>
      </c>
      <c r="M55" s="6">
        <f>'Rate Class Load Model'!F13</f>
        <v>559874.60448675824</v>
      </c>
    </row>
    <row r="57" spans="1:15" x14ac:dyDescent="0.25">
      <c r="A57" s="40" t="s">
        <v>75</v>
      </c>
      <c r="B57" s="6"/>
      <c r="C57" s="6"/>
      <c r="D57" s="6"/>
      <c r="E57" s="6"/>
      <c r="F57" s="6"/>
      <c r="G57" s="6"/>
      <c r="H57" s="6"/>
    </row>
    <row r="58" spans="1:15" x14ac:dyDescent="0.25">
      <c r="A58" t="s">
        <v>60</v>
      </c>
      <c r="B58" s="6">
        <f>B48-B53</f>
        <v>0</v>
      </c>
      <c r="C58" s="6">
        <f t="shared" ref="C58:M58" si="6">C48-C53</f>
        <v>0</v>
      </c>
      <c r="D58" s="6">
        <f t="shared" si="6"/>
        <v>0</v>
      </c>
      <c r="E58" s="6">
        <f t="shared" si="6"/>
        <v>0</v>
      </c>
      <c r="F58" s="6">
        <f t="shared" si="6"/>
        <v>0</v>
      </c>
      <c r="G58" s="6">
        <f t="shared" si="6"/>
        <v>0</v>
      </c>
      <c r="H58" s="6">
        <f t="shared" si="6"/>
        <v>0</v>
      </c>
      <c r="I58" s="6">
        <f t="shared" si="6"/>
        <v>0</v>
      </c>
      <c r="J58" s="6">
        <f t="shared" si="6"/>
        <v>0</v>
      </c>
      <c r="K58" s="6">
        <f t="shared" si="6"/>
        <v>0</v>
      </c>
      <c r="L58" s="6">
        <f t="shared" si="6"/>
        <v>0</v>
      </c>
      <c r="M58" s="6">
        <f t="shared" si="6"/>
        <v>0</v>
      </c>
    </row>
    <row r="59" spans="1:15" x14ac:dyDescent="0.25">
      <c r="A59" t="s">
        <v>57</v>
      </c>
      <c r="B59" s="6">
        <f>B49-B54</f>
        <v>0</v>
      </c>
      <c r="C59" s="6">
        <f t="shared" ref="C59:M59" si="7">C49-C54</f>
        <v>0</v>
      </c>
      <c r="D59" s="6">
        <f t="shared" si="7"/>
        <v>0</v>
      </c>
      <c r="E59" s="6">
        <f t="shared" si="7"/>
        <v>0</v>
      </c>
      <c r="F59" s="6">
        <f t="shared" si="7"/>
        <v>0</v>
      </c>
      <c r="G59" s="6">
        <f t="shared" si="7"/>
        <v>0</v>
      </c>
      <c r="H59" s="6">
        <f t="shared" si="7"/>
        <v>0</v>
      </c>
      <c r="I59" s="6">
        <f t="shared" si="7"/>
        <v>0</v>
      </c>
      <c r="J59" s="6">
        <f t="shared" si="7"/>
        <v>0</v>
      </c>
      <c r="K59" s="6">
        <f t="shared" si="7"/>
        <v>0</v>
      </c>
      <c r="L59" s="6">
        <f t="shared" si="7"/>
        <v>0</v>
      </c>
      <c r="M59" s="6">
        <f t="shared" si="7"/>
        <v>0</v>
      </c>
    </row>
    <row r="60" spans="1:15" x14ac:dyDescent="0.25">
      <c r="A60" t="s">
        <v>59</v>
      </c>
      <c r="B60" s="6">
        <f>B50-B55</f>
        <v>0</v>
      </c>
      <c r="C60" s="6">
        <f t="shared" ref="C60:M60" si="8">C50-C55</f>
        <v>0</v>
      </c>
      <c r="D60" s="6">
        <f t="shared" si="8"/>
        <v>0</v>
      </c>
      <c r="E60" s="6">
        <f t="shared" si="8"/>
        <v>0</v>
      </c>
      <c r="F60" s="6">
        <f t="shared" si="8"/>
        <v>0</v>
      </c>
      <c r="G60" s="6">
        <f t="shared" si="8"/>
        <v>0</v>
      </c>
      <c r="H60" s="6">
        <f t="shared" si="8"/>
        <v>0</v>
      </c>
      <c r="I60" s="6">
        <f t="shared" si="8"/>
        <v>0</v>
      </c>
      <c r="J60" s="6">
        <f t="shared" si="8"/>
        <v>0</v>
      </c>
      <c r="K60" s="6">
        <f t="shared" si="8"/>
        <v>0</v>
      </c>
      <c r="L60" s="6">
        <f t="shared" si="8"/>
        <v>0</v>
      </c>
      <c r="M60" s="6">
        <f t="shared" si="8"/>
        <v>0</v>
      </c>
    </row>
    <row r="63" spans="1:15" x14ac:dyDescent="0.25">
      <c r="A63" t="s">
        <v>225</v>
      </c>
      <c r="G63" s="6">
        <f>G15+G19+G23+G28+G33+G43+1</f>
        <v>22246</v>
      </c>
      <c r="H63" s="6">
        <f t="shared" ref="H63:M63" si="9">H15+H19+H23+H28+H33+H43+1</f>
        <v>22431</v>
      </c>
      <c r="I63" s="6">
        <f t="shared" si="9"/>
        <v>22521</v>
      </c>
      <c r="J63" s="6">
        <f t="shared" si="9"/>
        <v>22803</v>
      </c>
      <c r="K63" s="6">
        <f t="shared" si="9"/>
        <v>22887</v>
      </c>
      <c r="L63" s="6">
        <f t="shared" si="9"/>
        <v>23100.146790512132</v>
      </c>
      <c r="M63" s="6">
        <f t="shared" si="9"/>
        <v>23315.375130409549</v>
      </c>
      <c r="O63" s="81"/>
    </row>
    <row r="65" spans="1:13" x14ac:dyDescent="0.25">
      <c r="A65" t="s">
        <v>226</v>
      </c>
      <c r="H65" s="6">
        <f>(H63+G63)/2</f>
        <v>22338.5</v>
      </c>
      <c r="I65" s="6">
        <f t="shared" ref="I65:M65" si="10">(I63+H63)/2</f>
        <v>22476</v>
      </c>
      <c r="J65" s="6">
        <f t="shared" si="10"/>
        <v>22662</v>
      </c>
      <c r="K65" s="6">
        <f t="shared" si="10"/>
        <v>22845</v>
      </c>
      <c r="L65" s="6">
        <f t="shared" si="10"/>
        <v>22993.573395256066</v>
      </c>
      <c r="M65" s="6">
        <f t="shared" si="10"/>
        <v>23207.760960460841</v>
      </c>
    </row>
  </sheetData>
  <mergeCells count="1">
    <mergeCell ref="A1:L1"/>
  </mergeCells>
  <pageMargins left="0.38" right="0.75" top="0.73" bottom="0.74" header="0.5" footer="0.5"/>
  <pageSetup scale="5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8"/>
  <sheetViews>
    <sheetView view="pageBreakPreview" topLeftCell="E16" zoomScaleNormal="100" zoomScaleSheetLayoutView="100" workbookViewId="0">
      <selection activeCell="R79" sqref="R79"/>
    </sheetView>
  </sheetViews>
  <sheetFormatPr defaultColWidth="9.33203125" defaultRowHeight="13.2" x14ac:dyDescent="0.25"/>
  <cols>
    <col min="2" max="2" width="15.44140625" style="32" customWidth="1"/>
    <col min="3" max="3" width="16" customWidth="1"/>
    <col min="4" max="4" width="14.6640625" customWidth="1"/>
    <col min="5" max="5" width="14.44140625" bestFit="1" customWidth="1"/>
    <col min="6" max="6" width="12.6640625" customWidth="1"/>
    <col min="7" max="9" width="4.6640625" customWidth="1"/>
    <col min="10" max="10" width="16.33203125" customWidth="1"/>
    <col min="11" max="11" width="13.33203125" bestFit="1" customWidth="1"/>
    <col min="12" max="17" width="10.33203125" bestFit="1" customWidth="1"/>
    <col min="18" max="18" width="11.6640625" bestFit="1" customWidth="1"/>
    <col min="19" max="23" width="11.33203125" bestFit="1" customWidth="1"/>
    <col min="24" max="24" width="11.44140625" bestFit="1" customWidth="1"/>
    <col min="25" max="25" width="12.6640625" bestFit="1" customWidth="1"/>
    <col min="26" max="27" width="11.33203125" bestFit="1" customWidth="1"/>
    <col min="243" max="243" width="14.44140625" customWidth="1"/>
    <col min="244" max="244" width="12.6640625" customWidth="1"/>
    <col min="245" max="245" width="11.6640625" customWidth="1"/>
    <col min="246" max="246" width="10.33203125" customWidth="1"/>
    <col min="247" max="247" width="12.6640625" customWidth="1"/>
    <col min="248" max="258" width="17.6640625" customWidth="1"/>
    <col min="259" max="259" width="13" bestFit="1" customWidth="1"/>
    <col min="260" max="260" width="12.6640625" bestFit="1" customWidth="1"/>
    <col min="262" max="262" width="14.33203125" bestFit="1" customWidth="1"/>
    <col min="268" max="268" width="12.6640625" bestFit="1" customWidth="1"/>
    <col min="269" max="269" width="10.33203125" bestFit="1" customWidth="1"/>
    <col min="270" max="270" width="13.6640625" bestFit="1" customWidth="1"/>
    <col min="271" max="271" width="10.33203125" bestFit="1" customWidth="1"/>
    <col min="272" max="272" width="11" customWidth="1"/>
    <col min="274" max="274" width="20.44140625" bestFit="1" customWidth="1"/>
    <col min="499" max="499" width="14.44140625" customWidth="1"/>
    <col min="500" max="500" width="12.6640625" customWidth="1"/>
    <col min="501" max="501" width="11.6640625" customWidth="1"/>
    <col min="502" max="502" width="10.33203125" customWidth="1"/>
    <col min="503" max="503" width="12.6640625" customWidth="1"/>
    <col min="504" max="514" width="17.6640625" customWidth="1"/>
    <col min="515" max="515" width="13" bestFit="1" customWidth="1"/>
    <col min="516" max="516" width="12.6640625" bestFit="1" customWidth="1"/>
    <col min="518" max="518" width="14.33203125" bestFit="1" customWidth="1"/>
    <col min="524" max="524" width="12.6640625" bestFit="1" customWidth="1"/>
    <col min="525" max="525" width="10.33203125" bestFit="1" customWidth="1"/>
    <col min="526" max="526" width="13.6640625" bestFit="1" customWidth="1"/>
    <col min="527" max="527" width="10.33203125" bestFit="1" customWidth="1"/>
    <col min="528" max="528" width="11" customWidth="1"/>
    <col min="530" max="530" width="20.44140625" bestFit="1" customWidth="1"/>
    <col min="755" max="755" width="14.44140625" customWidth="1"/>
    <col min="756" max="756" width="12.6640625" customWidth="1"/>
    <col min="757" max="757" width="11.6640625" customWidth="1"/>
    <col min="758" max="758" width="10.33203125" customWidth="1"/>
    <col min="759" max="759" width="12.6640625" customWidth="1"/>
    <col min="760" max="770" width="17.6640625" customWidth="1"/>
    <col min="771" max="771" width="13" bestFit="1" customWidth="1"/>
    <col min="772" max="772" width="12.6640625" bestFit="1" customWidth="1"/>
    <col min="774" max="774" width="14.33203125" bestFit="1" customWidth="1"/>
    <col min="780" max="780" width="12.6640625" bestFit="1" customWidth="1"/>
    <col min="781" max="781" width="10.33203125" bestFit="1" customWidth="1"/>
    <col min="782" max="782" width="13.6640625" bestFit="1" customWidth="1"/>
    <col min="783" max="783" width="10.33203125" bestFit="1" customWidth="1"/>
    <col min="784" max="784" width="11" customWidth="1"/>
    <col min="786" max="786" width="20.44140625" bestFit="1" customWidth="1"/>
    <col min="1011" max="1011" width="14.44140625" customWidth="1"/>
    <col min="1012" max="1012" width="12.6640625" customWidth="1"/>
    <col min="1013" max="1013" width="11.6640625" customWidth="1"/>
    <col min="1014" max="1014" width="10.33203125" customWidth="1"/>
    <col min="1015" max="1015" width="12.6640625" customWidth="1"/>
    <col min="1016" max="1026" width="17.6640625" customWidth="1"/>
    <col min="1027" max="1027" width="13" bestFit="1" customWidth="1"/>
    <col min="1028" max="1028" width="12.6640625" bestFit="1" customWidth="1"/>
    <col min="1030" max="1030" width="14.33203125" bestFit="1" customWidth="1"/>
    <col min="1036" max="1036" width="12.6640625" bestFit="1" customWidth="1"/>
    <col min="1037" max="1037" width="10.33203125" bestFit="1" customWidth="1"/>
    <col min="1038" max="1038" width="13.6640625" bestFit="1" customWidth="1"/>
    <col min="1039" max="1039" width="10.33203125" bestFit="1" customWidth="1"/>
    <col min="1040" max="1040" width="11" customWidth="1"/>
    <col min="1042" max="1042" width="20.44140625" bestFit="1" customWidth="1"/>
    <col min="1267" max="1267" width="14.44140625" customWidth="1"/>
    <col min="1268" max="1268" width="12.6640625" customWidth="1"/>
    <col min="1269" max="1269" width="11.6640625" customWidth="1"/>
    <col min="1270" max="1270" width="10.33203125" customWidth="1"/>
    <col min="1271" max="1271" width="12.6640625" customWidth="1"/>
    <col min="1272" max="1282" width="17.6640625" customWidth="1"/>
    <col min="1283" max="1283" width="13" bestFit="1" customWidth="1"/>
    <col min="1284" max="1284" width="12.6640625" bestFit="1" customWidth="1"/>
    <col min="1286" max="1286" width="14.33203125" bestFit="1" customWidth="1"/>
    <col min="1292" max="1292" width="12.6640625" bestFit="1" customWidth="1"/>
    <col min="1293" max="1293" width="10.33203125" bestFit="1" customWidth="1"/>
    <col min="1294" max="1294" width="13.6640625" bestFit="1" customWidth="1"/>
    <col min="1295" max="1295" width="10.33203125" bestFit="1" customWidth="1"/>
    <col min="1296" max="1296" width="11" customWidth="1"/>
    <col min="1298" max="1298" width="20.44140625" bestFit="1" customWidth="1"/>
    <col min="1523" max="1523" width="14.44140625" customWidth="1"/>
    <col min="1524" max="1524" width="12.6640625" customWidth="1"/>
    <col min="1525" max="1525" width="11.6640625" customWidth="1"/>
    <col min="1526" max="1526" width="10.33203125" customWidth="1"/>
    <col min="1527" max="1527" width="12.6640625" customWidth="1"/>
    <col min="1528" max="1538" width="17.6640625" customWidth="1"/>
    <col min="1539" max="1539" width="13" bestFit="1" customWidth="1"/>
    <col min="1540" max="1540" width="12.6640625" bestFit="1" customWidth="1"/>
    <col min="1542" max="1542" width="14.33203125" bestFit="1" customWidth="1"/>
    <col min="1548" max="1548" width="12.6640625" bestFit="1" customWidth="1"/>
    <col min="1549" max="1549" width="10.33203125" bestFit="1" customWidth="1"/>
    <col min="1550" max="1550" width="13.6640625" bestFit="1" customWidth="1"/>
    <col min="1551" max="1551" width="10.33203125" bestFit="1" customWidth="1"/>
    <col min="1552" max="1552" width="11" customWidth="1"/>
    <col min="1554" max="1554" width="20.44140625" bestFit="1" customWidth="1"/>
    <col min="1779" max="1779" width="14.44140625" customWidth="1"/>
    <col min="1780" max="1780" width="12.6640625" customWidth="1"/>
    <col min="1781" max="1781" width="11.6640625" customWidth="1"/>
    <col min="1782" max="1782" width="10.33203125" customWidth="1"/>
    <col min="1783" max="1783" width="12.6640625" customWidth="1"/>
    <col min="1784" max="1794" width="17.6640625" customWidth="1"/>
    <col min="1795" max="1795" width="13" bestFit="1" customWidth="1"/>
    <col min="1796" max="1796" width="12.6640625" bestFit="1" customWidth="1"/>
    <col min="1798" max="1798" width="14.33203125" bestFit="1" customWidth="1"/>
    <col min="1804" max="1804" width="12.6640625" bestFit="1" customWidth="1"/>
    <col min="1805" max="1805" width="10.33203125" bestFit="1" customWidth="1"/>
    <col min="1806" max="1806" width="13.6640625" bestFit="1" customWidth="1"/>
    <col min="1807" max="1807" width="10.33203125" bestFit="1" customWidth="1"/>
    <col min="1808" max="1808" width="11" customWidth="1"/>
    <col min="1810" max="1810" width="20.44140625" bestFit="1" customWidth="1"/>
    <col min="2035" max="2035" width="14.44140625" customWidth="1"/>
    <col min="2036" max="2036" width="12.6640625" customWidth="1"/>
    <col min="2037" max="2037" width="11.6640625" customWidth="1"/>
    <col min="2038" max="2038" width="10.33203125" customWidth="1"/>
    <col min="2039" max="2039" width="12.6640625" customWidth="1"/>
    <col min="2040" max="2050" width="17.6640625" customWidth="1"/>
    <col min="2051" max="2051" width="13" bestFit="1" customWidth="1"/>
    <col min="2052" max="2052" width="12.6640625" bestFit="1" customWidth="1"/>
    <col min="2054" max="2054" width="14.33203125" bestFit="1" customWidth="1"/>
    <col min="2060" max="2060" width="12.6640625" bestFit="1" customWidth="1"/>
    <col min="2061" max="2061" width="10.33203125" bestFit="1" customWidth="1"/>
    <col min="2062" max="2062" width="13.6640625" bestFit="1" customWidth="1"/>
    <col min="2063" max="2063" width="10.33203125" bestFit="1" customWidth="1"/>
    <col min="2064" max="2064" width="11" customWidth="1"/>
    <col min="2066" max="2066" width="20.44140625" bestFit="1" customWidth="1"/>
    <col min="2291" max="2291" width="14.44140625" customWidth="1"/>
    <col min="2292" max="2292" width="12.6640625" customWidth="1"/>
    <col min="2293" max="2293" width="11.6640625" customWidth="1"/>
    <col min="2294" max="2294" width="10.33203125" customWidth="1"/>
    <col min="2295" max="2295" width="12.6640625" customWidth="1"/>
    <col min="2296" max="2306" width="17.6640625" customWidth="1"/>
    <col min="2307" max="2307" width="13" bestFit="1" customWidth="1"/>
    <col min="2308" max="2308" width="12.6640625" bestFit="1" customWidth="1"/>
    <col min="2310" max="2310" width="14.33203125" bestFit="1" customWidth="1"/>
    <col min="2316" max="2316" width="12.6640625" bestFit="1" customWidth="1"/>
    <col min="2317" max="2317" width="10.33203125" bestFit="1" customWidth="1"/>
    <col min="2318" max="2318" width="13.6640625" bestFit="1" customWidth="1"/>
    <col min="2319" max="2319" width="10.33203125" bestFit="1" customWidth="1"/>
    <col min="2320" max="2320" width="11" customWidth="1"/>
    <col min="2322" max="2322" width="20.44140625" bestFit="1" customWidth="1"/>
    <col min="2547" max="2547" width="14.44140625" customWidth="1"/>
    <col min="2548" max="2548" width="12.6640625" customWidth="1"/>
    <col min="2549" max="2549" width="11.6640625" customWidth="1"/>
    <col min="2550" max="2550" width="10.33203125" customWidth="1"/>
    <col min="2551" max="2551" width="12.6640625" customWidth="1"/>
    <col min="2552" max="2562" width="17.6640625" customWidth="1"/>
    <col min="2563" max="2563" width="13" bestFit="1" customWidth="1"/>
    <col min="2564" max="2564" width="12.6640625" bestFit="1" customWidth="1"/>
    <col min="2566" max="2566" width="14.33203125" bestFit="1" customWidth="1"/>
    <col min="2572" max="2572" width="12.6640625" bestFit="1" customWidth="1"/>
    <col min="2573" max="2573" width="10.33203125" bestFit="1" customWidth="1"/>
    <col min="2574" max="2574" width="13.6640625" bestFit="1" customWidth="1"/>
    <col min="2575" max="2575" width="10.33203125" bestFit="1" customWidth="1"/>
    <col min="2576" max="2576" width="11" customWidth="1"/>
    <col min="2578" max="2578" width="20.44140625" bestFit="1" customWidth="1"/>
    <col min="2803" max="2803" width="14.44140625" customWidth="1"/>
    <col min="2804" max="2804" width="12.6640625" customWidth="1"/>
    <col min="2805" max="2805" width="11.6640625" customWidth="1"/>
    <col min="2806" max="2806" width="10.33203125" customWidth="1"/>
    <col min="2807" max="2807" width="12.6640625" customWidth="1"/>
    <col min="2808" max="2818" width="17.6640625" customWidth="1"/>
    <col min="2819" max="2819" width="13" bestFit="1" customWidth="1"/>
    <col min="2820" max="2820" width="12.6640625" bestFit="1" customWidth="1"/>
    <col min="2822" max="2822" width="14.33203125" bestFit="1" customWidth="1"/>
    <col min="2828" max="2828" width="12.6640625" bestFit="1" customWidth="1"/>
    <col min="2829" max="2829" width="10.33203125" bestFit="1" customWidth="1"/>
    <col min="2830" max="2830" width="13.6640625" bestFit="1" customWidth="1"/>
    <col min="2831" max="2831" width="10.33203125" bestFit="1" customWidth="1"/>
    <col min="2832" max="2832" width="11" customWidth="1"/>
    <col min="2834" max="2834" width="20.44140625" bestFit="1" customWidth="1"/>
    <col min="3059" max="3059" width="14.44140625" customWidth="1"/>
    <col min="3060" max="3060" width="12.6640625" customWidth="1"/>
    <col min="3061" max="3061" width="11.6640625" customWidth="1"/>
    <col min="3062" max="3062" width="10.33203125" customWidth="1"/>
    <col min="3063" max="3063" width="12.6640625" customWidth="1"/>
    <col min="3064" max="3074" width="17.6640625" customWidth="1"/>
    <col min="3075" max="3075" width="13" bestFit="1" customWidth="1"/>
    <col min="3076" max="3076" width="12.6640625" bestFit="1" customWidth="1"/>
    <col min="3078" max="3078" width="14.33203125" bestFit="1" customWidth="1"/>
    <col min="3084" max="3084" width="12.6640625" bestFit="1" customWidth="1"/>
    <col min="3085" max="3085" width="10.33203125" bestFit="1" customWidth="1"/>
    <col min="3086" max="3086" width="13.6640625" bestFit="1" customWidth="1"/>
    <col min="3087" max="3087" width="10.33203125" bestFit="1" customWidth="1"/>
    <col min="3088" max="3088" width="11" customWidth="1"/>
    <col min="3090" max="3090" width="20.44140625" bestFit="1" customWidth="1"/>
    <col min="3315" max="3315" width="14.44140625" customWidth="1"/>
    <col min="3316" max="3316" width="12.6640625" customWidth="1"/>
    <col min="3317" max="3317" width="11.6640625" customWidth="1"/>
    <col min="3318" max="3318" width="10.33203125" customWidth="1"/>
    <col min="3319" max="3319" width="12.6640625" customWidth="1"/>
    <col min="3320" max="3330" width="17.6640625" customWidth="1"/>
    <col min="3331" max="3331" width="13" bestFit="1" customWidth="1"/>
    <col min="3332" max="3332" width="12.6640625" bestFit="1" customWidth="1"/>
    <col min="3334" max="3334" width="14.33203125" bestFit="1" customWidth="1"/>
    <col min="3340" max="3340" width="12.6640625" bestFit="1" customWidth="1"/>
    <col min="3341" max="3341" width="10.33203125" bestFit="1" customWidth="1"/>
    <col min="3342" max="3342" width="13.6640625" bestFit="1" customWidth="1"/>
    <col min="3343" max="3343" width="10.33203125" bestFit="1" customWidth="1"/>
    <col min="3344" max="3344" width="11" customWidth="1"/>
    <col min="3346" max="3346" width="20.44140625" bestFit="1" customWidth="1"/>
    <col min="3571" max="3571" width="14.44140625" customWidth="1"/>
    <col min="3572" max="3572" width="12.6640625" customWidth="1"/>
    <col min="3573" max="3573" width="11.6640625" customWidth="1"/>
    <col min="3574" max="3574" width="10.33203125" customWidth="1"/>
    <col min="3575" max="3575" width="12.6640625" customWidth="1"/>
    <col min="3576" max="3586" width="17.6640625" customWidth="1"/>
    <col min="3587" max="3587" width="13" bestFit="1" customWidth="1"/>
    <col min="3588" max="3588" width="12.6640625" bestFit="1" customWidth="1"/>
    <col min="3590" max="3590" width="14.33203125" bestFit="1" customWidth="1"/>
    <col min="3596" max="3596" width="12.6640625" bestFit="1" customWidth="1"/>
    <col min="3597" max="3597" width="10.33203125" bestFit="1" customWidth="1"/>
    <col min="3598" max="3598" width="13.6640625" bestFit="1" customWidth="1"/>
    <col min="3599" max="3599" width="10.33203125" bestFit="1" customWidth="1"/>
    <col min="3600" max="3600" width="11" customWidth="1"/>
    <col min="3602" max="3602" width="20.44140625" bestFit="1" customWidth="1"/>
    <col min="3827" max="3827" width="14.44140625" customWidth="1"/>
    <col min="3828" max="3828" width="12.6640625" customWidth="1"/>
    <col min="3829" max="3829" width="11.6640625" customWidth="1"/>
    <col min="3830" max="3830" width="10.33203125" customWidth="1"/>
    <col min="3831" max="3831" width="12.6640625" customWidth="1"/>
    <col min="3832" max="3842" width="17.6640625" customWidth="1"/>
    <col min="3843" max="3843" width="13" bestFit="1" customWidth="1"/>
    <col min="3844" max="3844" width="12.6640625" bestFit="1" customWidth="1"/>
    <col min="3846" max="3846" width="14.33203125" bestFit="1" customWidth="1"/>
    <col min="3852" max="3852" width="12.6640625" bestFit="1" customWidth="1"/>
    <col min="3853" max="3853" width="10.33203125" bestFit="1" customWidth="1"/>
    <col min="3854" max="3854" width="13.6640625" bestFit="1" customWidth="1"/>
    <col min="3855" max="3855" width="10.33203125" bestFit="1" customWidth="1"/>
    <col min="3856" max="3856" width="11" customWidth="1"/>
    <col min="3858" max="3858" width="20.44140625" bestFit="1" customWidth="1"/>
    <col min="4083" max="4083" width="14.44140625" customWidth="1"/>
    <col min="4084" max="4084" width="12.6640625" customWidth="1"/>
    <col min="4085" max="4085" width="11.6640625" customWidth="1"/>
    <col min="4086" max="4086" width="10.33203125" customWidth="1"/>
    <col min="4087" max="4087" width="12.6640625" customWidth="1"/>
    <col min="4088" max="4098" width="17.6640625" customWidth="1"/>
    <col min="4099" max="4099" width="13" bestFit="1" customWidth="1"/>
    <col min="4100" max="4100" width="12.6640625" bestFit="1" customWidth="1"/>
    <col min="4102" max="4102" width="14.33203125" bestFit="1" customWidth="1"/>
    <col min="4108" max="4108" width="12.6640625" bestFit="1" customWidth="1"/>
    <col min="4109" max="4109" width="10.33203125" bestFit="1" customWidth="1"/>
    <col min="4110" max="4110" width="13.6640625" bestFit="1" customWidth="1"/>
    <col min="4111" max="4111" width="10.33203125" bestFit="1" customWidth="1"/>
    <col min="4112" max="4112" width="11" customWidth="1"/>
    <col min="4114" max="4114" width="20.44140625" bestFit="1" customWidth="1"/>
    <col min="4339" max="4339" width="14.44140625" customWidth="1"/>
    <col min="4340" max="4340" width="12.6640625" customWidth="1"/>
    <col min="4341" max="4341" width="11.6640625" customWidth="1"/>
    <col min="4342" max="4342" width="10.33203125" customWidth="1"/>
    <col min="4343" max="4343" width="12.6640625" customWidth="1"/>
    <col min="4344" max="4354" width="17.6640625" customWidth="1"/>
    <col min="4355" max="4355" width="13" bestFit="1" customWidth="1"/>
    <col min="4356" max="4356" width="12.6640625" bestFit="1" customWidth="1"/>
    <col min="4358" max="4358" width="14.33203125" bestFit="1" customWidth="1"/>
    <col min="4364" max="4364" width="12.6640625" bestFit="1" customWidth="1"/>
    <col min="4365" max="4365" width="10.33203125" bestFit="1" customWidth="1"/>
    <col min="4366" max="4366" width="13.6640625" bestFit="1" customWidth="1"/>
    <col min="4367" max="4367" width="10.33203125" bestFit="1" customWidth="1"/>
    <col min="4368" max="4368" width="11" customWidth="1"/>
    <col min="4370" max="4370" width="20.44140625" bestFit="1" customWidth="1"/>
    <col min="4595" max="4595" width="14.44140625" customWidth="1"/>
    <col min="4596" max="4596" width="12.6640625" customWidth="1"/>
    <col min="4597" max="4597" width="11.6640625" customWidth="1"/>
    <col min="4598" max="4598" width="10.33203125" customWidth="1"/>
    <col min="4599" max="4599" width="12.6640625" customWidth="1"/>
    <col min="4600" max="4610" width="17.6640625" customWidth="1"/>
    <col min="4611" max="4611" width="13" bestFit="1" customWidth="1"/>
    <col min="4612" max="4612" width="12.6640625" bestFit="1" customWidth="1"/>
    <col min="4614" max="4614" width="14.33203125" bestFit="1" customWidth="1"/>
    <col min="4620" max="4620" width="12.6640625" bestFit="1" customWidth="1"/>
    <col min="4621" max="4621" width="10.33203125" bestFit="1" customWidth="1"/>
    <col min="4622" max="4622" width="13.6640625" bestFit="1" customWidth="1"/>
    <col min="4623" max="4623" width="10.33203125" bestFit="1" customWidth="1"/>
    <col min="4624" max="4624" width="11" customWidth="1"/>
    <col min="4626" max="4626" width="20.44140625" bestFit="1" customWidth="1"/>
    <col min="4851" max="4851" width="14.44140625" customWidth="1"/>
    <col min="4852" max="4852" width="12.6640625" customWidth="1"/>
    <col min="4853" max="4853" width="11.6640625" customWidth="1"/>
    <col min="4854" max="4854" width="10.33203125" customWidth="1"/>
    <col min="4855" max="4855" width="12.6640625" customWidth="1"/>
    <col min="4856" max="4866" width="17.6640625" customWidth="1"/>
    <col min="4867" max="4867" width="13" bestFit="1" customWidth="1"/>
    <col min="4868" max="4868" width="12.6640625" bestFit="1" customWidth="1"/>
    <col min="4870" max="4870" width="14.33203125" bestFit="1" customWidth="1"/>
    <col min="4876" max="4876" width="12.6640625" bestFit="1" customWidth="1"/>
    <col min="4877" max="4877" width="10.33203125" bestFit="1" customWidth="1"/>
    <col min="4878" max="4878" width="13.6640625" bestFit="1" customWidth="1"/>
    <col min="4879" max="4879" width="10.33203125" bestFit="1" customWidth="1"/>
    <col min="4880" max="4880" width="11" customWidth="1"/>
    <col min="4882" max="4882" width="20.44140625" bestFit="1" customWidth="1"/>
    <col min="5107" max="5107" width="14.44140625" customWidth="1"/>
    <col min="5108" max="5108" width="12.6640625" customWidth="1"/>
    <col min="5109" max="5109" width="11.6640625" customWidth="1"/>
    <col min="5110" max="5110" width="10.33203125" customWidth="1"/>
    <col min="5111" max="5111" width="12.6640625" customWidth="1"/>
    <col min="5112" max="5122" width="17.6640625" customWidth="1"/>
    <col min="5123" max="5123" width="13" bestFit="1" customWidth="1"/>
    <col min="5124" max="5124" width="12.6640625" bestFit="1" customWidth="1"/>
    <col min="5126" max="5126" width="14.33203125" bestFit="1" customWidth="1"/>
    <col min="5132" max="5132" width="12.6640625" bestFit="1" customWidth="1"/>
    <col min="5133" max="5133" width="10.33203125" bestFit="1" customWidth="1"/>
    <col min="5134" max="5134" width="13.6640625" bestFit="1" customWidth="1"/>
    <col min="5135" max="5135" width="10.33203125" bestFit="1" customWidth="1"/>
    <col min="5136" max="5136" width="11" customWidth="1"/>
    <col min="5138" max="5138" width="20.44140625" bestFit="1" customWidth="1"/>
    <col min="5363" max="5363" width="14.44140625" customWidth="1"/>
    <col min="5364" max="5364" width="12.6640625" customWidth="1"/>
    <col min="5365" max="5365" width="11.6640625" customWidth="1"/>
    <col min="5366" max="5366" width="10.33203125" customWidth="1"/>
    <col min="5367" max="5367" width="12.6640625" customWidth="1"/>
    <col min="5368" max="5378" width="17.6640625" customWidth="1"/>
    <col min="5379" max="5379" width="13" bestFit="1" customWidth="1"/>
    <col min="5380" max="5380" width="12.6640625" bestFit="1" customWidth="1"/>
    <col min="5382" max="5382" width="14.33203125" bestFit="1" customWidth="1"/>
    <col min="5388" max="5388" width="12.6640625" bestFit="1" customWidth="1"/>
    <col min="5389" max="5389" width="10.33203125" bestFit="1" customWidth="1"/>
    <col min="5390" max="5390" width="13.6640625" bestFit="1" customWidth="1"/>
    <col min="5391" max="5391" width="10.33203125" bestFit="1" customWidth="1"/>
    <col min="5392" max="5392" width="11" customWidth="1"/>
    <col min="5394" max="5394" width="20.44140625" bestFit="1" customWidth="1"/>
    <col min="5619" max="5619" width="14.44140625" customWidth="1"/>
    <col min="5620" max="5620" width="12.6640625" customWidth="1"/>
    <col min="5621" max="5621" width="11.6640625" customWidth="1"/>
    <col min="5622" max="5622" width="10.33203125" customWidth="1"/>
    <col min="5623" max="5623" width="12.6640625" customWidth="1"/>
    <col min="5624" max="5634" width="17.6640625" customWidth="1"/>
    <col min="5635" max="5635" width="13" bestFit="1" customWidth="1"/>
    <col min="5636" max="5636" width="12.6640625" bestFit="1" customWidth="1"/>
    <col min="5638" max="5638" width="14.33203125" bestFit="1" customWidth="1"/>
    <col min="5644" max="5644" width="12.6640625" bestFit="1" customWidth="1"/>
    <col min="5645" max="5645" width="10.33203125" bestFit="1" customWidth="1"/>
    <col min="5646" max="5646" width="13.6640625" bestFit="1" customWidth="1"/>
    <col min="5647" max="5647" width="10.33203125" bestFit="1" customWidth="1"/>
    <col min="5648" max="5648" width="11" customWidth="1"/>
    <col min="5650" max="5650" width="20.44140625" bestFit="1" customWidth="1"/>
    <col min="5875" max="5875" width="14.44140625" customWidth="1"/>
    <col min="5876" max="5876" width="12.6640625" customWidth="1"/>
    <col min="5877" max="5877" width="11.6640625" customWidth="1"/>
    <col min="5878" max="5878" width="10.33203125" customWidth="1"/>
    <col min="5879" max="5879" width="12.6640625" customWidth="1"/>
    <col min="5880" max="5890" width="17.6640625" customWidth="1"/>
    <col min="5891" max="5891" width="13" bestFit="1" customWidth="1"/>
    <col min="5892" max="5892" width="12.6640625" bestFit="1" customWidth="1"/>
    <col min="5894" max="5894" width="14.33203125" bestFit="1" customWidth="1"/>
    <col min="5900" max="5900" width="12.6640625" bestFit="1" customWidth="1"/>
    <col min="5901" max="5901" width="10.33203125" bestFit="1" customWidth="1"/>
    <col min="5902" max="5902" width="13.6640625" bestFit="1" customWidth="1"/>
    <col min="5903" max="5903" width="10.33203125" bestFit="1" customWidth="1"/>
    <col min="5904" max="5904" width="11" customWidth="1"/>
    <col min="5906" max="5906" width="20.44140625" bestFit="1" customWidth="1"/>
    <col min="6131" max="6131" width="14.44140625" customWidth="1"/>
    <col min="6132" max="6132" width="12.6640625" customWidth="1"/>
    <col min="6133" max="6133" width="11.6640625" customWidth="1"/>
    <col min="6134" max="6134" width="10.33203125" customWidth="1"/>
    <col min="6135" max="6135" width="12.6640625" customWidth="1"/>
    <col min="6136" max="6146" width="17.6640625" customWidth="1"/>
    <col min="6147" max="6147" width="13" bestFit="1" customWidth="1"/>
    <col min="6148" max="6148" width="12.6640625" bestFit="1" customWidth="1"/>
    <col min="6150" max="6150" width="14.33203125" bestFit="1" customWidth="1"/>
    <col min="6156" max="6156" width="12.6640625" bestFit="1" customWidth="1"/>
    <col min="6157" max="6157" width="10.33203125" bestFit="1" customWidth="1"/>
    <col min="6158" max="6158" width="13.6640625" bestFit="1" customWidth="1"/>
    <col min="6159" max="6159" width="10.33203125" bestFit="1" customWidth="1"/>
    <col min="6160" max="6160" width="11" customWidth="1"/>
    <col min="6162" max="6162" width="20.44140625" bestFit="1" customWidth="1"/>
    <col min="6387" max="6387" width="14.44140625" customWidth="1"/>
    <col min="6388" max="6388" width="12.6640625" customWidth="1"/>
    <col min="6389" max="6389" width="11.6640625" customWidth="1"/>
    <col min="6390" max="6390" width="10.33203125" customWidth="1"/>
    <col min="6391" max="6391" width="12.6640625" customWidth="1"/>
    <col min="6392" max="6402" width="17.6640625" customWidth="1"/>
    <col min="6403" max="6403" width="13" bestFit="1" customWidth="1"/>
    <col min="6404" max="6404" width="12.6640625" bestFit="1" customWidth="1"/>
    <col min="6406" max="6406" width="14.33203125" bestFit="1" customWidth="1"/>
    <col min="6412" max="6412" width="12.6640625" bestFit="1" customWidth="1"/>
    <col min="6413" max="6413" width="10.33203125" bestFit="1" customWidth="1"/>
    <col min="6414" max="6414" width="13.6640625" bestFit="1" customWidth="1"/>
    <col min="6415" max="6415" width="10.33203125" bestFit="1" customWidth="1"/>
    <col min="6416" max="6416" width="11" customWidth="1"/>
    <col min="6418" max="6418" width="20.44140625" bestFit="1" customWidth="1"/>
    <col min="6643" max="6643" width="14.44140625" customWidth="1"/>
    <col min="6644" max="6644" width="12.6640625" customWidth="1"/>
    <col min="6645" max="6645" width="11.6640625" customWidth="1"/>
    <col min="6646" max="6646" width="10.33203125" customWidth="1"/>
    <col min="6647" max="6647" width="12.6640625" customWidth="1"/>
    <col min="6648" max="6658" width="17.6640625" customWidth="1"/>
    <col min="6659" max="6659" width="13" bestFit="1" customWidth="1"/>
    <col min="6660" max="6660" width="12.6640625" bestFit="1" customWidth="1"/>
    <col min="6662" max="6662" width="14.33203125" bestFit="1" customWidth="1"/>
    <col min="6668" max="6668" width="12.6640625" bestFit="1" customWidth="1"/>
    <col min="6669" max="6669" width="10.33203125" bestFit="1" customWidth="1"/>
    <col min="6670" max="6670" width="13.6640625" bestFit="1" customWidth="1"/>
    <col min="6671" max="6671" width="10.33203125" bestFit="1" customWidth="1"/>
    <col min="6672" max="6672" width="11" customWidth="1"/>
    <col min="6674" max="6674" width="20.44140625" bestFit="1" customWidth="1"/>
    <col min="6899" max="6899" width="14.44140625" customWidth="1"/>
    <col min="6900" max="6900" width="12.6640625" customWidth="1"/>
    <col min="6901" max="6901" width="11.6640625" customWidth="1"/>
    <col min="6902" max="6902" width="10.33203125" customWidth="1"/>
    <col min="6903" max="6903" width="12.6640625" customWidth="1"/>
    <col min="6904" max="6914" width="17.6640625" customWidth="1"/>
    <col min="6915" max="6915" width="13" bestFit="1" customWidth="1"/>
    <col min="6916" max="6916" width="12.6640625" bestFit="1" customWidth="1"/>
    <col min="6918" max="6918" width="14.33203125" bestFit="1" customWidth="1"/>
    <col min="6924" max="6924" width="12.6640625" bestFit="1" customWidth="1"/>
    <col min="6925" max="6925" width="10.33203125" bestFit="1" customWidth="1"/>
    <col min="6926" max="6926" width="13.6640625" bestFit="1" customWidth="1"/>
    <col min="6927" max="6927" width="10.33203125" bestFit="1" customWidth="1"/>
    <col min="6928" max="6928" width="11" customWidth="1"/>
    <col min="6930" max="6930" width="20.44140625" bestFit="1" customWidth="1"/>
    <col min="7155" max="7155" width="14.44140625" customWidth="1"/>
    <col min="7156" max="7156" width="12.6640625" customWidth="1"/>
    <col min="7157" max="7157" width="11.6640625" customWidth="1"/>
    <col min="7158" max="7158" width="10.33203125" customWidth="1"/>
    <col min="7159" max="7159" width="12.6640625" customWidth="1"/>
    <col min="7160" max="7170" width="17.6640625" customWidth="1"/>
    <col min="7171" max="7171" width="13" bestFit="1" customWidth="1"/>
    <col min="7172" max="7172" width="12.6640625" bestFit="1" customWidth="1"/>
    <col min="7174" max="7174" width="14.33203125" bestFit="1" customWidth="1"/>
    <col min="7180" max="7180" width="12.6640625" bestFit="1" customWidth="1"/>
    <col min="7181" max="7181" width="10.33203125" bestFit="1" customWidth="1"/>
    <col min="7182" max="7182" width="13.6640625" bestFit="1" customWidth="1"/>
    <col min="7183" max="7183" width="10.33203125" bestFit="1" customWidth="1"/>
    <col min="7184" max="7184" width="11" customWidth="1"/>
    <col min="7186" max="7186" width="20.44140625" bestFit="1" customWidth="1"/>
    <col min="7411" max="7411" width="14.44140625" customWidth="1"/>
    <col min="7412" max="7412" width="12.6640625" customWidth="1"/>
    <col min="7413" max="7413" width="11.6640625" customWidth="1"/>
    <col min="7414" max="7414" width="10.33203125" customWidth="1"/>
    <col min="7415" max="7415" width="12.6640625" customWidth="1"/>
    <col min="7416" max="7426" width="17.6640625" customWidth="1"/>
    <col min="7427" max="7427" width="13" bestFit="1" customWidth="1"/>
    <col min="7428" max="7428" width="12.6640625" bestFit="1" customWidth="1"/>
    <col min="7430" max="7430" width="14.33203125" bestFit="1" customWidth="1"/>
    <col min="7436" max="7436" width="12.6640625" bestFit="1" customWidth="1"/>
    <col min="7437" max="7437" width="10.33203125" bestFit="1" customWidth="1"/>
    <col min="7438" max="7438" width="13.6640625" bestFit="1" customWidth="1"/>
    <col min="7439" max="7439" width="10.33203125" bestFit="1" customWidth="1"/>
    <col min="7440" max="7440" width="11" customWidth="1"/>
    <col min="7442" max="7442" width="20.44140625" bestFit="1" customWidth="1"/>
    <col min="7667" max="7667" width="14.44140625" customWidth="1"/>
    <col min="7668" max="7668" width="12.6640625" customWidth="1"/>
    <col min="7669" max="7669" width="11.6640625" customWidth="1"/>
    <col min="7670" max="7670" width="10.33203125" customWidth="1"/>
    <col min="7671" max="7671" width="12.6640625" customWidth="1"/>
    <col min="7672" max="7682" width="17.6640625" customWidth="1"/>
    <col min="7683" max="7683" width="13" bestFit="1" customWidth="1"/>
    <col min="7684" max="7684" width="12.6640625" bestFit="1" customWidth="1"/>
    <col min="7686" max="7686" width="14.33203125" bestFit="1" customWidth="1"/>
    <col min="7692" max="7692" width="12.6640625" bestFit="1" customWidth="1"/>
    <col min="7693" max="7693" width="10.33203125" bestFit="1" customWidth="1"/>
    <col min="7694" max="7694" width="13.6640625" bestFit="1" customWidth="1"/>
    <col min="7695" max="7695" width="10.33203125" bestFit="1" customWidth="1"/>
    <col min="7696" max="7696" width="11" customWidth="1"/>
    <col min="7698" max="7698" width="20.44140625" bestFit="1" customWidth="1"/>
    <col min="7923" max="7923" width="14.44140625" customWidth="1"/>
    <col min="7924" max="7924" width="12.6640625" customWidth="1"/>
    <col min="7925" max="7925" width="11.6640625" customWidth="1"/>
    <col min="7926" max="7926" width="10.33203125" customWidth="1"/>
    <col min="7927" max="7927" width="12.6640625" customWidth="1"/>
    <col min="7928" max="7938" width="17.6640625" customWidth="1"/>
    <col min="7939" max="7939" width="13" bestFit="1" customWidth="1"/>
    <col min="7940" max="7940" width="12.6640625" bestFit="1" customWidth="1"/>
    <col min="7942" max="7942" width="14.33203125" bestFit="1" customWidth="1"/>
    <col min="7948" max="7948" width="12.6640625" bestFit="1" customWidth="1"/>
    <col min="7949" max="7949" width="10.33203125" bestFit="1" customWidth="1"/>
    <col min="7950" max="7950" width="13.6640625" bestFit="1" customWidth="1"/>
    <col min="7951" max="7951" width="10.33203125" bestFit="1" customWidth="1"/>
    <col min="7952" max="7952" width="11" customWidth="1"/>
    <col min="7954" max="7954" width="20.44140625" bestFit="1" customWidth="1"/>
    <col min="8179" max="8179" width="14.44140625" customWidth="1"/>
    <col min="8180" max="8180" width="12.6640625" customWidth="1"/>
    <col min="8181" max="8181" width="11.6640625" customWidth="1"/>
    <col min="8182" max="8182" width="10.33203125" customWidth="1"/>
    <col min="8183" max="8183" width="12.6640625" customWidth="1"/>
    <col min="8184" max="8194" width="17.6640625" customWidth="1"/>
    <col min="8195" max="8195" width="13" bestFit="1" customWidth="1"/>
    <col min="8196" max="8196" width="12.6640625" bestFit="1" customWidth="1"/>
    <col min="8198" max="8198" width="14.33203125" bestFit="1" customWidth="1"/>
    <col min="8204" max="8204" width="12.6640625" bestFit="1" customWidth="1"/>
    <col min="8205" max="8205" width="10.33203125" bestFit="1" customWidth="1"/>
    <col min="8206" max="8206" width="13.6640625" bestFit="1" customWidth="1"/>
    <col min="8207" max="8207" width="10.33203125" bestFit="1" customWidth="1"/>
    <col min="8208" max="8208" width="11" customWidth="1"/>
    <col min="8210" max="8210" width="20.44140625" bestFit="1" customWidth="1"/>
    <col min="8435" max="8435" width="14.44140625" customWidth="1"/>
    <col min="8436" max="8436" width="12.6640625" customWidth="1"/>
    <col min="8437" max="8437" width="11.6640625" customWidth="1"/>
    <col min="8438" max="8438" width="10.33203125" customWidth="1"/>
    <col min="8439" max="8439" width="12.6640625" customWidth="1"/>
    <col min="8440" max="8450" width="17.6640625" customWidth="1"/>
    <col min="8451" max="8451" width="13" bestFit="1" customWidth="1"/>
    <col min="8452" max="8452" width="12.6640625" bestFit="1" customWidth="1"/>
    <col min="8454" max="8454" width="14.33203125" bestFit="1" customWidth="1"/>
    <col min="8460" max="8460" width="12.6640625" bestFit="1" customWidth="1"/>
    <col min="8461" max="8461" width="10.33203125" bestFit="1" customWidth="1"/>
    <col min="8462" max="8462" width="13.6640625" bestFit="1" customWidth="1"/>
    <col min="8463" max="8463" width="10.33203125" bestFit="1" customWidth="1"/>
    <col min="8464" max="8464" width="11" customWidth="1"/>
    <col min="8466" max="8466" width="20.44140625" bestFit="1" customWidth="1"/>
    <col min="8691" max="8691" width="14.44140625" customWidth="1"/>
    <col min="8692" max="8692" width="12.6640625" customWidth="1"/>
    <col min="8693" max="8693" width="11.6640625" customWidth="1"/>
    <col min="8694" max="8694" width="10.33203125" customWidth="1"/>
    <col min="8695" max="8695" width="12.6640625" customWidth="1"/>
    <col min="8696" max="8706" width="17.6640625" customWidth="1"/>
    <col min="8707" max="8707" width="13" bestFit="1" customWidth="1"/>
    <col min="8708" max="8708" width="12.6640625" bestFit="1" customWidth="1"/>
    <col min="8710" max="8710" width="14.33203125" bestFit="1" customWidth="1"/>
    <col min="8716" max="8716" width="12.6640625" bestFit="1" customWidth="1"/>
    <col min="8717" max="8717" width="10.33203125" bestFit="1" customWidth="1"/>
    <col min="8718" max="8718" width="13.6640625" bestFit="1" customWidth="1"/>
    <col min="8719" max="8719" width="10.33203125" bestFit="1" customWidth="1"/>
    <col min="8720" max="8720" width="11" customWidth="1"/>
    <col min="8722" max="8722" width="20.44140625" bestFit="1" customWidth="1"/>
    <col min="8947" max="8947" width="14.44140625" customWidth="1"/>
    <col min="8948" max="8948" width="12.6640625" customWidth="1"/>
    <col min="8949" max="8949" width="11.6640625" customWidth="1"/>
    <col min="8950" max="8950" width="10.33203125" customWidth="1"/>
    <col min="8951" max="8951" width="12.6640625" customWidth="1"/>
    <col min="8952" max="8962" width="17.6640625" customWidth="1"/>
    <col min="8963" max="8963" width="13" bestFit="1" customWidth="1"/>
    <col min="8964" max="8964" width="12.6640625" bestFit="1" customWidth="1"/>
    <col min="8966" max="8966" width="14.33203125" bestFit="1" customWidth="1"/>
    <col min="8972" max="8972" width="12.6640625" bestFit="1" customWidth="1"/>
    <col min="8973" max="8973" width="10.33203125" bestFit="1" customWidth="1"/>
    <col min="8974" max="8974" width="13.6640625" bestFit="1" customWidth="1"/>
    <col min="8975" max="8975" width="10.33203125" bestFit="1" customWidth="1"/>
    <col min="8976" max="8976" width="11" customWidth="1"/>
    <col min="8978" max="8978" width="20.44140625" bestFit="1" customWidth="1"/>
    <col min="9203" max="9203" width="14.44140625" customWidth="1"/>
    <col min="9204" max="9204" width="12.6640625" customWidth="1"/>
    <col min="9205" max="9205" width="11.6640625" customWidth="1"/>
    <col min="9206" max="9206" width="10.33203125" customWidth="1"/>
    <col min="9207" max="9207" width="12.6640625" customWidth="1"/>
    <col min="9208" max="9218" width="17.6640625" customWidth="1"/>
    <col min="9219" max="9219" width="13" bestFit="1" customWidth="1"/>
    <col min="9220" max="9220" width="12.6640625" bestFit="1" customWidth="1"/>
    <col min="9222" max="9222" width="14.33203125" bestFit="1" customWidth="1"/>
    <col min="9228" max="9228" width="12.6640625" bestFit="1" customWidth="1"/>
    <col min="9229" max="9229" width="10.33203125" bestFit="1" customWidth="1"/>
    <col min="9230" max="9230" width="13.6640625" bestFit="1" customWidth="1"/>
    <col min="9231" max="9231" width="10.33203125" bestFit="1" customWidth="1"/>
    <col min="9232" max="9232" width="11" customWidth="1"/>
    <col min="9234" max="9234" width="20.44140625" bestFit="1" customWidth="1"/>
    <col min="9459" max="9459" width="14.44140625" customWidth="1"/>
    <col min="9460" max="9460" width="12.6640625" customWidth="1"/>
    <col min="9461" max="9461" width="11.6640625" customWidth="1"/>
    <col min="9462" max="9462" width="10.33203125" customWidth="1"/>
    <col min="9463" max="9463" width="12.6640625" customWidth="1"/>
    <col min="9464" max="9474" width="17.6640625" customWidth="1"/>
    <col min="9475" max="9475" width="13" bestFit="1" customWidth="1"/>
    <col min="9476" max="9476" width="12.6640625" bestFit="1" customWidth="1"/>
    <col min="9478" max="9478" width="14.33203125" bestFit="1" customWidth="1"/>
    <col min="9484" max="9484" width="12.6640625" bestFit="1" customWidth="1"/>
    <col min="9485" max="9485" width="10.33203125" bestFit="1" customWidth="1"/>
    <col min="9486" max="9486" width="13.6640625" bestFit="1" customWidth="1"/>
    <col min="9487" max="9487" width="10.33203125" bestFit="1" customWidth="1"/>
    <col min="9488" max="9488" width="11" customWidth="1"/>
    <col min="9490" max="9490" width="20.44140625" bestFit="1" customWidth="1"/>
    <col min="9715" max="9715" width="14.44140625" customWidth="1"/>
    <col min="9716" max="9716" width="12.6640625" customWidth="1"/>
    <col min="9717" max="9717" width="11.6640625" customWidth="1"/>
    <col min="9718" max="9718" width="10.33203125" customWidth="1"/>
    <col min="9719" max="9719" width="12.6640625" customWidth="1"/>
    <col min="9720" max="9730" width="17.6640625" customWidth="1"/>
    <col min="9731" max="9731" width="13" bestFit="1" customWidth="1"/>
    <col min="9732" max="9732" width="12.6640625" bestFit="1" customWidth="1"/>
    <col min="9734" max="9734" width="14.33203125" bestFit="1" customWidth="1"/>
    <col min="9740" max="9740" width="12.6640625" bestFit="1" customWidth="1"/>
    <col min="9741" max="9741" width="10.33203125" bestFit="1" customWidth="1"/>
    <col min="9742" max="9742" width="13.6640625" bestFit="1" customWidth="1"/>
    <col min="9743" max="9743" width="10.33203125" bestFit="1" customWidth="1"/>
    <col min="9744" max="9744" width="11" customWidth="1"/>
    <col min="9746" max="9746" width="20.44140625" bestFit="1" customWidth="1"/>
    <col min="9971" max="9971" width="14.44140625" customWidth="1"/>
    <col min="9972" max="9972" width="12.6640625" customWidth="1"/>
    <col min="9973" max="9973" width="11.6640625" customWidth="1"/>
    <col min="9974" max="9974" width="10.33203125" customWidth="1"/>
    <col min="9975" max="9975" width="12.6640625" customWidth="1"/>
    <col min="9976" max="9986" width="17.6640625" customWidth="1"/>
    <col min="9987" max="9987" width="13" bestFit="1" customWidth="1"/>
    <col min="9988" max="9988" width="12.6640625" bestFit="1" customWidth="1"/>
    <col min="9990" max="9990" width="14.33203125" bestFit="1" customWidth="1"/>
    <col min="9996" max="9996" width="12.6640625" bestFit="1" customWidth="1"/>
    <col min="9997" max="9997" width="10.33203125" bestFit="1" customWidth="1"/>
    <col min="9998" max="9998" width="13.6640625" bestFit="1" customWidth="1"/>
    <col min="9999" max="9999" width="10.33203125" bestFit="1" customWidth="1"/>
    <col min="10000" max="10000" width="11" customWidth="1"/>
    <col min="10002" max="10002" width="20.44140625" bestFit="1" customWidth="1"/>
    <col min="10227" max="10227" width="14.44140625" customWidth="1"/>
    <col min="10228" max="10228" width="12.6640625" customWidth="1"/>
    <col min="10229" max="10229" width="11.6640625" customWidth="1"/>
    <col min="10230" max="10230" width="10.33203125" customWidth="1"/>
    <col min="10231" max="10231" width="12.6640625" customWidth="1"/>
    <col min="10232" max="10242" width="17.6640625" customWidth="1"/>
    <col min="10243" max="10243" width="13" bestFit="1" customWidth="1"/>
    <col min="10244" max="10244" width="12.6640625" bestFit="1" customWidth="1"/>
    <col min="10246" max="10246" width="14.33203125" bestFit="1" customWidth="1"/>
    <col min="10252" max="10252" width="12.6640625" bestFit="1" customWidth="1"/>
    <col min="10253" max="10253" width="10.33203125" bestFit="1" customWidth="1"/>
    <col min="10254" max="10254" width="13.6640625" bestFit="1" customWidth="1"/>
    <col min="10255" max="10255" width="10.33203125" bestFit="1" customWidth="1"/>
    <col min="10256" max="10256" width="11" customWidth="1"/>
    <col min="10258" max="10258" width="20.44140625" bestFit="1" customWidth="1"/>
    <col min="10483" max="10483" width="14.44140625" customWidth="1"/>
    <col min="10484" max="10484" width="12.6640625" customWidth="1"/>
    <col min="10485" max="10485" width="11.6640625" customWidth="1"/>
    <col min="10486" max="10486" width="10.33203125" customWidth="1"/>
    <col min="10487" max="10487" width="12.6640625" customWidth="1"/>
    <col min="10488" max="10498" width="17.6640625" customWidth="1"/>
    <col min="10499" max="10499" width="13" bestFit="1" customWidth="1"/>
    <col min="10500" max="10500" width="12.6640625" bestFit="1" customWidth="1"/>
    <col min="10502" max="10502" width="14.33203125" bestFit="1" customWidth="1"/>
    <col min="10508" max="10508" width="12.6640625" bestFit="1" customWidth="1"/>
    <col min="10509" max="10509" width="10.33203125" bestFit="1" customWidth="1"/>
    <col min="10510" max="10510" width="13.6640625" bestFit="1" customWidth="1"/>
    <col min="10511" max="10511" width="10.33203125" bestFit="1" customWidth="1"/>
    <col min="10512" max="10512" width="11" customWidth="1"/>
    <col min="10514" max="10514" width="20.44140625" bestFit="1" customWidth="1"/>
    <col min="10739" max="10739" width="14.44140625" customWidth="1"/>
    <col min="10740" max="10740" width="12.6640625" customWidth="1"/>
    <col min="10741" max="10741" width="11.6640625" customWidth="1"/>
    <col min="10742" max="10742" width="10.33203125" customWidth="1"/>
    <col min="10743" max="10743" width="12.6640625" customWidth="1"/>
    <col min="10744" max="10754" width="17.6640625" customWidth="1"/>
    <col min="10755" max="10755" width="13" bestFit="1" customWidth="1"/>
    <col min="10756" max="10756" width="12.6640625" bestFit="1" customWidth="1"/>
    <col min="10758" max="10758" width="14.33203125" bestFit="1" customWidth="1"/>
    <col min="10764" max="10764" width="12.6640625" bestFit="1" customWidth="1"/>
    <col min="10765" max="10765" width="10.33203125" bestFit="1" customWidth="1"/>
    <col min="10766" max="10766" width="13.6640625" bestFit="1" customWidth="1"/>
    <col min="10767" max="10767" width="10.33203125" bestFit="1" customWidth="1"/>
    <col min="10768" max="10768" width="11" customWidth="1"/>
    <col min="10770" max="10770" width="20.44140625" bestFit="1" customWidth="1"/>
    <col min="10995" max="10995" width="14.44140625" customWidth="1"/>
    <col min="10996" max="10996" width="12.6640625" customWidth="1"/>
    <col min="10997" max="10997" width="11.6640625" customWidth="1"/>
    <col min="10998" max="10998" width="10.33203125" customWidth="1"/>
    <col min="10999" max="10999" width="12.6640625" customWidth="1"/>
    <col min="11000" max="11010" width="17.6640625" customWidth="1"/>
    <col min="11011" max="11011" width="13" bestFit="1" customWidth="1"/>
    <col min="11012" max="11012" width="12.6640625" bestFit="1" customWidth="1"/>
    <col min="11014" max="11014" width="14.33203125" bestFit="1" customWidth="1"/>
    <col min="11020" max="11020" width="12.6640625" bestFit="1" customWidth="1"/>
    <col min="11021" max="11021" width="10.33203125" bestFit="1" customWidth="1"/>
    <col min="11022" max="11022" width="13.6640625" bestFit="1" customWidth="1"/>
    <col min="11023" max="11023" width="10.33203125" bestFit="1" customWidth="1"/>
    <col min="11024" max="11024" width="11" customWidth="1"/>
    <col min="11026" max="11026" width="20.44140625" bestFit="1" customWidth="1"/>
    <col min="11251" max="11251" width="14.44140625" customWidth="1"/>
    <col min="11252" max="11252" width="12.6640625" customWidth="1"/>
    <col min="11253" max="11253" width="11.6640625" customWidth="1"/>
    <col min="11254" max="11254" width="10.33203125" customWidth="1"/>
    <col min="11255" max="11255" width="12.6640625" customWidth="1"/>
    <col min="11256" max="11266" width="17.6640625" customWidth="1"/>
    <col min="11267" max="11267" width="13" bestFit="1" customWidth="1"/>
    <col min="11268" max="11268" width="12.6640625" bestFit="1" customWidth="1"/>
    <col min="11270" max="11270" width="14.33203125" bestFit="1" customWidth="1"/>
    <col min="11276" max="11276" width="12.6640625" bestFit="1" customWidth="1"/>
    <col min="11277" max="11277" width="10.33203125" bestFit="1" customWidth="1"/>
    <col min="11278" max="11278" width="13.6640625" bestFit="1" customWidth="1"/>
    <col min="11279" max="11279" width="10.33203125" bestFit="1" customWidth="1"/>
    <col min="11280" max="11280" width="11" customWidth="1"/>
    <col min="11282" max="11282" width="20.44140625" bestFit="1" customWidth="1"/>
    <col min="11507" max="11507" width="14.44140625" customWidth="1"/>
    <col min="11508" max="11508" width="12.6640625" customWidth="1"/>
    <col min="11509" max="11509" width="11.6640625" customWidth="1"/>
    <col min="11510" max="11510" width="10.33203125" customWidth="1"/>
    <col min="11511" max="11511" width="12.6640625" customWidth="1"/>
    <col min="11512" max="11522" width="17.6640625" customWidth="1"/>
    <col min="11523" max="11523" width="13" bestFit="1" customWidth="1"/>
    <col min="11524" max="11524" width="12.6640625" bestFit="1" customWidth="1"/>
    <col min="11526" max="11526" width="14.33203125" bestFit="1" customWidth="1"/>
    <col min="11532" max="11532" width="12.6640625" bestFit="1" customWidth="1"/>
    <col min="11533" max="11533" width="10.33203125" bestFit="1" customWidth="1"/>
    <col min="11534" max="11534" width="13.6640625" bestFit="1" customWidth="1"/>
    <col min="11535" max="11535" width="10.33203125" bestFit="1" customWidth="1"/>
    <col min="11536" max="11536" width="11" customWidth="1"/>
    <col min="11538" max="11538" width="20.44140625" bestFit="1" customWidth="1"/>
    <col min="11763" max="11763" width="14.44140625" customWidth="1"/>
    <col min="11764" max="11764" width="12.6640625" customWidth="1"/>
    <col min="11765" max="11765" width="11.6640625" customWidth="1"/>
    <col min="11766" max="11766" width="10.33203125" customWidth="1"/>
    <col min="11767" max="11767" width="12.6640625" customWidth="1"/>
    <col min="11768" max="11778" width="17.6640625" customWidth="1"/>
    <col min="11779" max="11779" width="13" bestFit="1" customWidth="1"/>
    <col min="11780" max="11780" width="12.6640625" bestFit="1" customWidth="1"/>
    <col min="11782" max="11782" width="14.33203125" bestFit="1" customWidth="1"/>
    <col min="11788" max="11788" width="12.6640625" bestFit="1" customWidth="1"/>
    <col min="11789" max="11789" width="10.33203125" bestFit="1" customWidth="1"/>
    <col min="11790" max="11790" width="13.6640625" bestFit="1" customWidth="1"/>
    <col min="11791" max="11791" width="10.33203125" bestFit="1" customWidth="1"/>
    <col min="11792" max="11792" width="11" customWidth="1"/>
    <col min="11794" max="11794" width="20.44140625" bestFit="1" customWidth="1"/>
    <col min="12019" max="12019" width="14.44140625" customWidth="1"/>
    <col min="12020" max="12020" width="12.6640625" customWidth="1"/>
    <col min="12021" max="12021" width="11.6640625" customWidth="1"/>
    <col min="12022" max="12022" width="10.33203125" customWidth="1"/>
    <col min="12023" max="12023" width="12.6640625" customWidth="1"/>
    <col min="12024" max="12034" width="17.6640625" customWidth="1"/>
    <col min="12035" max="12035" width="13" bestFit="1" customWidth="1"/>
    <col min="12036" max="12036" width="12.6640625" bestFit="1" customWidth="1"/>
    <col min="12038" max="12038" width="14.33203125" bestFit="1" customWidth="1"/>
    <col min="12044" max="12044" width="12.6640625" bestFit="1" customWidth="1"/>
    <col min="12045" max="12045" width="10.33203125" bestFit="1" customWidth="1"/>
    <col min="12046" max="12046" width="13.6640625" bestFit="1" customWidth="1"/>
    <col min="12047" max="12047" width="10.33203125" bestFit="1" customWidth="1"/>
    <col min="12048" max="12048" width="11" customWidth="1"/>
    <col min="12050" max="12050" width="20.44140625" bestFit="1" customWidth="1"/>
    <col min="12275" max="12275" width="14.44140625" customWidth="1"/>
    <col min="12276" max="12276" width="12.6640625" customWidth="1"/>
    <col min="12277" max="12277" width="11.6640625" customWidth="1"/>
    <col min="12278" max="12278" width="10.33203125" customWidth="1"/>
    <col min="12279" max="12279" width="12.6640625" customWidth="1"/>
    <col min="12280" max="12290" width="17.6640625" customWidth="1"/>
    <col min="12291" max="12291" width="13" bestFit="1" customWidth="1"/>
    <col min="12292" max="12292" width="12.6640625" bestFit="1" customWidth="1"/>
    <col min="12294" max="12294" width="14.33203125" bestFit="1" customWidth="1"/>
    <col min="12300" max="12300" width="12.6640625" bestFit="1" customWidth="1"/>
    <col min="12301" max="12301" width="10.33203125" bestFit="1" customWidth="1"/>
    <col min="12302" max="12302" width="13.6640625" bestFit="1" customWidth="1"/>
    <col min="12303" max="12303" width="10.33203125" bestFit="1" customWidth="1"/>
    <col min="12304" max="12304" width="11" customWidth="1"/>
    <col min="12306" max="12306" width="20.44140625" bestFit="1" customWidth="1"/>
    <col min="12531" max="12531" width="14.44140625" customWidth="1"/>
    <col min="12532" max="12532" width="12.6640625" customWidth="1"/>
    <col min="12533" max="12533" width="11.6640625" customWidth="1"/>
    <col min="12534" max="12534" width="10.33203125" customWidth="1"/>
    <col min="12535" max="12535" width="12.6640625" customWidth="1"/>
    <col min="12536" max="12546" width="17.6640625" customWidth="1"/>
    <col min="12547" max="12547" width="13" bestFit="1" customWidth="1"/>
    <col min="12548" max="12548" width="12.6640625" bestFit="1" customWidth="1"/>
    <col min="12550" max="12550" width="14.33203125" bestFit="1" customWidth="1"/>
    <col min="12556" max="12556" width="12.6640625" bestFit="1" customWidth="1"/>
    <col min="12557" max="12557" width="10.33203125" bestFit="1" customWidth="1"/>
    <col min="12558" max="12558" width="13.6640625" bestFit="1" customWidth="1"/>
    <col min="12559" max="12559" width="10.33203125" bestFit="1" customWidth="1"/>
    <col min="12560" max="12560" width="11" customWidth="1"/>
    <col min="12562" max="12562" width="20.44140625" bestFit="1" customWidth="1"/>
    <col min="12787" max="12787" width="14.44140625" customWidth="1"/>
    <col min="12788" max="12788" width="12.6640625" customWidth="1"/>
    <col min="12789" max="12789" width="11.6640625" customWidth="1"/>
    <col min="12790" max="12790" width="10.33203125" customWidth="1"/>
    <col min="12791" max="12791" width="12.6640625" customWidth="1"/>
    <col min="12792" max="12802" width="17.6640625" customWidth="1"/>
    <col min="12803" max="12803" width="13" bestFit="1" customWidth="1"/>
    <col min="12804" max="12804" width="12.6640625" bestFit="1" customWidth="1"/>
    <col min="12806" max="12806" width="14.33203125" bestFit="1" customWidth="1"/>
    <col min="12812" max="12812" width="12.6640625" bestFit="1" customWidth="1"/>
    <col min="12813" max="12813" width="10.33203125" bestFit="1" customWidth="1"/>
    <col min="12814" max="12814" width="13.6640625" bestFit="1" customWidth="1"/>
    <col min="12815" max="12815" width="10.33203125" bestFit="1" customWidth="1"/>
    <col min="12816" max="12816" width="11" customWidth="1"/>
    <col min="12818" max="12818" width="20.44140625" bestFit="1" customWidth="1"/>
    <col min="13043" max="13043" width="14.44140625" customWidth="1"/>
    <col min="13044" max="13044" width="12.6640625" customWidth="1"/>
    <col min="13045" max="13045" width="11.6640625" customWidth="1"/>
    <col min="13046" max="13046" width="10.33203125" customWidth="1"/>
    <col min="13047" max="13047" width="12.6640625" customWidth="1"/>
    <col min="13048" max="13058" width="17.6640625" customWidth="1"/>
    <col min="13059" max="13059" width="13" bestFit="1" customWidth="1"/>
    <col min="13060" max="13060" width="12.6640625" bestFit="1" customWidth="1"/>
    <col min="13062" max="13062" width="14.33203125" bestFit="1" customWidth="1"/>
    <col min="13068" max="13068" width="12.6640625" bestFit="1" customWidth="1"/>
    <col min="13069" max="13069" width="10.33203125" bestFit="1" customWidth="1"/>
    <col min="13070" max="13070" width="13.6640625" bestFit="1" customWidth="1"/>
    <col min="13071" max="13071" width="10.33203125" bestFit="1" customWidth="1"/>
    <col min="13072" max="13072" width="11" customWidth="1"/>
    <col min="13074" max="13074" width="20.44140625" bestFit="1" customWidth="1"/>
    <col min="13299" max="13299" width="14.44140625" customWidth="1"/>
    <col min="13300" max="13300" width="12.6640625" customWidth="1"/>
    <col min="13301" max="13301" width="11.6640625" customWidth="1"/>
    <col min="13302" max="13302" width="10.33203125" customWidth="1"/>
    <col min="13303" max="13303" width="12.6640625" customWidth="1"/>
    <col min="13304" max="13314" width="17.6640625" customWidth="1"/>
    <col min="13315" max="13315" width="13" bestFit="1" customWidth="1"/>
    <col min="13316" max="13316" width="12.6640625" bestFit="1" customWidth="1"/>
    <col min="13318" max="13318" width="14.33203125" bestFit="1" customWidth="1"/>
    <col min="13324" max="13324" width="12.6640625" bestFit="1" customWidth="1"/>
    <col min="13325" max="13325" width="10.33203125" bestFit="1" customWidth="1"/>
    <col min="13326" max="13326" width="13.6640625" bestFit="1" customWidth="1"/>
    <col min="13327" max="13327" width="10.33203125" bestFit="1" customWidth="1"/>
    <col min="13328" max="13328" width="11" customWidth="1"/>
    <col min="13330" max="13330" width="20.44140625" bestFit="1" customWidth="1"/>
    <col min="13555" max="13555" width="14.44140625" customWidth="1"/>
    <col min="13556" max="13556" width="12.6640625" customWidth="1"/>
    <col min="13557" max="13557" width="11.6640625" customWidth="1"/>
    <col min="13558" max="13558" width="10.33203125" customWidth="1"/>
    <col min="13559" max="13559" width="12.6640625" customWidth="1"/>
    <col min="13560" max="13570" width="17.6640625" customWidth="1"/>
    <col min="13571" max="13571" width="13" bestFit="1" customWidth="1"/>
    <col min="13572" max="13572" width="12.6640625" bestFit="1" customWidth="1"/>
    <col min="13574" max="13574" width="14.33203125" bestFit="1" customWidth="1"/>
    <col min="13580" max="13580" width="12.6640625" bestFit="1" customWidth="1"/>
    <col min="13581" max="13581" width="10.33203125" bestFit="1" customWidth="1"/>
    <col min="13582" max="13582" width="13.6640625" bestFit="1" customWidth="1"/>
    <col min="13583" max="13583" width="10.33203125" bestFit="1" customWidth="1"/>
    <col min="13584" max="13584" width="11" customWidth="1"/>
    <col min="13586" max="13586" width="20.44140625" bestFit="1" customWidth="1"/>
    <col min="13811" max="13811" width="14.44140625" customWidth="1"/>
    <col min="13812" max="13812" width="12.6640625" customWidth="1"/>
    <col min="13813" max="13813" width="11.6640625" customWidth="1"/>
    <col min="13814" max="13814" width="10.33203125" customWidth="1"/>
    <col min="13815" max="13815" width="12.6640625" customWidth="1"/>
    <col min="13816" max="13826" width="17.6640625" customWidth="1"/>
    <col min="13827" max="13827" width="13" bestFit="1" customWidth="1"/>
    <col min="13828" max="13828" width="12.6640625" bestFit="1" customWidth="1"/>
    <col min="13830" max="13830" width="14.33203125" bestFit="1" customWidth="1"/>
    <col min="13836" max="13836" width="12.6640625" bestFit="1" customWidth="1"/>
    <col min="13837" max="13837" width="10.33203125" bestFit="1" customWidth="1"/>
    <col min="13838" max="13838" width="13.6640625" bestFit="1" customWidth="1"/>
    <col min="13839" max="13839" width="10.33203125" bestFit="1" customWidth="1"/>
    <col min="13840" max="13840" width="11" customWidth="1"/>
    <col min="13842" max="13842" width="20.44140625" bestFit="1" customWidth="1"/>
    <col min="14067" max="14067" width="14.44140625" customWidth="1"/>
    <col min="14068" max="14068" width="12.6640625" customWidth="1"/>
    <col min="14069" max="14069" width="11.6640625" customWidth="1"/>
    <col min="14070" max="14070" width="10.33203125" customWidth="1"/>
    <col min="14071" max="14071" width="12.6640625" customWidth="1"/>
    <col min="14072" max="14082" width="17.6640625" customWidth="1"/>
    <col min="14083" max="14083" width="13" bestFit="1" customWidth="1"/>
    <col min="14084" max="14084" width="12.6640625" bestFit="1" customWidth="1"/>
    <col min="14086" max="14086" width="14.33203125" bestFit="1" customWidth="1"/>
    <col min="14092" max="14092" width="12.6640625" bestFit="1" customWidth="1"/>
    <col min="14093" max="14093" width="10.33203125" bestFit="1" customWidth="1"/>
    <col min="14094" max="14094" width="13.6640625" bestFit="1" customWidth="1"/>
    <col min="14095" max="14095" width="10.33203125" bestFit="1" customWidth="1"/>
    <col min="14096" max="14096" width="11" customWidth="1"/>
    <col min="14098" max="14098" width="20.44140625" bestFit="1" customWidth="1"/>
    <col min="14323" max="14323" width="14.44140625" customWidth="1"/>
    <col min="14324" max="14324" width="12.6640625" customWidth="1"/>
    <col min="14325" max="14325" width="11.6640625" customWidth="1"/>
    <col min="14326" max="14326" width="10.33203125" customWidth="1"/>
    <col min="14327" max="14327" width="12.6640625" customWidth="1"/>
    <col min="14328" max="14338" width="17.6640625" customWidth="1"/>
    <col min="14339" max="14339" width="13" bestFit="1" customWidth="1"/>
    <col min="14340" max="14340" width="12.6640625" bestFit="1" customWidth="1"/>
    <col min="14342" max="14342" width="14.33203125" bestFit="1" customWidth="1"/>
    <col min="14348" max="14348" width="12.6640625" bestFit="1" customWidth="1"/>
    <col min="14349" max="14349" width="10.33203125" bestFit="1" customWidth="1"/>
    <col min="14350" max="14350" width="13.6640625" bestFit="1" customWidth="1"/>
    <col min="14351" max="14351" width="10.33203125" bestFit="1" customWidth="1"/>
    <col min="14352" max="14352" width="11" customWidth="1"/>
    <col min="14354" max="14354" width="20.44140625" bestFit="1" customWidth="1"/>
    <col min="14579" max="14579" width="14.44140625" customWidth="1"/>
    <col min="14580" max="14580" width="12.6640625" customWidth="1"/>
    <col min="14581" max="14581" width="11.6640625" customWidth="1"/>
    <col min="14582" max="14582" width="10.33203125" customWidth="1"/>
    <col min="14583" max="14583" width="12.6640625" customWidth="1"/>
    <col min="14584" max="14594" width="17.6640625" customWidth="1"/>
    <col min="14595" max="14595" width="13" bestFit="1" customWidth="1"/>
    <col min="14596" max="14596" width="12.6640625" bestFit="1" customWidth="1"/>
    <col min="14598" max="14598" width="14.33203125" bestFit="1" customWidth="1"/>
    <col min="14604" max="14604" width="12.6640625" bestFit="1" customWidth="1"/>
    <col min="14605" max="14605" width="10.33203125" bestFit="1" customWidth="1"/>
    <col min="14606" max="14606" width="13.6640625" bestFit="1" customWidth="1"/>
    <col min="14607" max="14607" width="10.33203125" bestFit="1" customWidth="1"/>
    <col min="14608" max="14608" width="11" customWidth="1"/>
    <col min="14610" max="14610" width="20.44140625" bestFit="1" customWidth="1"/>
    <col min="14835" max="14835" width="14.44140625" customWidth="1"/>
    <col min="14836" max="14836" width="12.6640625" customWidth="1"/>
    <col min="14837" max="14837" width="11.6640625" customWidth="1"/>
    <col min="14838" max="14838" width="10.33203125" customWidth="1"/>
    <col min="14839" max="14839" width="12.6640625" customWidth="1"/>
    <col min="14840" max="14850" width="17.6640625" customWidth="1"/>
    <col min="14851" max="14851" width="13" bestFit="1" customWidth="1"/>
    <col min="14852" max="14852" width="12.6640625" bestFit="1" customWidth="1"/>
    <col min="14854" max="14854" width="14.33203125" bestFit="1" customWidth="1"/>
    <col min="14860" max="14860" width="12.6640625" bestFit="1" customWidth="1"/>
    <col min="14861" max="14861" width="10.33203125" bestFit="1" customWidth="1"/>
    <col min="14862" max="14862" width="13.6640625" bestFit="1" customWidth="1"/>
    <col min="14863" max="14863" width="10.33203125" bestFit="1" customWidth="1"/>
    <col min="14864" max="14864" width="11" customWidth="1"/>
    <col min="14866" max="14866" width="20.44140625" bestFit="1" customWidth="1"/>
    <col min="15091" max="15091" width="14.44140625" customWidth="1"/>
    <col min="15092" max="15092" width="12.6640625" customWidth="1"/>
    <col min="15093" max="15093" width="11.6640625" customWidth="1"/>
    <col min="15094" max="15094" width="10.33203125" customWidth="1"/>
    <col min="15095" max="15095" width="12.6640625" customWidth="1"/>
    <col min="15096" max="15106" width="17.6640625" customWidth="1"/>
    <col min="15107" max="15107" width="13" bestFit="1" customWidth="1"/>
    <col min="15108" max="15108" width="12.6640625" bestFit="1" customWidth="1"/>
    <col min="15110" max="15110" width="14.33203125" bestFit="1" customWidth="1"/>
    <col min="15116" max="15116" width="12.6640625" bestFit="1" customWidth="1"/>
    <col min="15117" max="15117" width="10.33203125" bestFit="1" customWidth="1"/>
    <col min="15118" max="15118" width="13.6640625" bestFit="1" customWidth="1"/>
    <col min="15119" max="15119" width="10.33203125" bestFit="1" customWidth="1"/>
    <col min="15120" max="15120" width="11" customWidth="1"/>
    <col min="15122" max="15122" width="20.44140625" bestFit="1" customWidth="1"/>
    <col min="15347" max="15347" width="14.44140625" customWidth="1"/>
    <col min="15348" max="15348" width="12.6640625" customWidth="1"/>
    <col min="15349" max="15349" width="11.6640625" customWidth="1"/>
    <col min="15350" max="15350" width="10.33203125" customWidth="1"/>
    <col min="15351" max="15351" width="12.6640625" customWidth="1"/>
    <col min="15352" max="15362" width="17.6640625" customWidth="1"/>
    <col min="15363" max="15363" width="13" bestFit="1" customWidth="1"/>
    <col min="15364" max="15364" width="12.6640625" bestFit="1" customWidth="1"/>
    <col min="15366" max="15366" width="14.33203125" bestFit="1" customWidth="1"/>
    <col min="15372" max="15372" width="12.6640625" bestFit="1" customWidth="1"/>
    <col min="15373" max="15373" width="10.33203125" bestFit="1" customWidth="1"/>
    <col min="15374" max="15374" width="13.6640625" bestFit="1" customWidth="1"/>
    <col min="15375" max="15375" width="10.33203125" bestFit="1" customWidth="1"/>
    <col min="15376" max="15376" width="11" customWidth="1"/>
    <col min="15378" max="15378" width="20.44140625" bestFit="1" customWidth="1"/>
    <col min="15603" max="15603" width="14.44140625" customWidth="1"/>
    <col min="15604" max="15604" width="12.6640625" customWidth="1"/>
    <col min="15605" max="15605" width="11.6640625" customWidth="1"/>
    <col min="15606" max="15606" width="10.33203125" customWidth="1"/>
    <col min="15607" max="15607" width="12.6640625" customWidth="1"/>
    <col min="15608" max="15618" width="17.6640625" customWidth="1"/>
    <col min="15619" max="15619" width="13" bestFit="1" customWidth="1"/>
    <col min="15620" max="15620" width="12.6640625" bestFit="1" customWidth="1"/>
    <col min="15622" max="15622" width="14.33203125" bestFit="1" customWidth="1"/>
    <col min="15628" max="15628" width="12.6640625" bestFit="1" customWidth="1"/>
    <col min="15629" max="15629" width="10.33203125" bestFit="1" customWidth="1"/>
    <col min="15630" max="15630" width="13.6640625" bestFit="1" customWidth="1"/>
    <col min="15631" max="15631" width="10.33203125" bestFit="1" customWidth="1"/>
    <col min="15632" max="15632" width="11" customWidth="1"/>
    <col min="15634" max="15634" width="20.44140625" bestFit="1" customWidth="1"/>
    <col min="15859" max="15859" width="14.44140625" customWidth="1"/>
    <col min="15860" max="15860" width="12.6640625" customWidth="1"/>
    <col min="15861" max="15861" width="11.6640625" customWidth="1"/>
    <col min="15862" max="15862" width="10.33203125" customWidth="1"/>
    <col min="15863" max="15863" width="12.6640625" customWidth="1"/>
    <col min="15864" max="15874" width="17.6640625" customWidth="1"/>
    <col min="15875" max="15875" width="13" bestFit="1" customWidth="1"/>
    <col min="15876" max="15876" width="12.6640625" bestFit="1" customWidth="1"/>
    <col min="15878" max="15878" width="14.33203125" bestFit="1" customWidth="1"/>
    <col min="15884" max="15884" width="12.6640625" bestFit="1" customWidth="1"/>
    <col min="15885" max="15885" width="10.33203125" bestFit="1" customWidth="1"/>
    <col min="15886" max="15886" width="13.6640625" bestFit="1" customWidth="1"/>
    <col min="15887" max="15887" width="10.33203125" bestFit="1" customWidth="1"/>
    <col min="15888" max="15888" width="11" customWidth="1"/>
    <col min="15890" max="15890" width="20.44140625" bestFit="1" customWidth="1"/>
    <col min="16115" max="16115" width="14.44140625" customWidth="1"/>
    <col min="16116" max="16116" width="12.6640625" customWidth="1"/>
    <col min="16117" max="16117" width="11.6640625" customWidth="1"/>
    <col min="16118" max="16118" width="10.33203125" customWidth="1"/>
    <col min="16119" max="16119" width="12.6640625" customWidth="1"/>
    <col min="16120" max="16130" width="17.6640625" customWidth="1"/>
    <col min="16131" max="16131" width="13" bestFit="1" customWidth="1"/>
    <col min="16132" max="16132" width="12.6640625" bestFit="1" customWidth="1"/>
    <col min="16134" max="16134" width="14.33203125" bestFit="1" customWidth="1"/>
    <col min="16140" max="16140" width="12.6640625" bestFit="1" customWidth="1"/>
    <col min="16141" max="16141" width="10.33203125" bestFit="1" customWidth="1"/>
    <col min="16142" max="16142" width="13.6640625" bestFit="1" customWidth="1"/>
    <col min="16143" max="16143" width="10.33203125" bestFit="1" customWidth="1"/>
    <col min="16144" max="16144" width="11" customWidth="1"/>
    <col min="16146" max="16146" width="20.44140625" bestFit="1" customWidth="1"/>
  </cols>
  <sheetData>
    <row r="1" spans="1:27" x14ac:dyDescent="0.25">
      <c r="B1" s="220"/>
    </row>
    <row r="2" spans="1:27" ht="28.5" customHeight="1" x14ac:dyDescent="0.25">
      <c r="A2" s="89" t="s">
        <v>99</v>
      </c>
      <c r="B2" s="221" t="s">
        <v>100</v>
      </c>
      <c r="E2" s="98" t="s">
        <v>97</v>
      </c>
      <c r="F2" s="221" t="s">
        <v>23</v>
      </c>
      <c r="H2" s="78" t="s">
        <v>84</v>
      </c>
      <c r="I2" s="78">
        <v>1</v>
      </c>
      <c r="J2" s="86"/>
      <c r="K2" s="129"/>
      <c r="L2" s="129">
        <v>2006</v>
      </c>
      <c r="M2" s="129">
        <v>2007</v>
      </c>
      <c r="N2" s="129">
        <v>2008</v>
      </c>
      <c r="O2" s="129">
        <v>2009</v>
      </c>
      <c r="P2" s="129">
        <v>2010</v>
      </c>
      <c r="Q2" s="129">
        <v>2011</v>
      </c>
      <c r="R2" s="129">
        <v>2012</v>
      </c>
      <c r="S2" s="129">
        <v>2013</v>
      </c>
      <c r="T2" s="129">
        <v>2014</v>
      </c>
      <c r="U2" s="129">
        <v>2015</v>
      </c>
      <c r="V2" s="129">
        <v>2016</v>
      </c>
      <c r="W2" s="129">
        <v>2017</v>
      </c>
      <c r="X2" s="129">
        <v>2018</v>
      </c>
      <c r="Y2" s="129">
        <v>2019</v>
      </c>
      <c r="Z2" s="129">
        <v>2020</v>
      </c>
      <c r="AA2" s="129">
        <v>2021</v>
      </c>
    </row>
    <row r="3" spans="1:27" x14ac:dyDescent="0.25">
      <c r="A3" s="1">
        <v>2006</v>
      </c>
      <c r="B3" s="83">
        <f>L19</f>
        <v>941451.87425783102</v>
      </c>
      <c r="D3" s="79">
        <f>B3-C3</f>
        <v>941451.87425783102</v>
      </c>
      <c r="E3" s="84">
        <f>D3/$I$14</f>
        <v>12069.895823818346</v>
      </c>
      <c r="F3" s="79">
        <f>B3-C37</f>
        <v>0</v>
      </c>
      <c r="H3" s="78" t="s">
        <v>86</v>
      </c>
      <c r="I3" s="78">
        <v>2</v>
      </c>
      <c r="J3" s="86"/>
      <c r="K3" s="214" t="s">
        <v>181</v>
      </c>
      <c r="L3" s="215">
        <f>'[7]Summary - LDC'!E19*1000</f>
        <v>1882903.748515662</v>
      </c>
      <c r="M3" s="215">
        <f>'[7]Summary - LDC'!F19*1000</f>
        <v>1882903.748515662</v>
      </c>
      <c r="N3" s="215">
        <f>'[7]Summary - LDC'!G19*1000</f>
        <v>1882903.748515662</v>
      </c>
      <c r="O3" s="215">
        <f>'[7]Summary - LDC'!H19*1000</f>
        <v>1882903.748515662</v>
      </c>
      <c r="P3" s="215">
        <f>'[7]Summary - LDC'!I19*1000</f>
        <v>327018.6888258243</v>
      </c>
      <c r="Q3" s="215">
        <f>'[7]Summary - LDC'!J19*1000</f>
        <v>327018.6888258243</v>
      </c>
      <c r="R3" s="215">
        <f>'[7]Summary - LDC'!K19*1000</f>
        <v>299133.06752482179</v>
      </c>
      <c r="S3" s="215">
        <f>'[7]Summary - LDC'!L19*1000</f>
        <v>299133.06752482179</v>
      </c>
      <c r="T3" s="215">
        <f>'[7]Summary - LDC'!M19*1000</f>
        <v>281081.60558644397</v>
      </c>
      <c r="U3" s="215">
        <f>'[7]Summary - LDC'!N19*1000</f>
        <v>281081.60558644397</v>
      </c>
      <c r="V3" s="215">
        <f>'[7]Summary - LDC'!O19*1000</f>
        <v>265560.11684155575</v>
      </c>
      <c r="W3" s="215">
        <f>'[7]Summary - LDC'!P19*1000</f>
        <v>265560.11684155575</v>
      </c>
      <c r="X3" s="215">
        <f>'[7]Summary - LDC'!Q19*1000</f>
        <v>265560.11684155575</v>
      </c>
      <c r="Y3" s="215">
        <f>'[7]Summary - LDC'!R19*1000</f>
        <v>265560.11684155575</v>
      </c>
      <c r="Z3" s="215">
        <f>'[7]Summary - LDC'!S19*1000</f>
        <v>240381.76628587244</v>
      </c>
      <c r="AA3" s="215">
        <f>'[7]Summary - LDC'!T19*1000</f>
        <v>208943.49633422971</v>
      </c>
    </row>
    <row r="4" spans="1:27" x14ac:dyDescent="0.25">
      <c r="A4" s="1">
        <v>2007</v>
      </c>
      <c r="B4" s="83">
        <f>M19</f>
        <v>2695843.5077720704</v>
      </c>
      <c r="C4" s="83">
        <f>D37</f>
        <v>1738064.9986298415</v>
      </c>
      <c r="D4" s="79">
        <f>B4-C4</f>
        <v>957778.50914222887</v>
      </c>
      <c r="E4" s="134">
        <f>D4/$I$14</f>
        <v>12279.2116556696</v>
      </c>
      <c r="F4" s="79">
        <f>B4-C49</f>
        <v>0</v>
      </c>
      <c r="H4" s="78" t="s">
        <v>87</v>
      </c>
      <c r="I4" s="78">
        <v>3</v>
      </c>
      <c r="J4" s="86"/>
      <c r="K4" s="214" t="s">
        <v>182</v>
      </c>
      <c r="L4" s="215">
        <f>'[7]Summary - LDC'!E20*1000</f>
        <v>0</v>
      </c>
      <c r="M4" s="215">
        <f>'[7]Summary - LDC'!F20*1000</f>
        <v>1625879.5185128166</v>
      </c>
      <c r="N4" s="215">
        <f>'[7]Summary - LDC'!G20*1000</f>
        <v>1014705.0110792733</v>
      </c>
      <c r="O4" s="215">
        <f>'[7]Summary - LDC'!H20*1000</f>
        <v>938725.88141473976</v>
      </c>
      <c r="P4" s="215">
        <f>'[7]Summary - LDC'!I20*1000</f>
        <v>938725.88141473976</v>
      </c>
      <c r="Q4" s="215">
        <f>'[7]Summary - LDC'!J20*1000</f>
        <v>938622.3672096146</v>
      </c>
      <c r="R4" s="215">
        <f>'[7]Summary - LDC'!K20*1000</f>
        <v>910908.08884368499</v>
      </c>
      <c r="S4" s="215">
        <f>'[7]Summary - LDC'!L20*1000</f>
        <v>910908.08884368499</v>
      </c>
      <c r="T4" s="215">
        <f>'[7]Summary - LDC'!M20*1000</f>
        <v>910908.08884368499</v>
      </c>
      <c r="U4" s="215">
        <f>'[7]Summary - LDC'!N20*1000</f>
        <v>298905.88692254759</v>
      </c>
      <c r="V4" s="215">
        <f>'[7]Summary - LDC'!O20*1000</f>
        <v>250659.86670833296</v>
      </c>
      <c r="W4" s="215">
        <f>'[7]Summary - LDC'!P20*1000</f>
        <v>148699.48343160987</v>
      </c>
      <c r="X4" s="215">
        <f>'[7]Summary - LDC'!Q20*1000</f>
        <v>148699.48343160987</v>
      </c>
      <c r="Y4" s="215">
        <f>'[7]Summary - LDC'!R20*1000</f>
        <v>148699.48343160987</v>
      </c>
      <c r="Z4" s="215">
        <f>'[7]Summary - LDC'!S20*1000</f>
        <v>148699.48343160987</v>
      </c>
      <c r="AA4" s="215">
        <f>'[7]Summary - LDC'!T20*1000</f>
        <v>119309.85749194927</v>
      </c>
    </row>
    <row r="5" spans="1:27" x14ac:dyDescent="0.25">
      <c r="A5" s="1">
        <v>2008</v>
      </c>
      <c r="B5" s="83">
        <f>N19</f>
        <v>3577650.4110011263</v>
      </c>
      <c r="C5" s="79">
        <f>D49</f>
        <v>3506271.4770462653</v>
      </c>
      <c r="D5" s="79">
        <f t="shared" ref="D5:D18" si="0">B5-C5</f>
        <v>71378.933954861015</v>
      </c>
      <c r="E5" s="134">
        <f t="shared" ref="E5:E18" si="1">D5/$I$14</f>
        <v>915.11453788283347</v>
      </c>
      <c r="F5" s="79">
        <f>B5-C61</f>
        <v>0</v>
      </c>
      <c r="H5" s="78" t="s">
        <v>88</v>
      </c>
      <c r="I5" s="78">
        <v>4</v>
      </c>
      <c r="J5" s="86"/>
      <c r="K5" s="214" t="s">
        <v>183</v>
      </c>
      <c r="L5" s="215">
        <f>'[7]Summary - LDC'!E21*1000</f>
        <v>0</v>
      </c>
      <c r="M5" s="215">
        <f>'[7]Summary - LDC'!F21*1000</f>
        <v>0</v>
      </c>
      <c r="N5" s="215">
        <f>'[7]Summary - LDC'!G21*1000</f>
        <v>1360083.3028123809</v>
      </c>
      <c r="O5" s="215">
        <f>'[7]Summary - LDC'!H21*1000</f>
        <v>1219792.5664882346</v>
      </c>
      <c r="P5" s="215">
        <f>'[7]Summary - LDC'!I21*1000</f>
        <v>1219792.5664882346</v>
      </c>
      <c r="Q5" s="215">
        <f>'[7]Summary - LDC'!J21*1000</f>
        <v>1219792.5664882346</v>
      </c>
      <c r="R5" s="215">
        <f>'[7]Summary - LDC'!K21*1000</f>
        <v>1122462.9622652079</v>
      </c>
      <c r="S5" s="215">
        <f>'[7]Summary - LDC'!L21*1000</f>
        <v>1122214.7422652079</v>
      </c>
      <c r="T5" s="215">
        <f>'[7]Summary - LDC'!M21*1000</f>
        <v>1021121.3796065518</v>
      </c>
      <c r="U5" s="215">
        <f>'[7]Summary - LDC'!N21*1000</f>
        <v>945596.07712177094</v>
      </c>
      <c r="V5" s="215">
        <f>'[7]Summary - LDC'!O21*1000</f>
        <v>725566.53389573714</v>
      </c>
      <c r="W5" s="215">
        <f>'[7]Summary - LDC'!P21*1000</f>
        <v>636926.93664473039</v>
      </c>
      <c r="X5" s="215">
        <f>'[7]Summary - LDC'!Q21*1000</f>
        <v>585311.12204176339</v>
      </c>
      <c r="Y5" s="215">
        <f>'[7]Summary - LDC'!R21*1000</f>
        <v>585311.12204176339</v>
      </c>
      <c r="Z5" s="215">
        <f>'[7]Summary - LDC'!S21*1000</f>
        <v>575632.7665811925</v>
      </c>
      <c r="AA5" s="215">
        <f>'[7]Summary - LDC'!T21*1000</f>
        <v>568259.78811867326</v>
      </c>
    </row>
    <row r="6" spans="1:27" x14ac:dyDescent="0.25">
      <c r="A6" s="210">
        <v>2009</v>
      </c>
      <c r="B6" s="83">
        <f>O19</f>
        <v>5546744.8248539045</v>
      </c>
      <c r="C6" s="79">
        <f>D61</f>
        <v>3638047.9705013959</v>
      </c>
      <c r="D6" s="79">
        <f t="shared" si="0"/>
        <v>1908696.8543525087</v>
      </c>
      <c r="E6" s="134">
        <f t="shared" si="1"/>
        <v>24470.472491698831</v>
      </c>
      <c r="F6" s="79">
        <f>B6-C73</f>
        <v>0</v>
      </c>
      <c r="H6" s="78" t="s">
        <v>89</v>
      </c>
      <c r="I6" s="78">
        <v>5</v>
      </c>
      <c r="J6" s="86"/>
      <c r="K6" s="214" t="s">
        <v>184</v>
      </c>
      <c r="L6" s="215">
        <f>'[7]Summary - LDC'!E22*1000</f>
        <v>0</v>
      </c>
      <c r="M6" s="215">
        <f>'[7]Summary - LDC'!F22*1000</f>
        <v>0</v>
      </c>
      <c r="N6" s="215">
        <f>'[7]Summary - LDC'!G22*1000</f>
        <v>0</v>
      </c>
      <c r="O6" s="215">
        <f>'[7]Summary - LDC'!H22*1000</f>
        <v>3010645.2568705371</v>
      </c>
      <c r="P6" s="215">
        <f>'[7]Summary - LDC'!I22*1000</f>
        <v>2710236.6739396211</v>
      </c>
      <c r="Q6" s="215">
        <f>'[7]Summary - LDC'!J22*1000</f>
        <v>2710236.6739396211</v>
      </c>
      <c r="R6" s="215">
        <f>'[7]Summary - LDC'!K22*1000</f>
        <v>2709453.2025897014</v>
      </c>
      <c r="S6" s="215">
        <f>'[7]Summary - LDC'!L22*1000</f>
        <v>2673292.9585959511</v>
      </c>
      <c r="T6" s="215">
        <f>'[7]Summary - LDC'!M22*1000</f>
        <v>2564161.459145138</v>
      </c>
      <c r="U6" s="215">
        <f>'[7]Summary - LDC'!N22*1000</f>
        <v>2512708.832202089</v>
      </c>
      <c r="V6" s="215">
        <f>'[7]Summary - LDC'!O22*1000</f>
        <v>2511586.1728073107</v>
      </c>
      <c r="W6" s="215">
        <f>'[7]Summary - LDC'!P22*1000</f>
        <v>1807917.6189276779</v>
      </c>
      <c r="X6" s="215">
        <f>'[7]Summary - LDC'!Q22*1000</f>
        <v>993429.93223456107</v>
      </c>
      <c r="Y6" s="215">
        <f>'[7]Summary - LDC'!R22*1000</f>
        <v>825917.33859163325</v>
      </c>
      <c r="Z6" s="215">
        <f>'[7]Summary - LDC'!S22*1000</f>
        <v>276796.99116670527</v>
      </c>
      <c r="AA6" s="215">
        <f>'[7]Summary - LDC'!T22*1000</f>
        <v>249119.61917871935</v>
      </c>
    </row>
    <row r="7" spans="1:27" x14ac:dyDescent="0.25">
      <c r="A7" s="210">
        <v>2010</v>
      </c>
      <c r="B7" s="83">
        <f>P19</f>
        <v>6299391.2320321165</v>
      </c>
      <c r="C7" s="79">
        <f>D73</f>
        <v>7161796.0093060238</v>
      </c>
      <c r="D7" s="79">
        <f t="shared" si="0"/>
        <v>-862404.77727390733</v>
      </c>
      <c r="E7" s="134">
        <f t="shared" si="1"/>
        <v>-11056.471503511633</v>
      </c>
      <c r="F7" s="79">
        <f>B7-C85</f>
        <v>0</v>
      </c>
      <c r="H7" s="78" t="s">
        <v>90</v>
      </c>
      <c r="I7" s="78">
        <v>6</v>
      </c>
      <c r="J7" s="86"/>
      <c r="K7" s="214" t="s">
        <v>185</v>
      </c>
      <c r="L7" s="215">
        <f>'[7]Summary - LDC'!E23*1000</f>
        <v>0</v>
      </c>
      <c r="M7" s="215">
        <f>'[7]Summary - LDC'!F23*1000</f>
        <v>0</v>
      </c>
      <c r="N7" s="215">
        <f>'[7]Summary - LDC'!G23*1000</f>
        <v>0</v>
      </c>
      <c r="O7" s="215">
        <f>'[7]Summary - LDC'!H23*1000</f>
        <v>0</v>
      </c>
      <c r="P7" s="215">
        <f>'[7]Summary - LDC'!I23*1000</f>
        <v>2207234.8427273929</v>
      </c>
      <c r="Q7" s="215">
        <f>'[7]Summary - LDC'!J23*1000</f>
        <v>1661958.8143462229</v>
      </c>
      <c r="R7" s="215">
        <f>'[7]Summary - LDC'!K23*1000</f>
        <v>1659006.0083975787</v>
      </c>
      <c r="S7" s="215">
        <f>'[7]Summary - LDC'!L23*1000</f>
        <v>1658597.216175528</v>
      </c>
      <c r="T7" s="215">
        <f>'[7]Summary - LDC'!M23*1000</f>
        <v>1613644.987296483</v>
      </c>
      <c r="U7" s="215">
        <f>'[7]Summary - LDC'!N23*1000</f>
        <v>1439006.8065256714</v>
      </c>
      <c r="V7" s="215">
        <f>'[7]Summary - LDC'!O23*1000</f>
        <v>1428073.6370743176</v>
      </c>
      <c r="W7" s="215">
        <f>'[7]Summary - LDC'!P23*1000</f>
        <v>1232153.6524472616</v>
      </c>
      <c r="X7" s="215">
        <f>'[7]Summary - LDC'!Q23*1000</f>
        <v>821459.03628330282</v>
      </c>
      <c r="Y7" s="215">
        <f>'[7]Summary - LDC'!R23*1000</f>
        <v>378783.41439293674</v>
      </c>
      <c r="Z7" s="215">
        <f>'[7]Summary - LDC'!S23*1000</f>
        <v>285672.70240434655</v>
      </c>
      <c r="AA7" s="215">
        <f>'[7]Summary - LDC'!T23*1000</f>
        <v>285672.70240434655</v>
      </c>
    </row>
    <row r="8" spans="1:27" x14ac:dyDescent="0.25">
      <c r="A8" s="210">
        <v>2011</v>
      </c>
      <c r="B8" s="83">
        <f>Q19</f>
        <v>7994317.1142543238</v>
      </c>
      <c r="C8" s="79">
        <f>D85</f>
        <v>5569664.1128003458</v>
      </c>
      <c r="D8" s="79">
        <f t="shared" si="0"/>
        <v>2424653.001453978</v>
      </c>
      <c r="E8" s="134">
        <f t="shared" si="1"/>
        <v>31085.294890435616</v>
      </c>
      <c r="F8" s="79">
        <f>B8-C97</f>
        <v>0</v>
      </c>
      <c r="H8" s="78" t="s">
        <v>91</v>
      </c>
      <c r="I8" s="78">
        <v>7</v>
      </c>
      <c r="J8" s="86"/>
      <c r="K8" s="214" t="s">
        <v>186</v>
      </c>
      <c r="L8" s="129"/>
      <c r="M8" s="129"/>
      <c r="N8" s="129"/>
      <c r="O8" s="129"/>
      <c r="P8" s="215"/>
      <c r="Q8" s="215">
        <f>'[8]7.  Persistence Report'!AQ180</f>
        <v>2273376.0068896143</v>
      </c>
      <c r="R8" s="215">
        <f>'[8]7.  Persistence Report'!AR180</f>
        <v>2245334.6748896143</v>
      </c>
      <c r="S8" s="215">
        <f>'[8]7.  Persistence Report'!AS180</f>
        <v>2244076.5741759711</v>
      </c>
      <c r="T8" s="215">
        <f>'[8]7.  Persistence Report'!AT180</f>
        <v>2214503.5694760797</v>
      </c>
      <c r="U8" s="215">
        <f>'[8]7.  Persistence Report'!AU180</f>
        <v>1726498.6718951557</v>
      </c>
      <c r="V8" s="215">
        <f>'[8]7.  Persistence Report'!AV180</f>
        <v>1634210.2959977281</v>
      </c>
      <c r="W8" s="215">
        <f>'[8]7.  Persistence Report'!AW180</f>
        <v>1522927.8789099741</v>
      </c>
      <c r="X8" s="215">
        <f>'[8]7.  Persistence Report'!AX180</f>
        <v>1522133.1277808524</v>
      </c>
      <c r="Y8" s="215">
        <f>'[8]7.  Persistence Report'!AY180</f>
        <v>1562051.4963071598</v>
      </c>
      <c r="Z8" s="215">
        <f>'[8]7.  Persistence Report'!AZ180</f>
        <v>1418050.3604854178</v>
      </c>
      <c r="AA8" s="215">
        <f>'[8]7.  Persistence Report'!BA180</f>
        <v>1364939.6069591586</v>
      </c>
    </row>
    <row r="9" spans="1:27" x14ac:dyDescent="0.25">
      <c r="A9" s="210">
        <v>2012</v>
      </c>
      <c r="B9" s="83">
        <f>R19</f>
        <v>10070680.994876524</v>
      </c>
      <c r="C9" s="79">
        <f>D97</f>
        <v>10045946.577023078</v>
      </c>
      <c r="D9" s="79">
        <f t="shared" si="0"/>
        <v>24734.417853446677</v>
      </c>
      <c r="E9" s="134">
        <f t="shared" si="1"/>
        <v>317.10792119803432</v>
      </c>
      <c r="F9" s="79">
        <f>B9-C109</f>
        <v>0</v>
      </c>
      <c r="H9" s="78" t="s">
        <v>92</v>
      </c>
      <c r="I9" s="78">
        <v>8</v>
      </c>
      <c r="J9" s="86"/>
      <c r="K9" s="214" t="s">
        <v>187</v>
      </c>
      <c r="L9" s="129"/>
      <c r="M9" s="129"/>
      <c r="N9" s="129"/>
      <c r="O9" s="129"/>
      <c r="P9" s="215"/>
      <c r="Q9" s="215"/>
      <c r="R9" s="215">
        <f>'[8]7.  Persistence Report'!AR181</f>
        <v>2248765.9807318272</v>
      </c>
      <c r="S9" s="215">
        <f>'[8]7.  Persistence Report'!AS181</f>
        <v>2233807.0957318274</v>
      </c>
      <c r="T9" s="215">
        <f>'[8]7.  Persistence Report'!AT181</f>
        <v>2232596.7013805439</v>
      </c>
      <c r="U9" s="215">
        <f>'[8]7.  Persistence Report'!AU181</f>
        <v>2218464.6445765197</v>
      </c>
      <c r="V9" s="215">
        <f>'[8]7.  Persistence Report'!AV181</f>
        <v>2180062.719101219</v>
      </c>
      <c r="W9" s="215">
        <f>'[8]7.  Persistence Report'!AW181</f>
        <v>2099270.6196812219</v>
      </c>
      <c r="X9" s="215">
        <f>'[8]7.  Persistence Report'!AX181</f>
        <v>2031329.2265474205</v>
      </c>
      <c r="Y9" s="215">
        <f>'[8]7.  Persistence Report'!AY181</f>
        <v>2031157.6690992014</v>
      </c>
      <c r="Z9" s="215">
        <f>'[8]7.  Persistence Report'!AZ181</f>
        <v>2006300.0277288868</v>
      </c>
      <c r="AA9" s="215">
        <f>'[8]7.  Persistence Report'!BA181</f>
        <v>1567459.0894588036</v>
      </c>
    </row>
    <row r="10" spans="1:27" x14ac:dyDescent="0.25">
      <c r="A10" s="210">
        <v>2013</v>
      </c>
      <c r="B10" s="83">
        <f>S19</f>
        <v>12267080.051723402</v>
      </c>
      <c r="C10" s="79">
        <f>D109</f>
        <v>10091610.117675591</v>
      </c>
      <c r="D10" s="79">
        <f t="shared" si="0"/>
        <v>2175469.9340478107</v>
      </c>
      <c r="E10" s="134">
        <f t="shared" si="1"/>
        <v>27890.640180100138</v>
      </c>
      <c r="F10" s="79">
        <f>B10-C121</f>
        <v>0</v>
      </c>
      <c r="H10" s="78" t="s">
        <v>93</v>
      </c>
      <c r="I10" s="78">
        <v>9</v>
      </c>
      <c r="J10" s="86"/>
      <c r="K10" s="214" t="s">
        <v>188</v>
      </c>
      <c r="L10" s="129"/>
      <c r="M10" s="129"/>
      <c r="N10" s="129"/>
      <c r="O10" s="129"/>
      <c r="P10" s="215"/>
      <c r="Q10" s="215"/>
      <c r="R10" s="215"/>
      <c r="S10" s="215">
        <f>'[8]7.  Persistence Report'!AS182</f>
        <v>2250100.6168208192</v>
      </c>
      <c r="T10" s="215">
        <f>'[8]7.  Persistence Report'!AT182</f>
        <v>2227093.5770649943</v>
      </c>
      <c r="U10" s="215">
        <f>'[8]7.  Persistence Report'!AU182</f>
        <v>2214830.2747772513</v>
      </c>
      <c r="V10" s="215">
        <f>'[8]7.  Persistence Report'!AV182</f>
        <v>2163539.6898347423</v>
      </c>
      <c r="W10" s="215">
        <f>'[8]7.  Persistence Report'!AW182</f>
        <v>1171880.3671497514</v>
      </c>
      <c r="X10" s="215">
        <f>'[8]7.  Persistence Report'!AX182</f>
        <v>1143102.2384902181</v>
      </c>
      <c r="Y10" s="215">
        <f>'[8]7.  Persistence Report'!AY182</f>
        <v>1143102.2384902181</v>
      </c>
      <c r="Z10" s="215">
        <f>'[8]7.  Persistence Report'!AZ182</f>
        <v>1142049.310467046</v>
      </c>
      <c r="AA10" s="215">
        <f>'[8]7.  Persistence Report'!BA182</f>
        <v>1060279.3352298511</v>
      </c>
    </row>
    <row r="11" spans="1:27" x14ac:dyDescent="0.25">
      <c r="A11" s="210">
        <v>2014</v>
      </c>
      <c r="B11" s="83">
        <f>T19</f>
        <v>14627411.559649754</v>
      </c>
      <c r="C11" s="79">
        <f>D121</f>
        <v>14107862.303610012</v>
      </c>
      <c r="D11" s="79">
        <f t="shared" si="0"/>
        <v>519549.25603974238</v>
      </c>
      <c r="E11" s="134">
        <f t="shared" si="1"/>
        <v>6660.8878979454148</v>
      </c>
      <c r="F11" s="79">
        <f>B11-C133</f>
        <v>0</v>
      </c>
      <c r="H11" s="78" t="s">
        <v>94</v>
      </c>
      <c r="I11" s="78">
        <v>10</v>
      </c>
      <c r="J11" s="86"/>
      <c r="K11" s="214" t="s">
        <v>189</v>
      </c>
      <c r="L11" s="129"/>
      <c r="M11" s="129"/>
      <c r="N11" s="129"/>
      <c r="O11" s="129"/>
      <c r="P11" s="215"/>
      <c r="Q11" s="215"/>
      <c r="R11" s="215"/>
      <c r="S11" s="215"/>
      <c r="T11" s="215">
        <f>'[8]7.  Persistence Report'!AT183</f>
        <v>3124600.382499672</v>
      </c>
      <c r="U11" s="215">
        <f>'[8]7.  Persistence Report'!AU183</f>
        <v>3023755.597699672</v>
      </c>
      <c r="V11" s="215">
        <f>'[8]7.  Persistence Report'!AV183</f>
        <v>2954510.769179672</v>
      </c>
      <c r="W11" s="215">
        <f>'[8]7.  Persistence Report'!AW183</f>
        <v>2926124.011683072</v>
      </c>
      <c r="X11" s="215">
        <f>'[8]7.  Persistence Report'!AX183</f>
        <v>2766222.4586278754</v>
      </c>
      <c r="Y11" s="215">
        <f>'[8]7.  Persistence Report'!AY183</f>
        <v>2664605.5941699999</v>
      </c>
      <c r="Z11" s="215">
        <f>'[8]7.  Persistence Report'!AZ183</f>
        <v>2587497.6751699997</v>
      </c>
      <c r="AA11" s="215">
        <f>'[8]7.  Persistence Report'!BA183</f>
        <v>2586995.8685699999</v>
      </c>
    </row>
    <row r="12" spans="1:27" x14ac:dyDescent="0.25">
      <c r="A12" s="210">
        <v>2015</v>
      </c>
      <c r="B12" s="83">
        <f>U19</f>
        <v>17691196.89730712</v>
      </c>
      <c r="C12" s="111">
        <f>D133</f>
        <v>15067030.16091416</v>
      </c>
      <c r="D12" s="79">
        <f t="shared" si="0"/>
        <v>2624166.73639296</v>
      </c>
      <c r="E12" s="134">
        <f t="shared" si="1"/>
        <v>33643.163287089228</v>
      </c>
      <c r="F12" s="79">
        <f>B12-C145</f>
        <v>0</v>
      </c>
      <c r="H12" s="78" t="s">
        <v>95</v>
      </c>
      <c r="I12" s="78">
        <v>11</v>
      </c>
      <c r="J12" s="86"/>
      <c r="K12" s="214" t="s">
        <v>190</v>
      </c>
      <c r="L12" s="129"/>
      <c r="M12" s="129"/>
      <c r="N12" s="129"/>
      <c r="O12" s="129"/>
      <c r="P12" s="215"/>
      <c r="Q12" s="215"/>
      <c r="R12" s="215"/>
      <c r="S12" s="215"/>
      <c r="T12" s="215"/>
      <c r="U12" s="215">
        <f>'[8]7.  Persistence Report'!AU184</f>
        <v>6060697</v>
      </c>
      <c r="V12" s="215">
        <f>'[8]7.  Persistence Report'!AV184</f>
        <v>6047709</v>
      </c>
      <c r="W12" s="215">
        <f>'[8]7.  Persistence Report'!AW184</f>
        <v>6047708</v>
      </c>
      <c r="X12" s="215">
        <f>'[8]7.  Persistence Report'!AX184</f>
        <v>6047804</v>
      </c>
      <c r="Y12" s="215">
        <f>'[8]7.  Persistence Report'!AY184</f>
        <v>6040361</v>
      </c>
      <c r="Z12" s="215">
        <f>'[8]7.  Persistence Report'!AZ184</f>
        <v>5809296</v>
      </c>
      <c r="AA12" s="215">
        <f>'[8]7.  Persistence Report'!BA184</f>
        <v>5809296</v>
      </c>
    </row>
    <row r="13" spans="1:27" x14ac:dyDescent="0.25">
      <c r="A13" s="210">
        <v>2016</v>
      </c>
      <c r="B13" s="83">
        <f>V19</f>
        <v>23291895.301440615</v>
      </c>
      <c r="C13" s="111">
        <f>D145</f>
        <v>19911645.674255006</v>
      </c>
      <c r="D13" s="79">
        <f t="shared" si="0"/>
        <v>3380249.6271856092</v>
      </c>
      <c r="E13" s="134">
        <f t="shared" si="1"/>
        <v>43336.533681866786</v>
      </c>
      <c r="F13" s="79">
        <f>B13-C157</f>
        <v>0</v>
      </c>
      <c r="H13" s="78" t="s">
        <v>96</v>
      </c>
      <c r="I13" s="78">
        <v>12</v>
      </c>
      <c r="J13" s="86"/>
      <c r="K13" s="214" t="s">
        <v>191</v>
      </c>
      <c r="L13" s="129"/>
      <c r="M13" s="129"/>
      <c r="N13" s="129"/>
      <c r="O13" s="129"/>
      <c r="P13" s="215"/>
      <c r="Q13" s="215"/>
      <c r="R13" s="215"/>
      <c r="S13" s="215"/>
      <c r="T13" s="215"/>
      <c r="U13" s="215"/>
      <c r="V13" s="215">
        <f>'[8]7.  Persistence Report'!AV185</f>
        <v>6260833</v>
      </c>
      <c r="W13" s="215">
        <f>'[8]7.  Persistence Report'!AW185</f>
        <v>6260832</v>
      </c>
      <c r="X13" s="215">
        <f>'[8]7.  Persistence Report'!AX185</f>
        <v>6260832</v>
      </c>
      <c r="Y13" s="215">
        <f>'[8]7.  Persistence Report'!AY185</f>
        <v>6260832</v>
      </c>
      <c r="Z13" s="215">
        <f>'[8]7.  Persistence Report'!AZ185</f>
        <v>6260832</v>
      </c>
      <c r="AA13" s="215">
        <f>'[8]7.  Persistence Report'!BA185</f>
        <v>6215530</v>
      </c>
    </row>
    <row r="14" spans="1:27" x14ac:dyDescent="0.25">
      <c r="A14" s="210">
        <v>2017</v>
      </c>
      <c r="B14" s="83">
        <f>W19</f>
        <v>28504900.685716856</v>
      </c>
      <c r="C14" s="111">
        <f>D157</f>
        <v>26152106.524443816</v>
      </c>
      <c r="D14" s="79">
        <f t="shared" si="0"/>
        <v>2352794.1612730399</v>
      </c>
      <c r="E14" s="134">
        <f t="shared" si="1"/>
        <v>30164.027708628717</v>
      </c>
      <c r="F14" s="79">
        <f>B14-C169</f>
        <v>0</v>
      </c>
      <c r="H14" s="78" t="s">
        <v>11</v>
      </c>
      <c r="I14" s="78">
        <f>SUM(I2:I13)</f>
        <v>78</v>
      </c>
      <c r="J14" s="86"/>
      <c r="K14" s="214" t="s">
        <v>192</v>
      </c>
      <c r="L14" s="129"/>
      <c r="M14" s="129"/>
      <c r="N14" s="129"/>
      <c r="O14" s="129"/>
      <c r="P14" s="215"/>
      <c r="Q14" s="215"/>
      <c r="R14" s="215"/>
      <c r="S14" s="215"/>
      <c r="T14" s="215"/>
      <c r="U14" s="215"/>
      <c r="V14" s="215"/>
      <c r="W14" s="215">
        <f>'[8]7.  Persistence Report'!AW186</f>
        <v>8769800</v>
      </c>
      <c r="X14" s="215">
        <f>'[8]7.  Persistence Report'!AX186</f>
        <v>7513017</v>
      </c>
      <c r="Y14" s="215">
        <f>'[8]7.  Persistence Report'!AY186</f>
        <v>7513017</v>
      </c>
      <c r="Z14" s="215">
        <f>'[8]7.  Persistence Report'!AZ186</f>
        <v>7513017</v>
      </c>
      <c r="AA14" s="215">
        <f>'[8]7.  Persistence Report'!BA186</f>
        <v>7512733</v>
      </c>
    </row>
    <row r="15" spans="1:27" x14ac:dyDescent="0.25">
      <c r="A15" s="210">
        <v>2018</v>
      </c>
      <c r="B15" s="83">
        <f>X19</f>
        <v>31471871.283401098</v>
      </c>
      <c r="C15" s="111">
        <f>D169</f>
        <v>30495726.514486346</v>
      </c>
      <c r="D15" s="79">
        <f t="shared" si="0"/>
        <v>976144.76891475171</v>
      </c>
      <c r="E15" s="134">
        <f t="shared" si="1"/>
        <v>12514.676524548098</v>
      </c>
      <c r="F15" s="79">
        <f>B15-C181</f>
        <v>0</v>
      </c>
      <c r="K15" s="214" t="s">
        <v>193</v>
      </c>
      <c r="L15" s="129"/>
      <c r="M15" s="129"/>
      <c r="N15" s="129"/>
      <c r="O15" s="129"/>
      <c r="P15" s="215"/>
      <c r="Q15" s="215"/>
      <c r="R15" s="215"/>
      <c r="S15" s="215"/>
      <c r="T15" s="215"/>
      <c r="U15" s="215"/>
      <c r="V15" s="215"/>
      <c r="W15" s="215"/>
      <c r="X15" s="215">
        <f>'[8]7.  Persistence Report'!AX187</f>
        <v>2745943.0822438868</v>
      </c>
      <c r="Y15" s="215">
        <f>'[8]7.  Persistence Report'!AY187</f>
        <v>2737982.1135950126</v>
      </c>
      <c r="Z15" s="215">
        <f>'[8]7.  Persistence Report'!AZ187</f>
        <v>2730021.1449461393</v>
      </c>
      <c r="AA15" s="215">
        <f>Z15</f>
        <v>2730021.1449461393</v>
      </c>
    </row>
    <row r="16" spans="1:27" x14ac:dyDescent="0.25">
      <c r="A16" s="210">
        <v>2019</v>
      </c>
      <c r="B16" s="83">
        <f>Y19</f>
        <v>32642525.336961091</v>
      </c>
      <c r="C16" s="111">
        <f>D181</f>
        <v>32297839.934021305</v>
      </c>
      <c r="D16" s="79">
        <f t="shared" si="0"/>
        <v>344685.40293978527</v>
      </c>
      <c r="E16" s="134">
        <f t="shared" si="1"/>
        <v>4419.0436274331441</v>
      </c>
      <c r="F16" s="79">
        <f>B16-C193</f>
        <v>0</v>
      </c>
      <c r="K16" s="216" t="s">
        <v>194</v>
      </c>
      <c r="L16" s="129"/>
      <c r="M16" s="129"/>
      <c r="N16" s="129"/>
      <c r="O16" s="129"/>
      <c r="P16" s="215"/>
      <c r="Q16" s="215"/>
      <c r="R16" s="215"/>
      <c r="S16" s="215"/>
      <c r="T16" s="215"/>
      <c r="U16" s="215"/>
      <c r="V16" s="215"/>
      <c r="W16" s="215"/>
      <c r="X16" s="215"/>
      <c r="Y16" s="215">
        <f>SUM('[9]report1588338901599.xls'!$J$388:$J$392) + '[9]report1588338901599.xls'!$J$395+ '[9]report1588338901599.xls'!$J$398+SUM('[9]report1588338901599.xls'!$J$401:$J$405) + SUM('[9]report1588338901599.xls'!$J$411:$J$412)</f>
        <v>970289.50000000012</v>
      </c>
      <c r="Z16" s="215">
        <f>Y16</f>
        <v>970289.50000000012</v>
      </c>
      <c r="AA16" s="215">
        <f>Z16</f>
        <v>970289.50000000012</v>
      </c>
    </row>
    <row r="17" spans="1:27" x14ac:dyDescent="0.25">
      <c r="A17" s="210">
        <v>2020</v>
      </c>
      <c r="B17" s="83">
        <f>Z19</f>
        <v>32777855.228667215</v>
      </c>
      <c r="C17" s="111">
        <f>D193</f>
        <v>32934182.216371659</v>
      </c>
      <c r="D17" s="79">
        <f t="shared" si="0"/>
        <v>-156326.98770444468</v>
      </c>
      <c r="E17" s="134">
        <f t="shared" si="1"/>
        <v>-2004.1921500569831</v>
      </c>
      <c r="F17" s="79">
        <f>B17-C205</f>
        <v>0</v>
      </c>
      <c r="K17" s="214" t="s">
        <v>197</v>
      </c>
      <c r="L17" s="129"/>
      <c r="M17" s="129"/>
      <c r="N17" s="129"/>
      <c r="O17" s="129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>
        <f>'[10]report1588340837587.xls'!$H$39-'[10]report1588340837587.xls'!$H$37</f>
        <v>1626637</v>
      </c>
      <c r="AA17" s="215">
        <f>Z17</f>
        <v>1626637</v>
      </c>
    </row>
    <row r="18" spans="1:27" x14ac:dyDescent="0.25">
      <c r="A18" s="210">
        <v>2021</v>
      </c>
      <c r="B18" s="83">
        <f>AA19</f>
        <v>32875486.00869187</v>
      </c>
      <c r="C18" s="111">
        <f>D205</f>
        <v>32645578.546763476</v>
      </c>
      <c r="D18" s="79">
        <f t="shared" si="0"/>
        <v>229907.46192839369</v>
      </c>
      <c r="E18" s="134">
        <f t="shared" si="1"/>
        <v>2947.5315631845347</v>
      </c>
      <c r="F18" s="79">
        <f>B18-C217</f>
        <v>0</v>
      </c>
      <c r="J18" s="252" t="s">
        <v>25</v>
      </c>
      <c r="K18" s="252"/>
      <c r="L18" s="218">
        <f>SUM(L3:L17)</f>
        <v>1882903.748515662</v>
      </c>
      <c r="M18" s="218">
        <f t="shared" ref="M18:AA18" si="2">SUM(M3:M17)</f>
        <v>3508783.2670284789</v>
      </c>
      <c r="N18" s="218">
        <f t="shared" si="2"/>
        <v>4257692.0624073166</v>
      </c>
      <c r="O18" s="218">
        <f t="shared" si="2"/>
        <v>7052067.4532891735</v>
      </c>
      <c r="P18" s="218">
        <f t="shared" si="2"/>
        <v>7403008.653395813</v>
      </c>
      <c r="Q18" s="218">
        <f t="shared" si="2"/>
        <v>9131005.1176991314</v>
      </c>
      <c r="R18" s="218">
        <f t="shared" si="2"/>
        <v>11195063.985242438</v>
      </c>
      <c r="S18" s="218">
        <f t="shared" si="2"/>
        <v>13392130.360133812</v>
      </c>
      <c r="T18" s="218">
        <f t="shared" si="2"/>
        <v>16189711.750899591</v>
      </c>
      <c r="U18" s="218">
        <f t="shared" si="2"/>
        <v>20721545.39730712</v>
      </c>
      <c r="V18" s="218">
        <f t="shared" si="2"/>
        <v>26422311.801440615</v>
      </c>
      <c r="W18" s="218">
        <f t="shared" si="2"/>
        <v>32889800.685716856</v>
      </c>
      <c r="X18" s="218">
        <f t="shared" si="2"/>
        <v>32844842.824523043</v>
      </c>
      <c r="Y18" s="218">
        <f t="shared" si="2"/>
        <v>33127670.086961091</v>
      </c>
      <c r="Z18" s="218">
        <f t="shared" si="2"/>
        <v>33591173.728667215</v>
      </c>
      <c r="AA18" s="218">
        <f t="shared" si="2"/>
        <v>32875486.00869187</v>
      </c>
    </row>
    <row r="19" spans="1:27" x14ac:dyDescent="0.25">
      <c r="B19" s="83">
        <f>SUM(B3:B18)</f>
        <v>263276302.3126069</v>
      </c>
      <c r="J19" s="253" t="s">
        <v>195</v>
      </c>
      <c r="K19" s="254"/>
      <c r="L19" s="218">
        <f>L$18-L3/2</f>
        <v>941451.87425783102</v>
      </c>
      <c r="M19" s="218">
        <f>M$18-M4/2</f>
        <v>2695843.5077720704</v>
      </c>
      <c r="N19" s="218">
        <f>N$18-N5/2</f>
        <v>3577650.4110011263</v>
      </c>
      <c r="O19" s="218">
        <f>O$18-O6/2</f>
        <v>5546744.8248539045</v>
      </c>
      <c r="P19" s="218">
        <f>P$18-P7/2</f>
        <v>6299391.2320321165</v>
      </c>
      <c r="Q19" s="218">
        <f>Q$18-Q8/2</f>
        <v>7994317.1142543238</v>
      </c>
      <c r="R19" s="218">
        <f>R$18-R9/2</f>
        <v>10070680.994876524</v>
      </c>
      <c r="S19" s="218">
        <f>S$18-S10/2</f>
        <v>12267080.051723402</v>
      </c>
      <c r="T19" s="218">
        <f>T$18-T11/2</f>
        <v>14627411.559649754</v>
      </c>
      <c r="U19" s="218">
        <f>U$18-U12/2</f>
        <v>17691196.89730712</v>
      </c>
      <c r="V19" s="218">
        <f>V$18-V13/2</f>
        <v>23291895.301440615</v>
      </c>
      <c r="W19" s="218">
        <f>W$18-W14/2</f>
        <v>28504900.685716856</v>
      </c>
      <c r="X19" s="218">
        <f>X$18-X15/2</f>
        <v>31471871.283401098</v>
      </c>
      <c r="Y19" s="218">
        <f>Y$18-Y16/2</f>
        <v>32642525.336961091</v>
      </c>
      <c r="Z19" s="218">
        <f>Z$18-Z17/2</f>
        <v>32777855.228667215</v>
      </c>
      <c r="AA19" s="218">
        <f>AA18</f>
        <v>32875486.00869187</v>
      </c>
    </row>
    <row r="20" spans="1:27" x14ac:dyDescent="0.25">
      <c r="B20" s="83"/>
    </row>
    <row r="21" spans="1:27" x14ac:dyDescent="0.25">
      <c r="B21" s="83"/>
    </row>
    <row r="22" spans="1:27" x14ac:dyDescent="0.25">
      <c r="A22" s="210"/>
      <c r="B22" s="83"/>
      <c r="R22" s="81"/>
    </row>
    <row r="23" spans="1:27" x14ac:dyDescent="0.25">
      <c r="A23" s="88" t="s">
        <v>11</v>
      </c>
      <c r="B23" s="222"/>
      <c r="C23" s="81"/>
      <c r="D23" s="79"/>
      <c r="F23" s="77"/>
      <c r="R23" s="81"/>
      <c r="S23" s="81"/>
    </row>
    <row r="24" spans="1:27" x14ac:dyDescent="0.25">
      <c r="R24" s="81"/>
      <c r="S24" s="81"/>
      <c r="T24" s="81"/>
    </row>
    <row r="25" spans="1:27" ht="26.4" x14ac:dyDescent="0.25">
      <c r="A25" s="80" t="s">
        <v>99</v>
      </c>
      <c r="B25" s="131" t="s">
        <v>196</v>
      </c>
      <c r="E25" s="84"/>
      <c r="F25" s="84"/>
      <c r="L25" s="217"/>
      <c r="R25" s="81"/>
      <c r="S25" s="81"/>
      <c r="T25" s="81"/>
      <c r="U25" s="81"/>
    </row>
    <row r="26" spans="1:27" x14ac:dyDescent="0.25">
      <c r="A26" s="3">
        <v>38718</v>
      </c>
      <c r="B26" s="223">
        <f>$E$3</f>
        <v>12069.895823818346</v>
      </c>
      <c r="D26" s="84"/>
      <c r="E26" s="84"/>
      <c r="F26" s="85"/>
      <c r="R26" s="81"/>
      <c r="S26" s="81"/>
      <c r="T26" s="81"/>
      <c r="U26" s="81"/>
      <c r="V26" s="81"/>
    </row>
    <row r="27" spans="1:27" x14ac:dyDescent="0.25">
      <c r="A27" s="3">
        <v>38749</v>
      </c>
      <c r="B27" s="223">
        <f t="shared" ref="B27:B37" si="3">B26+$E$3</f>
        <v>24139.791647636692</v>
      </c>
      <c r="D27" s="84"/>
      <c r="E27" s="84"/>
      <c r="F27" s="84"/>
      <c r="R27" s="81"/>
      <c r="S27" s="81"/>
      <c r="T27" s="81"/>
      <c r="U27" s="81"/>
      <c r="V27" s="81"/>
      <c r="W27" s="81"/>
      <c r="AA27" s="81"/>
    </row>
    <row r="28" spans="1:27" x14ac:dyDescent="0.25">
      <c r="A28" s="3">
        <v>38777</v>
      </c>
      <c r="B28" s="223">
        <f t="shared" si="3"/>
        <v>36209.687471455036</v>
      </c>
      <c r="D28" s="84"/>
      <c r="E28" s="84"/>
      <c r="F28" s="85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x14ac:dyDescent="0.25">
      <c r="A29" s="3">
        <v>38808</v>
      </c>
      <c r="B29" s="223">
        <f t="shared" si="3"/>
        <v>48279.583295273384</v>
      </c>
      <c r="D29" s="84"/>
      <c r="E29" s="84"/>
      <c r="F29" s="84"/>
    </row>
    <row r="30" spans="1:27" x14ac:dyDescent="0.25">
      <c r="A30" s="3">
        <v>38838</v>
      </c>
      <c r="B30" s="223">
        <f t="shared" si="3"/>
        <v>60349.479119091731</v>
      </c>
      <c r="D30" s="84"/>
      <c r="E30" s="84"/>
      <c r="F30" s="84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spans="1:27" x14ac:dyDescent="0.25">
      <c r="A31" s="3">
        <v>38869</v>
      </c>
      <c r="B31" s="223">
        <f t="shared" si="3"/>
        <v>72419.374942910072</v>
      </c>
      <c r="D31" s="84"/>
      <c r="E31" s="84"/>
      <c r="F31" s="84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x14ac:dyDescent="0.25">
      <c r="A32" s="3">
        <v>38899</v>
      </c>
      <c r="B32" s="223">
        <f t="shared" si="3"/>
        <v>84489.270766728412</v>
      </c>
      <c r="D32" s="84"/>
      <c r="E32" s="84"/>
      <c r="F32" s="84"/>
      <c r="R32" s="79"/>
      <c r="S32" s="79"/>
      <c r="T32" s="79"/>
      <c r="U32" s="79"/>
      <c r="V32" s="79"/>
      <c r="W32" s="79"/>
      <c r="X32" s="79"/>
      <c r="Y32" s="79"/>
      <c r="Z32" s="79"/>
      <c r="AA32" s="79"/>
    </row>
    <row r="33" spans="1:27" x14ac:dyDescent="0.25">
      <c r="A33" s="3">
        <v>38930</v>
      </c>
      <c r="B33" s="223">
        <f t="shared" si="3"/>
        <v>96559.166590546753</v>
      </c>
      <c r="D33" s="84"/>
      <c r="E33" s="84"/>
      <c r="F33" s="84"/>
      <c r="R33" s="79"/>
      <c r="S33" s="79"/>
      <c r="T33" s="79"/>
      <c r="U33" s="79"/>
      <c r="V33" s="79"/>
      <c r="W33" s="79"/>
      <c r="X33" s="79"/>
      <c r="Y33" s="79"/>
      <c r="Z33" s="79"/>
      <c r="AA33" s="79"/>
    </row>
    <row r="34" spans="1:27" x14ac:dyDescent="0.25">
      <c r="A34" s="3">
        <v>38961</v>
      </c>
      <c r="B34" s="223">
        <f t="shared" si="3"/>
        <v>108629.06241436509</v>
      </c>
      <c r="D34" s="84"/>
      <c r="E34" s="84"/>
      <c r="F34" s="84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x14ac:dyDescent="0.25">
      <c r="A35" s="3">
        <v>38991</v>
      </c>
      <c r="B35" s="223">
        <f t="shared" si="3"/>
        <v>120698.95823818343</v>
      </c>
      <c r="D35" s="84"/>
      <c r="E35" s="84"/>
      <c r="F35" s="84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x14ac:dyDescent="0.25">
      <c r="A36" s="3">
        <v>39022</v>
      </c>
      <c r="B36" s="223">
        <f t="shared" si="3"/>
        <v>132768.85406200177</v>
      </c>
      <c r="D36" s="84"/>
      <c r="E36" s="84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x14ac:dyDescent="0.25">
      <c r="A37" s="3">
        <v>39052</v>
      </c>
      <c r="B37" s="223">
        <f t="shared" si="3"/>
        <v>144838.74988582011</v>
      </c>
      <c r="C37" s="83">
        <f>SUM(B26:B37)</f>
        <v>941451.87425783079</v>
      </c>
      <c r="D37" s="83">
        <f>B37*12</f>
        <v>1738064.9986298415</v>
      </c>
      <c r="E37" s="84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x14ac:dyDescent="0.25">
      <c r="A38" s="3">
        <v>39083</v>
      </c>
      <c r="B38" s="223">
        <f t="shared" ref="B38:B49" si="4">B37+$E$4</f>
        <v>157117.96154148973</v>
      </c>
      <c r="D38" s="84"/>
      <c r="E38" s="84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x14ac:dyDescent="0.25">
      <c r="A39" s="3">
        <v>39114</v>
      </c>
      <c r="B39" s="223">
        <f t="shared" si="4"/>
        <v>169397.17319715934</v>
      </c>
      <c r="D39" s="84"/>
      <c r="E39" s="84"/>
    </row>
    <row r="40" spans="1:27" x14ac:dyDescent="0.25">
      <c r="A40" s="3">
        <v>39142</v>
      </c>
      <c r="B40" s="223">
        <f t="shared" si="4"/>
        <v>181676.38485282895</v>
      </c>
      <c r="D40" s="84"/>
      <c r="E40" s="84"/>
    </row>
    <row r="41" spans="1:27" x14ac:dyDescent="0.25">
      <c r="A41" s="3">
        <v>39173</v>
      </c>
      <c r="B41" s="223">
        <f t="shared" si="4"/>
        <v>193955.59650849857</v>
      </c>
      <c r="D41" s="84"/>
      <c r="E41" s="84"/>
    </row>
    <row r="42" spans="1:27" x14ac:dyDescent="0.25">
      <c r="A42" s="3">
        <v>39203</v>
      </c>
      <c r="B42" s="223">
        <f t="shared" si="4"/>
        <v>206234.80816416818</v>
      </c>
      <c r="D42" s="84"/>
      <c r="E42" s="84"/>
    </row>
    <row r="43" spans="1:27" x14ac:dyDescent="0.25">
      <c r="A43" s="3">
        <v>39234</v>
      </c>
      <c r="B43" s="223">
        <f t="shared" si="4"/>
        <v>218514.01981983779</v>
      </c>
      <c r="D43" s="84"/>
      <c r="E43" s="84"/>
    </row>
    <row r="44" spans="1:27" x14ac:dyDescent="0.25">
      <c r="A44" s="3">
        <v>39264</v>
      </c>
      <c r="B44" s="223">
        <f t="shared" si="4"/>
        <v>230793.2314755074</v>
      </c>
      <c r="D44" s="84"/>
      <c r="E44" s="84"/>
    </row>
    <row r="45" spans="1:27" x14ac:dyDescent="0.25">
      <c r="A45" s="3">
        <v>39295</v>
      </c>
      <c r="B45" s="223">
        <f t="shared" si="4"/>
        <v>243072.44313117702</v>
      </c>
      <c r="D45" s="84"/>
      <c r="E45" s="84"/>
    </row>
    <row r="46" spans="1:27" x14ac:dyDescent="0.25">
      <c r="A46" s="3">
        <v>39326</v>
      </c>
      <c r="B46" s="223">
        <f t="shared" si="4"/>
        <v>255351.65478684663</v>
      </c>
      <c r="D46" s="84"/>
      <c r="E46" s="84"/>
      <c r="K46" s="81"/>
    </row>
    <row r="47" spans="1:27" x14ac:dyDescent="0.25">
      <c r="A47" s="3">
        <v>39356</v>
      </c>
      <c r="B47" s="223">
        <f t="shared" si="4"/>
        <v>267630.86644251621</v>
      </c>
      <c r="D47" s="84"/>
      <c r="E47" s="84"/>
    </row>
    <row r="48" spans="1:27" x14ac:dyDescent="0.25">
      <c r="A48" s="3">
        <v>39387</v>
      </c>
      <c r="B48" s="223">
        <f t="shared" si="4"/>
        <v>279910.07809818583</v>
      </c>
      <c r="D48" s="84"/>
      <c r="E48" s="84"/>
      <c r="I48" s="81" t="s">
        <v>126</v>
      </c>
      <c r="J48" s="81"/>
    </row>
    <row r="49" spans="1:5" x14ac:dyDescent="0.25">
      <c r="A49" s="3">
        <v>39417</v>
      </c>
      <c r="B49" s="223">
        <f t="shared" si="4"/>
        <v>292189.28975385544</v>
      </c>
      <c r="C49" s="83">
        <f>SUM(B38:B49)</f>
        <v>2695843.5077720713</v>
      </c>
      <c r="D49" s="83">
        <f>B49*12</f>
        <v>3506271.4770462653</v>
      </c>
      <c r="E49" s="84"/>
    </row>
    <row r="50" spans="1:5" x14ac:dyDescent="0.25">
      <c r="A50" s="3">
        <v>39448</v>
      </c>
      <c r="B50" s="223">
        <f t="shared" ref="B50:B61" si="5">B49+$E$5</f>
        <v>293104.40429173829</v>
      </c>
      <c r="D50" s="84"/>
      <c r="E50" s="84"/>
    </row>
    <row r="51" spans="1:5" x14ac:dyDescent="0.25">
      <c r="A51" s="3">
        <v>39479</v>
      </c>
      <c r="B51" s="223">
        <f t="shared" si="5"/>
        <v>294019.51882962114</v>
      </c>
      <c r="D51" s="84"/>
      <c r="E51" s="84"/>
    </row>
    <row r="52" spans="1:5" x14ac:dyDescent="0.25">
      <c r="A52" s="3">
        <v>39508</v>
      </c>
      <c r="B52" s="223">
        <f t="shared" si="5"/>
        <v>294934.63336750399</v>
      </c>
      <c r="D52" s="84"/>
      <c r="E52" s="84"/>
    </row>
    <row r="53" spans="1:5" x14ac:dyDescent="0.25">
      <c r="A53" s="3">
        <v>39539</v>
      </c>
      <c r="B53" s="223">
        <f t="shared" si="5"/>
        <v>295849.74790538684</v>
      </c>
      <c r="D53" s="84"/>
      <c r="E53" s="84"/>
    </row>
    <row r="54" spans="1:5" x14ac:dyDescent="0.25">
      <c r="A54" s="3">
        <v>39569</v>
      </c>
      <c r="B54" s="223">
        <f t="shared" si="5"/>
        <v>296764.8624432697</v>
      </c>
      <c r="D54" s="84"/>
      <c r="E54" s="84"/>
    </row>
    <row r="55" spans="1:5" x14ac:dyDescent="0.25">
      <c r="A55" s="3">
        <v>39600</v>
      </c>
      <c r="B55" s="223">
        <f t="shared" si="5"/>
        <v>297679.97698115255</v>
      </c>
      <c r="D55" s="84"/>
      <c r="E55" s="84"/>
    </row>
    <row r="56" spans="1:5" x14ac:dyDescent="0.25">
      <c r="A56" s="3">
        <v>39630</v>
      </c>
      <c r="B56" s="223">
        <f t="shared" si="5"/>
        <v>298595.0915190354</v>
      </c>
      <c r="D56" s="84"/>
      <c r="E56" s="84"/>
    </row>
    <row r="57" spans="1:5" x14ac:dyDescent="0.25">
      <c r="A57" s="3">
        <v>39661</v>
      </c>
      <c r="B57" s="223">
        <f t="shared" si="5"/>
        <v>299510.20605691825</v>
      </c>
      <c r="D57" s="84"/>
      <c r="E57" s="84"/>
    </row>
    <row r="58" spans="1:5" x14ac:dyDescent="0.25">
      <c r="A58" s="3">
        <v>39692</v>
      </c>
      <c r="B58" s="223">
        <f t="shared" si="5"/>
        <v>300425.3205948011</v>
      </c>
      <c r="D58" s="84"/>
      <c r="E58" s="84"/>
    </row>
    <row r="59" spans="1:5" x14ac:dyDescent="0.25">
      <c r="A59" s="3">
        <v>39722</v>
      </c>
      <c r="B59" s="223">
        <f t="shared" si="5"/>
        <v>301340.43513268395</v>
      </c>
      <c r="D59" s="84"/>
      <c r="E59" s="84"/>
    </row>
    <row r="60" spans="1:5" x14ac:dyDescent="0.25">
      <c r="A60" s="3">
        <v>39753</v>
      </c>
      <c r="B60" s="223">
        <f t="shared" si="5"/>
        <v>302255.5496705668</v>
      </c>
      <c r="D60" s="84"/>
      <c r="E60" s="84"/>
    </row>
    <row r="61" spans="1:5" x14ac:dyDescent="0.25">
      <c r="A61" s="3">
        <v>39783</v>
      </c>
      <c r="B61" s="223">
        <f t="shared" si="5"/>
        <v>303170.66420844966</v>
      </c>
      <c r="C61" s="83">
        <f>SUM(B50:B61)</f>
        <v>3577650.4110011272</v>
      </c>
      <c r="D61" s="83">
        <f>B61*12</f>
        <v>3638047.9705013959</v>
      </c>
      <c r="E61" s="84"/>
    </row>
    <row r="62" spans="1:5" x14ac:dyDescent="0.25">
      <c r="A62" s="3">
        <v>39814</v>
      </c>
      <c r="B62" s="223">
        <f t="shared" ref="B62:B73" si="6">B61+$E$6</f>
        <v>327641.13670014846</v>
      </c>
      <c r="D62" s="84"/>
      <c r="E62" s="84"/>
    </row>
    <row r="63" spans="1:5" x14ac:dyDescent="0.25">
      <c r="A63" s="3">
        <v>39845</v>
      </c>
      <c r="B63" s="223">
        <f t="shared" si="6"/>
        <v>352111.60919184727</v>
      </c>
      <c r="D63" s="84"/>
      <c r="E63" s="84"/>
    </row>
    <row r="64" spans="1:5" x14ac:dyDescent="0.25">
      <c r="A64" s="3">
        <v>39873</v>
      </c>
      <c r="B64" s="223">
        <f t="shared" si="6"/>
        <v>376582.08168354607</v>
      </c>
      <c r="D64" s="84"/>
      <c r="E64" s="84"/>
    </row>
    <row r="65" spans="1:5" x14ac:dyDescent="0.25">
      <c r="A65" s="3">
        <v>39904</v>
      </c>
      <c r="B65" s="223">
        <f t="shared" si="6"/>
        <v>401052.55417524488</v>
      </c>
      <c r="D65" s="84"/>
      <c r="E65" s="84"/>
    </row>
    <row r="66" spans="1:5" x14ac:dyDescent="0.25">
      <c r="A66" s="3">
        <v>39934</v>
      </c>
      <c r="B66" s="223">
        <f t="shared" si="6"/>
        <v>425523.02666694368</v>
      </c>
      <c r="D66" s="84"/>
      <c r="E66" s="84"/>
    </row>
    <row r="67" spans="1:5" x14ac:dyDescent="0.25">
      <c r="A67" s="3">
        <v>39965</v>
      </c>
      <c r="B67" s="223">
        <f t="shared" si="6"/>
        <v>449993.49915864249</v>
      </c>
      <c r="D67" s="84"/>
      <c r="E67" s="84"/>
    </row>
    <row r="68" spans="1:5" x14ac:dyDescent="0.25">
      <c r="A68" s="3">
        <v>39995</v>
      </c>
      <c r="B68" s="223">
        <f t="shared" si="6"/>
        <v>474463.97165034129</v>
      </c>
      <c r="D68" s="84"/>
      <c r="E68" s="84"/>
    </row>
    <row r="69" spans="1:5" x14ac:dyDescent="0.25">
      <c r="A69" s="3">
        <v>40026</v>
      </c>
      <c r="B69" s="223">
        <f t="shared" si="6"/>
        <v>498934.4441420401</v>
      </c>
      <c r="D69" s="84"/>
      <c r="E69" s="84"/>
    </row>
    <row r="70" spans="1:5" x14ac:dyDescent="0.25">
      <c r="A70" s="3">
        <v>40057</v>
      </c>
      <c r="B70" s="223">
        <f t="shared" si="6"/>
        <v>523404.9166337389</v>
      </c>
      <c r="D70" s="84"/>
      <c r="E70" s="84"/>
    </row>
    <row r="71" spans="1:5" x14ac:dyDescent="0.25">
      <c r="A71" s="3">
        <v>40087</v>
      </c>
      <c r="B71" s="223">
        <f t="shared" si="6"/>
        <v>547875.38912543771</v>
      </c>
      <c r="D71" s="84"/>
      <c r="E71" s="84"/>
    </row>
    <row r="72" spans="1:5" x14ac:dyDescent="0.25">
      <c r="A72" s="3">
        <v>40118</v>
      </c>
      <c r="B72" s="223">
        <f t="shared" si="6"/>
        <v>572345.86161713651</v>
      </c>
      <c r="D72" s="84"/>
      <c r="E72" s="84"/>
    </row>
    <row r="73" spans="1:5" x14ac:dyDescent="0.25">
      <c r="A73" s="3">
        <v>40148</v>
      </c>
      <c r="B73" s="223">
        <f t="shared" si="6"/>
        <v>596816.33410883532</v>
      </c>
      <c r="C73" s="83">
        <f>SUM(B62:B73)</f>
        <v>5546744.8248539027</v>
      </c>
      <c r="D73" s="83">
        <f>B73*12</f>
        <v>7161796.0093060238</v>
      </c>
      <c r="E73" s="84"/>
    </row>
    <row r="74" spans="1:5" x14ac:dyDescent="0.25">
      <c r="A74" s="3">
        <v>40179</v>
      </c>
      <c r="B74" s="223">
        <f t="shared" ref="B74:B85" si="7">B73+$E$7</f>
        <v>585759.86260532367</v>
      </c>
      <c r="D74" s="84"/>
      <c r="E74" s="84"/>
    </row>
    <row r="75" spans="1:5" x14ac:dyDescent="0.25">
      <c r="A75" s="3">
        <v>40210</v>
      </c>
      <c r="B75" s="223">
        <f t="shared" si="7"/>
        <v>574703.39110181201</v>
      </c>
      <c r="D75" s="84"/>
      <c r="E75" s="84"/>
    </row>
    <row r="76" spans="1:5" x14ac:dyDescent="0.25">
      <c r="A76" s="3">
        <v>40238</v>
      </c>
      <c r="B76" s="223">
        <f t="shared" si="7"/>
        <v>563646.91959830036</v>
      </c>
      <c r="D76" s="84"/>
      <c r="E76" s="84"/>
    </row>
    <row r="77" spans="1:5" x14ac:dyDescent="0.25">
      <c r="A77" s="3">
        <v>40269</v>
      </c>
      <c r="B77" s="223">
        <f t="shared" si="7"/>
        <v>552590.44809478871</v>
      </c>
      <c r="D77" s="84"/>
      <c r="E77" s="84"/>
    </row>
    <row r="78" spans="1:5" x14ac:dyDescent="0.25">
      <c r="A78" s="3">
        <v>40299</v>
      </c>
      <c r="B78" s="223">
        <f t="shared" si="7"/>
        <v>541533.97659127705</v>
      </c>
      <c r="D78" s="84"/>
      <c r="E78" s="84"/>
    </row>
    <row r="79" spans="1:5" x14ac:dyDescent="0.25">
      <c r="A79" s="3">
        <v>40330</v>
      </c>
      <c r="B79" s="223">
        <f t="shared" si="7"/>
        <v>530477.5050877654</v>
      </c>
      <c r="D79" s="84"/>
      <c r="E79" s="84"/>
    </row>
    <row r="80" spans="1:5" x14ac:dyDescent="0.25">
      <c r="A80" s="3">
        <v>40360</v>
      </c>
      <c r="B80" s="223">
        <f t="shared" si="7"/>
        <v>519421.03358425375</v>
      </c>
      <c r="D80" s="84"/>
      <c r="E80" s="84"/>
    </row>
    <row r="81" spans="1:5" x14ac:dyDescent="0.25">
      <c r="A81" s="3">
        <v>40391</v>
      </c>
      <c r="B81" s="223">
        <f t="shared" si="7"/>
        <v>508364.56208074209</v>
      </c>
      <c r="D81" s="84"/>
      <c r="E81" s="84"/>
    </row>
    <row r="82" spans="1:5" x14ac:dyDescent="0.25">
      <c r="A82" s="3">
        <v>40422</v>
      </c>
      <c r="B82" s="223">
        <f t="shared" si="7"/>
        <v>497308.09057723044</v>
      </c>
      <c r="D82" s="84"/>
      <c r="E82" s="84"/>
    </row>
    <row r="83" spans="1:5" x14ac:dyDescent="0.25">
      <c r="A83" s="3">
        <v>40452</v>
      </c>
      <c r="B83" s="223">
        <f t="shared" si="7"/>
        <v>486251.61907371879</v>
      </c>
      <c r="D83" s="84"/>
      <c r="E83" s="84"/>
    </row>
    <row r="84" spans="1:5" x14ac:dyDescent="0.25">
      <c r="A84" s="3">
        <v>40483</v>
      </c>
      <c r="B84" s="223">
        <f t="shared" si="7"/>
        <v>475195.14757020713</v>
      </c>
      <c r="D84" s="84"/>
      <c r="E84" s="84"/>
    </row>
    <row r="85" spans="1:5" x14ac:dyDescent="0.25">
      <c r="A85" s="3">
        <v>40513</v>
      </c>
      <c r="B85" s="223">
        <f t="shared" si="7"/>
        <v>464138.67606669548</v>
      </c>
      <c r="C85" s="83">
        <f>SUM(B74:B85)</f>
        <v>6299391.2320321156</v>
      </c>
      <c r="D85" s="83">
        <f>B85*12</f>
        <v>5569664.1128003458</v>
      </c>
      <c r="E85" s="84"/>
    </row>
    <row r="86" spans="1:5" x14ac:dyDescent="0.25">
      <c r="A86" s="3">
        <v>40544</v>
      </c>
      <c r="B86" s="223">
        <f t="shared" ref="B86:B97" si="8">B85+$E$8</f>
        <v>495223.97095713113</v>
      </c>
      <c r="D86" s="84"/>
      <c r="E86" s="84"/>
    </row>
    <row r="87" spans="1:5" x14ac:dyDescent="0.25">
      <c r="A87" s="3">
        <v>40575</v>
      </c>
      <c r="B87" s="223">
        <f t="shared" si="8"/>
        <v>526309.26584756677</v>
      </c>
      <c r="D87" s="84"/>
      <c r="E87" s="84"/>
    </row>
    <row r="88" spans="1:5" x14ac:dyDescent="0.25">
      <c r="A88" s="3">
        <v>40603</v>
      </c>
      <c r="B88" s="223">
        <f t="shared" si="8"/>
        <v>557394.56073800242</v>
      </c>
      <c r="D88" s="84"/>
      <c r="E88" s="84"/>
    </row>
    <row r="89" spans="1:5" x14ac:dyDescent="0.25">
      <c r="A89" s="3">
        <v>40634</v>
      </c>
      <c r="B89" s="223">
        <f t="shared" si="8"/>
        <v>588479.85562843806</v>
      </c>
      <c r="D89" s="84"/>
      <c r="E89" s="84"/>
    </row>
    <row r="90" spans="1:5" x14ac:dyDescent="0.25">
      <c r="A90" s="3">
        <v>40664</v>
      </c>
      <c r="B90" s="223">
        <f t="shared" si="8"/>
        <v>619565.15051887371</v>
      </c>
      <c r="D90" s="84"/>
      <c r="E90" s="84"/>
    </row>
    <row r="91" spans="1:5" x14ac:dyDescent="0.25">
      <c r="A91" s="3">
        <v>40695</v>
      </c>
      <c r="B91" s="223">
        <f t="shared" si="8"/>
        <v>650650.44540930935</v>
      </c>
      <c r="D91" s="84"/>
      <c r="E91" s="84"/>
    </row>
    <row r="92" spans="1:5" x14ac:dyDescent="0.25">
      <c r="A92" s="3">
        <v>40725</v>
      </c>
      <c r="B92" s="223">
        <f t="shared" si="8"/>
        <v>681735.740299745</v>
      </c>
      <c r="D92" s="84"/>
      <c r="E92" s="84"/>
    </row>
    <row r="93" spans="1:5" x14ac:dyDescent="0.25">
      <c r="A93" s="3">
        <v>40756</v>
      </c>
      <c r="B93" s="223">
        <f t="shared" si="8"/>
        <v>712821.03519018064</v>
      </c>
      <c r="D93" s="84"/>
      <c r="E93" s="84"/>
    </row>
    <row r="94" spans="1:5" x14ac:dyDescent="0.25">
      <c r="A94" s="3">
        <v>40787</v>
      </c>
      <c r="B94" s="223">
        <f t="shared" si="8"/>
        <v>743906.33008061629</v>
      </c>
      <c r="D94" s="84"/>
      <c r="E94" s="84"/>
    </row>
    <row r="95" spans="1:5" x14ac:dyDescent="0.25">
      <c r="A95" s="3">
        <v>40817</v>
      </c>
      <c r="B95" s="223">
        <f t="shared" si="8"/>
        <v>774991.62497105193</v>
      </c>
      <c r="D95" s="84"/>
      <c r="E95" s="84"/>
    </row>
    <row r="96" spans="1:5" x14ac:dyDescent="0.25">
      <c r="A96" s="3">
        <v>40848</v>
      </c>
      <c r="B96" s="223">
        <f t="shared" si="8"/>
        <v>806076.91986148758</v>
      </c>
      <c r="D96" s="84"/>
      <c r="E96" s="84"/>
    </row>
    <row r="97" spans="1:5" x14ac:dyDescent="0.25">
      <c r="A97" s="3">
        <v>40878</v>
      </c>
      <c r="B97" s="223">
        <f t="shared" si="8"/>
        <v>837162.21475192322</v>
      </c>
      <c r="C97" s="83">
        <f>SUM(B86:B97)</f>
        <v>7994317.1142543256</v>
      </c>
      <c r="D97" s="83">
        <f>B97*12</f>
        <v>10045946.577023078</v>
      </c>
      <c r="E97" s="84"/>
    </row>
    <row r="98" spans="1:5" x14ac:dyDescent="0.25">
      <c r="A98" s="3">
        <v>40909</v>
      </c>
      <c r="B98" s="223">
        <f t="shared" ref="B98:B109" si="9">B97+$E$9</f>
        <v>837479.32267312123</v>
      </c>
      <c r="D98" s="84"/>
      <c r="E98" s="84"/>
    </row>
    <row r="99" spans="1:5" x14ac:dyDescent="0.25">
      <c r="A99" s="3">
        <v>40940</v>
      </c>
      <c r="B99" s="223">
        <f t="shared" si="9"/>
        <v>837796.43059431924</v>
      </c>
      <c r="D99" s="84"/>
      <c r="E99" s="84"/>
    </row>
    <row r="100" spans="1:5" x14ac:dyDescent="0.25">
      <c r="A100" s="3">
        <v>40969</v>
      </c>
      <c r="B100" s="223">
        <f t="shared" si="9"/>
        <v>838113.53851551726</v>
      </c>
      <c r="D100" s="84"/>
      <c r="E100" s="84"/>
    </row>
    <row r="101" spans="1:5" x14ac:dyDescent="0.25">
      <c r="A101" s="3">
        <v>41000</v>
      </c>
      <c r="B101" s="223">
        <f t="shared" si="9"/>
        <v>838430.64643671527</v>
      </c>
      <c r="D101" s="84"/>
      <c r="E101" s="84"/>
    </row>
    <row r="102" spans="1:5" x14ac:dyDescent="0.25">
      <c r="A102" s="3">
        <v>41030</v>
      </c>
      <c r="B102" s="223">
        <f t="shared" si="9"/>
        <v>838747.75435791328</v>
      </c>
      <c r="D102" s="84"/>
      <c r="E102" s="84"/>
    </row>
    <row r="103" spans="1:5" x14ac:dyDescent="0.25">
      <c r="A103" s="3">
        <v>41061</v>
      </c>
      <c r="B103" s="223">
        <f t="shared" si="9"/>
        <v>839064.86227911129</v>
      </c>
      <c r="D103" s="84"/>
      <c r="E103" s="84"/>
    </row>
    <row r="104" spans="1:5" x14ac:dyDescent="0.25">
      <c r="A104" s="3">
        <v>41091</v>
      </c>
      <c r="B104" s="223">
        <f t="shared" si="9"/>
        <v>839381.9702003093</v>
      </c>
      <c r="D104" s="84"/>
      <c r="E104" s="84"/>
    </row>
    <row r="105" spans="1:5" x14ac:dyDescent="0.25">
      <c r="A105" s="3">
        <v>41122</v>
      </c>
      <c r="B105" s="223">
        <f t="shared" si="9"/>
        <v>839699.07812150731</v>
      </c>
      <c r="D105" s="84"/>
      <c r="E105" s="84"/>
    </row>
    <row r="106" spans="1:5" x14ac:dyDescent="0.25">
      <c r="A106" s="3">
        <v>41153</v>
      </c>
      <c r="B106" s="223">
        <f t="shared" si="9"/>
        <v>840016.18604270532</v>
      </c>
      <c r="D106" s="84"/>
      <c r="E106" s="84"/>
    </row>
    <row r="107" spans="1:5" x14ac:dyDescent="0.25">
      <c r="A107" s="3">
        <v>41183</v>
      </c>
      <c r="B107" s="223">
        <f t="shared" si="9"/>
        <v>840333.29396390333</v>
      </c>
      <c r="D107" s="84"/>
      <c r="E107" s="84"/>
    </row>
    <row r="108" spans="1:5" x14ac:dyDescent="0.25">
      <c r="A108" s="3">
        <v>41214</v>
      </c>
      <c r="B108" s="223">
        <f t="shared" si="9"/>
        <v>840650.40188510134</v>
      </c>
      <c r="D108" s="84"/>
      <c r="E108" s="84"/>
    </row>
    <row r="109" spans="1:5" x14ac:dyDescent="0.25">
      <c r="A109" s="3">
        <v>41244</v>
      </c>
      <c r="B109" s="223">
        <f t="shared" si="9"/>
        <v>840967.50980629935</v>
      </c>
      <c r="C109" s="83">
        <f>SUM(B98:B109)</f>
        <v>10070680.994876524</v>
      </c>
      <c r="D109" s="83">
        <f>B109*12</f>
        <v>10091610.117675591</v>
      </c>
      <c r="E109" s="84"/>
    </row>
    <row r="110" spans="1:5" x14ac:dyDescent="0.25">
      <c r="A110" s="3">
        <v>41275</v>
      </c>
      <c r="B110" s="223">
        <f t="shared" ref="B110:B121" si="10">B109+$E$10</f>
        <v>868858.14998639945</v>
      </c>
      <c r="D110" s="84"/>
      <c r="E110" s="84"/>
    </row>
    <row r="111" spans="1:5" x14ac:dyDescent="0.25">
      <c r="A111" s="3">
        <v>41306</v>
      </c>
      <c r="B111" s="223">
        <f t="shared" si="10"/>
        <v>896748.79016649956</v>
      </c>
      <c r="D111" s="84"/>
      <c r="E111" s="84"/>
    </row>
    <row r="112" spans="1:5" x14ac:dyDescent="0.25">
      <c r="A112" s="3">
        <v>41334</v>
      </c>
      <c r="B112" s="223">
        <f t="shared" si="10"/>
        <v>924639.43034659966</v>
      </c>
      <c r="D112" s="84"/>
      <c r="E112" s="84"/>
    </row>
    <row r="113" spans="1:5" x14ac:dyDescent="0.25">
      <c r="A113" s="3">
        <v>41365</v>
      </c>
      <c r="B113" s="223">
        <f t="shared" si="10"/>
        <v>952530.07052669977</v>
      </c>
      <c r="D113" s="84"/>
      <c r="E113" s="84"/>
    </row>
    <row r="114" spans="1:5" x14ac:dyDescent="0.25">
      <c r="A114" s="3">
        <v>41395</v>
      </c>
      <c r="B114" s="223">
        <f t="shared" si="10"/>
        <v>980420.71070679987</v>
      </c>
      <c r="D114" s="84"/>
      <c r="E114" s="84"/>
    </row>
    <row r="115" spans="1:5" x14ac:dyDescent="0.25">
      <c r="A115" s="3">
        <v>41426</v>
      </c>
      <c r="B115" s="223">
        <f t="shared" si="10"/>
        <v>1008311.3508869</v>
      </c>
      <c r="D115" s="84"/>
      <c r="E115" s="84"/>
    </row>
    <row r="116" spans="1:5" x14ac:dyDescent="0.25">
      <c r="A116" s="3">
        <v>41456</v>
      </c>
      <c r="B116" s="223">
        <f t="shared" si="10"/>
        <v>1036201.9910670001</v>
      </c>
      <c r="D116" s="84"/>
      <c r="E116" s="84"/>
    </row>
    <row r="117" spans="1:5" x14ac:dyDescent="0.25">
      <c r="A117" s="3">
        <v>41487</v>
      </c>
      <c r="B117" s="223">
        <f t="shared" si="10"/>
        <v>1064092.6312471002</v>
      </c>
      <c r="D117" s="84"/>
      <c r="E117" s="84"/>
    </row>
    <row r="118" spans="1:5" x14ac:dyDescent="0.25">
      <c r="A118" s="3">
        <v>41518</v>
      </c>
      <c r="B118" s="223">
        <f t="shared" si="10"/>
        <v>1091983.2714272004</v>
      </c>
      <c r="D118" s="84"/>
      <c r="E118" s="84"/>
    </row>
    <row r="119" spans="1:5" x14ac:dyDescent="0.25">
      <c r="A119" s="3">
        <v>41548</v>
      </c>
      <c r="B119" s="223">
        <f t="shared" si="10"/>
        <v>1119873.9116073006</v>
      </c>
      <c r="D119" s="84"/>
      <c r="E119" s="84"/>
    </row>
    <row r="120" spans="1:5" x14ac:dyDescent="0.25">
      <c r="A120" s="3">
        <v>41579</v>
      </c>
      <c r="B120" s="223">
        <f t="shared" si="10"/>
        <v>1147764.5517874009</v>
      </c>
      <c r="D120" s="84"/>
      <c r="E120" s="84"/>
    </row>
    <row r="121" spans="1:5" x14ac:dyDescent="0.25">
      <c r="A121" s="3">
        <v>41609</v>
      </c>
      <c r="B121" s="223">
        <f t="shared" si="10"/>
        <v>1175655.1919675011</v>
      </c>
      <c r="C121" s="83">
        <f>SUM(B110:B121)</f>
        <v>12267080.051723402</v>
      </c>
      <c r="D121" s="83">
        <f>B121*12</f>
        <v>14107862.303610012</v>
      </c>
      <c r="E121" s="84"/>
    </row>
    <row r="122" spans="1:5" x14ac:dyDescent="0.25">
      <c r="A122" s="3">
        <v>41640</v>
      </c>
      <c r="B122" s="223">
        <f t="shared" ref="B122:B133" si="11">+B121+$E$11</f>
        <v>1182316.0798654465</v>
      </c>
      <c r="D122" s="84"/>
      <c r="E122" s="84"/>
    </row>
    <row r="123" spans="1:5" x14ac:dyDescent="0.25">
      <c r="A123" s="3">
        <v>41671</v>
      </c>
      <c r="B123" s="223">
        <f t="shared" si="11"/>
        <v>1188976.967763392</v>
      </c>
      <c r="D123" s="84"/>
      <c r="E123" s="84"/>
    </row>
    <row r="124" spans="1:5" x14ac:dyDescent="0.25">
      <c r="A124" s="3">
        <v>41699</v>
      </c>
      <c r="B124" s="223">
        <f t="shared" si="11"/>
        <v>1195637.8556613375</v>
      </c>
      <c r="D124" s="84"/>
      <c r="E124" s="84"/>
    </row>
    <row r="125" spans="1:5" x14ac:dyDescent="0.25">
      <c r="A125" s="3">
        <v>41730</v>
      </c>
      <c r="B125" s="223">
        <f t="shared" si="11"/>
        <v>1202298.743559283</v>
      </c>
      <c r="D125" s="84"/>
      <c r="E125" s="84"/>
    </row>
    <row r="126" spans="1:5" x14ac:dyDescent="0.25">
      <c r="A126" s="3">
        <v>41760</v>
      </c>
      <c r="B126" s="223">
        <f t="shared" si="11"/>
        <v>1208959.6314572284</v>
      </c>
      <c r="D126" s="84"/>
      <c r="E126" s="84"/>
    </row>
    <row r="127" spans="1:5" x14ac:dyDescent="0.25">
      <c r="A127" s="3">
        <v>41791</v>
      </c>
      <c r="B127" s="223">
        <f t="shared" si="11"/>
        <v>1215620.5193551739</v>
      </c>
      <c r="D127" s="84"/>
      <c r="E127" s="84"/>
    </row>
    <row r="128" spans="1:5" x14ac:dyDescent="0.25">
      <c r="A128" s="3">
        <v>41821</v>
      </c>
      <c r="B128" s="223">
        <f t="shared" si="11"/>
        <v>1222281.4072531194</v>
      </c>
      <c r="D128" s="84"/>
      <c r="E128" s="84"/>
    </row>
    <row r="129" spans="1:5" x14ac:dyDescent="0.25">
      <c r="A129" s="3">
        <v>41852</v>
      </c>
      <c r="B129" s="223">
        <f t="shared" si="11"/>
        <v>1228942.2951510649</v>
      </c>
      <c r="D129" s="84"/>
      <c r="E129" s="84"/>
    </row>
    <row r="130" spans="1:5" x14ac:dyDescent="0.25">
      <c r="A130" s="3">
        <v>41883</v>
      </c>
      <c r="B130" s="223">
        <f t="shared" si="11"/>
        <v>1235603.1830490103</v>
      </c>
      <c r="D130" s="84"/>
      <c r="E130" s="84"/>
    </row>
    <row r="131" spans="1:5" x14ac:dyDescent="0.25">
      <c r="A131" s="3">
        <v>41913</v>
      </c>
      <c r="B131" s="223">
        <f t="shared" si="11"/>
        <v>1242264.0709469558</v>
      </c>
      <c r="D131" s="84"/>
      <c r="E131" s="84"/>
    </row>
    <row r="132" spans="1:5" x14ac:dyDescent="0.25">
      <c r="A132" s="3">
        <v>41944</v>
      </c>
      <c r="B132" s="223">
        <f t="shared" si="11"/>
        <v>1248924.9588449013</v>
      </c>
      <c r="D132" s="84"/>
      <c r="E132" s="84"/>
    </row>
    <row r="133" spans="1:5" x14ac:dyDescent="0.25">
      <c r="A133" s="3">
        <v>41974</v>
      </c>
      <c r="B133" s="223">
        <f t="shared" si="11"/>
        <v>1255585.8467428468</v>
      </c>
      <c r="C133" s="83">
        <f>SUM(B122:B133)</f>
        <v>14627411.55964976</v>
      </c>
      <c r="D133" s="83">
        <f>B133*12</f>
        <v>15067030.16091416</v>
      </c>
      <c r="E133" s="84"/>
    </row>
    <row r="134" spans="1:5" x14ac:dyDescent="0.25">
      <c r="A134" s="3">
        <v>42005</v>
      </c>
      <c r="B134" s="223">
        <f>+B133+$E$12</f>
        <v>1289229.010029936</v>
      </c>
    </row>
    <row r="135" spans="1:5" x14ac:dyDescent="0.25">
      <c r="A135" s="3">
        <v>42036</v>
      </c>
      <c r="B135" s="223">
        <f t="shared" ref="B135:B145" si="12">+B134+$E$12</f>
        <v>1322872.1733170252</v>
      </c>
    </row>
    <row r="136" spans="1:5" x14ac:dyDescent="0.25">
      <c r="A136" s="3">
        <v>42064</v>
      </c>
      <c r="B136" s="223">
        <f t="shared" si="12"/>
        <v>1356515.3366041144</v>
      </c>
    </row>
    <row r="137" spans="1:5" x14ac:dyDescent="0.25">
      <c r="A137" s="3">
        <v>42095</v>
      </c>
      <c r="B137" s="223">
        <f t="shared" si="12"/>
        <v>1390158.4998912036</v>
      </c>
    </row>
    <row r="138" spans="1:5" x14ac:dyDescent="0.25">
      <c r="A138" s="3">
        <v>42125</v>
      </c>
      <c r="B138" s="223">
        <f t="shared" si="12"/>
        <v>1423801.6631782928</v>
      </c>
    </row>
    <row r="139" spans="1:5" x14ac:dyDescent="0.25">
      <c r="A139" s="3">
        <v>42156</v>
      </c>
      <c r="B139" s="223">
        <f t="shared" si="12"/>
        <v>1457444.826465382</v>
      </c>
    </row>
    <row r="140" spans="1:5" x14ac:dyDescent="0.25">
      <c r="A140" s="3">
        <v>42186</v>
      </c>
      <c r="B140" s="223">
        <f t="shared" si="12"/>
        <v>1491087.9897524712</v>
      </c>
    </row>
    <row r="141" spans="1:5" x14ac:dyDescent="0.25">
      <c r="A141" s="3">
        <v>42217</v>
      </c>
      <c r="B141" s="223">
        <f t="shared" si="12"/>
        <v>1524731.1530395604</v>
      </c>
    </row>
    <row r="142" spans="1:5" x14ac:dyDescent="0.25">
      <c r="A142" s="3">
        <v>42248</v>
      </c>
      <c r="B142" s="223">
        <f t="shared" si="12"/>
        <v>1558374.3163266496</v>
      </c>
    </row>
    <row r="143" spans="1:5" x14ac:dyDescent="0.25">
      <c r="A143" s="3">
        <v>42278</v>
      </c>
      <c r="B143" s="223">
        <f t="shared" si="12"/>
        <v>1592017.4796137388</v>
      </c>
    </row>
    <row r="144" spans="1:5" x14ac:dyDescent="0.25">
      <c r="A144" s="3">
        <v>42309</v>
      </c>
      <c r="B144" s="223">
        <f t="shared" si="12"/>
        <v>1625660.642900828</v>
      </c>
    </row>
    <row r="145" spans="1:4" x14ac:dyDescent="0.25">
      <c r="A145" s="3">
        <v>42339</v>
      </c>
      <c r="B145" s="223">
        <f t="shared" si="12"/>
        <v>1659303.8061879172</v>
      </c>
      <c r="C145" s="83">
        <f>SUM(B134:B145)</f>
        <v>17691196.89730712</v>
      </c>
      <c r="D145" s="83">
        <f>B145*12</f>
        <v>19911645.674255006</v>
      </c>
    </row>
    <row r="146" spans="1:4" x14ac:dyDescent="0.25">
      <c r="A146" s="3">
        <v>42370</v>
      </c>
      <c r="B146" s="223">
        <f>+B145+$E$13</f>
        <v>1702640.339869784</v>
      </c>
    </row>
    <row r="147" spans="1:4" x14ac:dyDescent="0.25">
      <c r="A147" s="3">
        <v>42401</v>
      </c>
      <c r="B147" s="223">
        <f t="shared" ref="B147:B157" si="13">+B146+$E$13</f>
        <v>1745976.8735516507</v>
      </c>
    </row>
    <row r="148" spans="1:4" x14ac:dyDescent="0.25">
      <c r="A148" s="3">
        <v>42430</v>
      </c>
      <c r="B148" s="223">
        <f t="shared" si="13"/>
        <v>1789313.4072335174</v>
      </c>
    </row>
    <row r="149" spans="1:4" x14ac:dyDescent="0.25">
      <c r="A149" s="3">
        <v>42461</v>
      </c>
      <c r="B149" s="223">
        <f t="shared" si="13"/>
        <v>1832649.9409153841</v>
      </c>
    </row>
    <row r="150" spans="1:4" x14ac:dyDescent="0.25">
      <c r="A150" s="3">
        <v>42491</v>
      </c>
      <c r="B150" s="223">
        <f t="shared" si="13"/>
        <v>1875986.4745972508</v>
      </c>
    </row>
    <row r="151" spans="1:4" x14ac:dyDescent="0.25">
      <c r="A151" s="3">
        <v>42522</v>
      </c>
      <c r="B151" s="223">
        <f t="shared" si="13"/>
        <v>1919323.0082791175</v>
      </c>
    </row>
    <row r="152" spans="1:4" x14ac:dyDescent="0.25">
      <c r="A152" s="3">
        <v>42552</v>
      </c>
      <c r="B152" s="223">
        <f t="shared" si="13"/>
        <v>1962659.5419609842</v>
      </c>
    </row>
    <row r="153" spans="1:4" x14ac:dyDescent="0.25">
      <c r="A153" s="3">
        <v>42583</v>
      </c>
      <c r="B153" s="223">
        <f t="shared" si="13"/>
        <v>2005996.0756428509</v>
      </c>
    </row>
    <row r="154" spans="1:4" x14ac:dyDescent="0.25">
      <c r="A154" s="3">
        <v>42614</v>
      </c>
      <c r="B154" s="223">
        <f t="shared" si="13"/>
        <v>2049332.6093247177</v>
      </c>
    </row>
    <row r="155" spans="1:4" x14ac:dyDescent="0.25">
      <c r="A155" s="3">
        <v>42644</v>
      </c>
      <c r="B155" s="223">
        <f t="shared" si="13"/>
        <v>2092669.1430065844</v>
      </c>
    </row>
    <row r="156" spans="1:4" x14ac:dyDescent="0.25">
      <c r="A156" s="3">
        <v>42675</v>
      </c>
      <c r="B156" s="223">
        <f t="shared" si="13"/>
        <v>2136005.6766884513</v>
      </c>
    </row>
    <row r="157" spans="1:4" x14ac:dyDescent="0.25">
      <c r="A157" s="3">
        <v>42705</v>
      </c>
      <c r="B157" s="223">
        <f t="shared" si="13"/>
        <v>2179342.210370318</v>
      </c>
      <c r="C157" s="83">
        <f>SUM(B146:B157)</f>
        <v>23291895.301440608</v>
      </c>
      <c r="D157" s="83">
        <f>B157*12</f>
        <v>26152106.524443816</v>
      </c>
    </row>
    <row r="158" spans="1:4" x14ac:dyDescent="0.25">
      <c r="A158" s="3">
        <v>42736</v>
      </c>
      <c r="B158" s="223">
        <f>+B157+$E$14</f>
        <v>2209506.2380789467</v>
      </c>
    </row>
    <row r="159" spans="1:4" x14ac:dyDescent="0.25">
      <c r="A159" s="3">
        <v>42767</v>
      </c>
      <c r="B159" s="223">
        <f t="shared" ref="B159:B169" si="14">+B158+$E$14</f>
        <v>2239670.2657875754</v>
      </c>
    </row>
    <row r="160" spans="1:4" x14ac:dyDescent="0.25">
      <c r="A160" s="3">
        <v>42795</v>
      </c>
      <c r="B160" s="223">
        <f t="shared" si="14"/>
        <v>2269834.2934962041</v>
      </c>
    </row>
    <row r="161" spans="1:4" x14ac:dyDescent="0.25">
      <c r="A161" s="3">
        <v>42826</v>
      </c>
      <c r="B161" s="223">
        <f t="shared" si="14"/>
        <v>2299998.3212048328</v>
      </c>
    </row>
    <row r="162" spans="1:4" x14ac:dyDescent="0.25">
      <c r="A162" s="3">
        <v>42856</v>
      </c>
      <c r="B162" s="223">
        <f t="shared" si="14"/>
        <v>2330162.3489134614</v>
      </c>
    </row>
    <row r="163" spans="1:4" x14ac:dyDescent="0.25">
      <c r="A163" s="3">
        <v>42887</v>
      </c>
      <c r="B163" s="223">
        <f t="shared" si="14"/>
        <v>2360326.3766220901</v>
      </c>
    </row>
    <row r="164" spans="1:4" x14ac:dyDescent="0.25">
      <c r="A164" s="3">
        <v>42917</v>
      </c>
      <c r="B164" s="223">
        <f t="shared" si="14"/>
        <v>2390490.4043307188</v>
      </c>
    </row>
    <row r="165" spans="1:4" x14ac:dyDescent="0.25">
      <c r="A165" s="3">
        <v>42948</v>
      </c>
      <c r="B165" s="223">
        <f t="shared" si="14"/>
        <v>2420654.4320393475</v>
      </c>
    </row>
    <row r="166" spans="1:4" x14ac:dyDescent="0.25">
      <c r="A166" s="3">
        <v>42979</v>
      </c>
      <c r="B166" s="223">
        <f t="shared" si="14"/>
        <v>2450818.4597479762</v>
      </c>
    </row>
    <row r="167" spans="1:4" x14ac:dyDescent="0.25">
      <c r="A167" s="3">
        <v>43009</v>
      </c>
      <c r="B167" s="223">
        <f t="shared" si="14"/>
        <v>2480982.4874566048</v>
      </c>
    </row>
    <row r="168" spans="1:4" x14ac:dyDescent="0.25">
      <c r="A168" s="3">
        <v>43040</v>
      </c>
      <c r="B168" s="223">
        <f t="shared" si="14"/>
        <v>2511146.5151652335</v>
      </c>
    </row>
    <row r="169" spans="1:4" x14ac:dyDescent="0.25">
      <c r="A169" s="3">
        <v>43070</v>
      </c>
      <c r="B169" s="223">
        <f t="shared" si="14"/>
        <v>2541310.5428738622</v>
      </c>
      <c r="C169" s="83">
        <f>SUM(B158:B169)</f>
        <v>28504900.685716856</v>
      </c>
      <c r="D169" s="83">
        <f>B169*12</f>
        <v>30495726.514486346</v>
      </c>
    </row>
    <row r="170" spans="1:4" x14ac:dyDescent="0.25">
      <c r="A170" s="3">
        <v>43101</v>
      </c>
      <c r="B170" s="223">
        <f>+B169+$E$15</f>
        <v>2553825.2193984105</v>
      </c>
    </row>
    <row r="171" spans="1:4" x14ac:dyDescent="0.25">
      <c r="A171" s="3">
        <v>43132</v>
      </c>
      <c r="B171" s="223">
        <f t="shared" ref="B171:B181" si="15">+B170+$E$15</f>
        <v>2566339.8959229589</v>
      </c>
    </row>
    <row r="172" spans="1:4" x14ac:dyDescent="0.25">
      <c r="A172" s="3">
        <v>43160</v>
      </c>
      <c r="B172" s="223">
        <f t="shared" si="15"/>
        <v>2578854.5724475072</v>
      </c>
    </row>
    <row r="173" spans="1:4" x14ac:dyDescent="0.25">
      <c r="A173" s="3">
        <v>43191</v>
      </c>
      <c r="B173" s="223">
        <f t="shared" si="15"/>
        <v>2591369.2489720555</v>
      </c>
    </row>
    <row r="174" spans="1:4" x14ac:dyDescent="0.25">
      <c r="A174" s="3">
        <v>43221</v>
      </c>
      <c r="B174" s="223">
        <f t="shared" si="15"/>
        <v>2603883.9254966038</v>
      </c>
    </row>
    <row r="175" spans="1:4" x14ac:dyDescent="0.25">
      <c r="A175" s="3">
        <v>43252</v>
      </c>
      <c r="B175" s="223">
        <f t="shared" si="15"/>
        <v>2616398.6020211522</v>
      </c>
    </row>
    <row r="176" spans="1:4" x14ac:dyDescent="0.25">
      <c r="A176" s="3">
        <v>43282</v>
      </c>
      <c r="B176" s="223">
        <f t="shared" si="15"/>
        <v>2628913.2785457005</v>
      </c>
    </row>
    <row r="177" spans="1:4" x14ac:dyDescent="0.25">
      <c r="A177" s="3">
        <v>43313</v>
      </c>
      <c r="B177" s="223">
        <f t="shared" si="15"/>
        <v>2641427.9550702488</v>
      </c>
    </row>
    <row r="178" spans="1:4" x14ac:dyDescent="0.25">
      <c r="A178" s="3">
        <v>43344</v>
      </c>
      <c r="B178" s="223">
        <f t="shared" si="15"/>
        <v>2653942.6315947971</v>
      </c>
    </row>
    <row r="179" spans="1:4" x14ac:dyDescent="0.25">
      <c r="A179" s="3">
        <v>43374</v>
      </c>
      <c r="B179" s="223">
        <f t="shared" si="15"/>
        <v>2666457.3081193455</v>
      </c>
    </row>
    <row r="180" spans="1:4" x14ac:dyDescent="0.25">
      <c r="A180" s="3">
        <v>43405</v>
      </c>
      <c r="B180" s="223">
        <f t="shared" si="15"/>
        <v>2678971.9846438938</v>
      </c>
    </row>
    <row r="181" spans="1:4" x14ac:dyDescent="0.25">
      <c r="A181" s="3">
        <v>43435</v>
      </c>
      <c r="B181" s="223">
        <f t="shared" si="15"/>
        <v>2691486.6611684421</v>
      </c>
      <c r="C181" s="83">
        <f>SUM(B170:B181)</f>
        <v>31471871.283401117</v>
      </c>
      <c r="D181" s="83">
        <f>B181*12</f>
        <v>32297839.934021305</v>
      </c>
    </row>
    <row r="182" spans="1:4" x14ac:dyDescent="0.25">
      <c r="A182" s="3">
        <v>43466</v>
      </c>
      <c r="B182" s="223">
        <f>+B181+$E$16</f>
        <v>2695905.7047958751</v>
      </c>
    </row>
    <row r="183" spans="1:4" x14ac:dyDescent="0.25">
      <c r="A183" s="3">
        <v>43497</v>
      </c>
      <c r="B183" s="223">
        <f t="shared" ref="B183:B193" si="16">+B182+$E$16</f>
        <v>2700324.7484233081</v>
      </c>
    </row>
    <row r="184" spans="1:4" x14ac:dyDescent="0.25">
      <c r="A184" s="3">
        <v>43525</v>
      </c>
      <c r="B184" s="223">
        <f t="shared" si="16"/>
        <v>2704743.7920507411</v>
      </c>
    </row>
    <row r="185" spans="1:4" x14ac:dyDescent="0.25">
      <c r="A185" s="3">
        <v>43556</v>
      </c>
      <c r="B185" s="223">
        <f t="shared" si="16"/>
        <v>2709162.8356781742</v>
      </c>
    </row>
    <row r="186" spans="1:4" x14ac:dyDescent="0.25">
      <c r="A186" s="3">
        <v>43586</v>
      </c>
      <c r="B186" s="223">
        <f t="shared" si="16"/>
        <v>2713581.8793056072</v>
      </c>
    </row>
    <row r="187" spans="1:4" x14ac:dyDescent="0.25">
      <c r="A187" s="3">
        <v>43617</v>
      </c>
      <c r="B187" s="223">
        <f t="shared" si="16"/>
        <v>2718000.9229330402</v>
      </c>
    </row>
    <row r="188" spans="1:4" x14ac:dyDescent="0.25">
      <c r="A188" s="3">
        <v>43647</v>
      </c>
      <c r="B188" s="223">
        <f t="shared" si="16"/>
        <v>2722419.9665604732</v>
      </c>
    </row>
    <row r="189" spans="1:4" x14ac:dyDescent="0.25">
      <c r="A189" s="3">
        <v>43678</v>
      </c>
      <c r="B189" s="223">
        <f t="shared" si="16"/>
        <v>2726839.0101879062</v>
      </c>
    </row>
    <row r="190" spans="1:4" x14ac:dyDescent="0.25">
      <c r="A190" s="3">
        <v>43709</v>
      </c>
      <c r="B190" s="223">
        <f t="shared" si="16"/>
        <v>2731258.0538153392</v>
      </c>
    </row>
    <row r="191" spans="1:4" x14ac:dyDescent="0.25">
      <c r="A191" s="3">
        <v>43739</v>
      </c>
      <c r="B191" s="223">
        <f t="shared" si="16"/>
        <v>2735677.0974427722</v>
      </c>
    </row>
    <row r="192" spans="1:4" x14ac:dyDescent="0.25">
      <c r="A192" s="3">
        <v>43770</v>
      </c>
      <c r="B192" s="223">
        <f t="shared" si="16"/>
        <v>2740096.1410702053</v>
      </c>
    </row>
    <row r="193" spans="1:4" x14ac:dyDescent="0.25">
      <c r="A193" s="3">
        <v>43800</v>
      </c>
      <c r="B193" s="223">
        <f t="shared" si="16"/>
        <v>2744515.1846976383</v>
      </c>
      <c r="C193" s="83">
        <f>SUM(B182:B193)</f>
        <v>32642525.336961079</v>
      </c>
      <c r="D193" s="83">
        <f>B193*12</f>
        <v>32934182.216371659</v>
      </c>
    </row>
    <row r="194" spans="1:4" x14ac:dyDescent="0.25">
      <c r="A194" s="3">
        <v>43831</v>
      </c>
      <c r="B194" s="223">
        <f>+B193+$E$17</f>
        <v>2742510.9925475814</v>
      </c>
    </row>
    <row r="195" spans="1:4" x14ac:dyDescent="0.25">
      <c r="A195" s="3">
        <v>43862</v>
      </c>
      <c r="B195" s="223">
        <f t="shared" ref="B195:B205" si="17">+B194+$E$17</f>
        <v>2740506.8003975246</v>
      </c>
    </row>
    <row r="196" spans="1:4" x14ac:dyDescent="0.25">
      <c r="A196" s="3">
        <v>43891</v>
      </c>
      <c r="B196" s="223">
        <f t="shared" si="17"/>
        <v>2738502.6082474678</v>
      </c>
    </row>
    <row r="197" spans="1:4" x14ac:dyDescent="0.25">
      <c r="A197" s="3">
        <v>43922</v>
      </c>
      <c r="B197" s="223">
        <f t="shared" si="17"/>
        <v>2736498.416097411</v>
      </c>
    </row>
    <row r="198" spans="1:4" x14ac:dyDescent="0.25">
      <c r="A198" s="3">
        <v>43952</v>
      </c>
      <c r="B198" s="223">
        <f t="shared" si="17"/>
        <v>2734494.2239473541</v>
      </c>
    </row>
    <row r="199" spans="1:4" x14ac:dyDescent="0.25">
      <c r="A199" s="3">
        <v>43983</v>
      </c>
      <c r="B199" s="223">
        <f t="shared" si="17"/>
        <v>2732490.0317972973</v>
      </c>
    </row>
    <row r="200" spans="1:4" x14ac:dyDescent="0.25">
      <c r="A200" s="3">
        <v>44013</v>
      </c>
      <c r="B200" s="223">
        <f t="shared" si="17"/>
        <v>2730485.8396472405</v>
      </c>
    </row>
    <row r="201" spans="1:4" x14ac:dyDescent="0.25">
      <c r="A201" s="3">
        <v>44044</v>
      </c>
      <c r="B201" s="223">
        <f t="shared" si="17"/>
        <v>2728481.6474971836</v>
      </c>
    </row>
    <row r="202" spans="1:4" x14ac:dyDescent="0.25">
      <c r="A202" s="3">
        <v>44075</v>
      </c>
      <c r="B202" s="223">
        <f t="shared" si="17"/>
        <v>2726477.4553471268</v>
      </c>
    </row>
    <row r="203" spans="1:4" x14ac:dyDescent="0.25">
      <c r="A203" s="3">
        <v>44105</v>
      </c>
      <c r="B203" s="223">
        <f t="shared" si="17"/>
        <v>2724473.26319707</v>
      </c>
    </row>
    <row r="204" spans="1:4" x14ac:dyDescent="0.25">
      <c r="A204" s="3">
        <v>44136</v>
      </c>
      <c r="B204" s="223">
        <f t="shared" si="17"/>
        <v>2722469.0710470132</v>
      </c>
    </row>
    <row r="205" spans="1:4" x14ac:dyDescent="0.25">
      <c r="A205" s="3">
        <v>44166</v>
      </c>
      <c r="B205" s="223">
        <f t="shared" si="17"/>
        <v>2720464.8788969563</v>
      </c>
      <c r="C205" s="83">
        <f>SUM(B194:B205)</f>
        <v>32777855.228667229</v>
      </c>
      <c r="D205" s="83">
        <f>B205*12</f>
        <v>32645578.546763476</v>
      </c>
    </row>
    <row r="206" spans="1:4" x14ac:dyDescent="0.25">
      <c r="A206" s="3">
        <v>44197</v>
      </c>
      <c r="B206" s="223">
        <f>+B205+$E$18</f>
        <v>2723412.410460141</v>
      </c>
    </row>
    <row r="207" spans="1:4" x14ac:dyDescent="0.25">
      <c r="A207" s="3">
        <v>44228</v>
      </c>
      <c r="B207" s="223">
        <f t="shared" ref="B207:B217" si="18">+B206+$E$18</f>
        <v>2726359.9420233257</v>
      </c>
    </row>
    <row r="208" spans="1:4" x14ac:dyDescent="0.25">
      <c r="A208" s="3">
        <v>44256</v>
      </c>
      <c r="B208" s="223">
        <f t="shared" si="18"/>
        <v>2729307.4735865104</v>
      </c>
    </row>
    <row r="209" spans="1:4" x14ac:dyDescent="0.25">
      <c r="A209" s="3">
        <v>44287</v>
      </c>
      <c r="B209" s="223">
        <f t="shared" si="18"/>
        <v>2732255.0051496951</v>
      </c>
    </row>
    <row r="210" spans="1:4" x14ac:dyDescent="0.25">
      <c r="A210" s="3">
        <v>44317</v>
      </c>
      <c r="B210" s="223">
        <f t="shared" si="18"/>
        <v>2735202.5367128798</v>
      </c>
    </row>
    <row r="211" spans="1:4" x14ac:dyDescent="0.25">
      <c r="A211" s="3">
        <v>44348</v>
      </c>
      <c r="B211" s="223">
        <f t="shared" si="18"/>
        <v>2738150.0682760645</v>
      </c>
    </row>
    <row r="212" spans="1:4" x14ac:dyDescent="0.25">
      <c r="A212" s="3">
        <v>44378</v>
      </c>
      <c r="B212" s="223">
        <f t="shared" si="18"/>
        <v>2741097.5998392492</v>
      </c>
    </row>
    <row r="213" spans="1:4" x14ac:dyDescent="0.25">
      <c r="A213" s="3">
        <v>44409</v>
      </c>
      <c r="B213" s="223">
        <f t="shared" si="18"/>
        <v>2744045.1314024338</v>
      </c>
    </row>
    <row r="214" spans="1:4" x14ac:dyDescent="0.25">
      <c r="A214" s="3">
        <v>44440</v>
      </c>
      <c r="B214" s="223">
        <f t="shared" si="18"/>
        <v>2746992.6629656185</v>
      </c>
    </row>
    <row r="215" spans="1:4" x14ac:dyDescent="0.25">
      <c r="A215" s="3">
        <v>44470</v>
      </c>
      <c r="B215" s="223">
        <f t="shared" si="18"/>
        <v>2749940.1945288032</v>
      </c>
    </row>
    <row r="216" spans="1:4" x14ac:dyDescent="0.25">
      <c r="A216" s="3">
        <v>44501</v>
      </c>
      <c r="B216" s="223">
        <f t="shared" si="18"/>
        <v>2752887.7260919879</v>
      </c>
    </row>
    <row r="217" spans="1:4" x14ac:dyDescent="0.25">
      <c r="A217" s="3">
        <v>44531</v>
      </c>
      <c r="B217" s="223">
        <f t="shared" si="18"/>
        <v>2755835.2576551726</v>
      </c>
      <c r="C217" s="83">
        <f>SUM(B206:B217)</f>
        <v>32875486.008691881</v>
      </c>
      <c r="D217" s="83">
        <f>B217*12</f>
        <v>33070023.091862071</v>
      </c>
    </row>
    <row r="218" spans="1:4" x14ac:dyDescent="0.25">
      <c r="B218" s="125">
        <f>SUM(B26:B217)</f>
        <v>263276302.3126069</v>
      </c>
    </row>
  </sheetData>
  <mergeCells count="2">
    <mergeCell ref="J18:K18"/>
    <mergeCell ref="J19:K19"/>
  </mergeCells>
  <pageMargins left="0.70866141732283505" right="0.70866141732283505" top="0.74803149606299202" bottom="0.74803149606299202" header="0.31496062992126" footer="0.31496062992126"/>
  <pageSetup orientation="landscape" r:id="rId1"/>
  <colBreaks count="1" manualBreakCount="1">
    <brk id="9" max="21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9"/>
  <sheetViews>
    <sheetView view="pageBreakPreview" topLeftCell="A17" zoomScaleNormal="100" zoomScaleSheetLayoutView="100" workbookViewId="0">
      <selection activeCell="R79" sqref="R79"/>
    </sheetView>
  </sheetViews>
  <sheetFormatPr defaultColWidth="9.33203125" defaultRowHeight="13.2" x14ac:dyDescent="0.25"/>
  <cols>
    <col min="7" max="7" width="6.6640625" bestFit="1" customWidth="1"/>
  </cols>
  <sheetData>
    <row r="1" spans="1:24" x14ac:dyDescent="0.25">
      <c r="A1" s="107" t="s">
        <v>83</v>
      </c>
      <c r="B1" s="107" t="s">
        <v>110</v>
      </c>
      <c r="C1" s="107" t="s">
        <v>111</v>
      </c>
      <c r="G1" s="21" t="s">
        <v>115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4" x14ac:dyDescent="0.25">
      <c r="A2" s="108">
        <v>36526</v>
      </c>
      <c r="B2" s="109">
        <v>738.9</v>
      </c>
      <c r="C2" s="109">
        <v>0</v>
      </c>
      <c r="G2" s="114" t="s">
        <v>99</v>
      </c>
      <c r="H2" s="114" t="s">
        <v>84</v>
      </c>
      <c r="I2" s="114" t="s">
        <v>86</v>
      </c>
      <c r="J2" s="114" t="s">
        <v>87</v>
      </c>
      <c r="K2" s="114" t="s">
        <v>88</v>
      </c>
      <c r="L2" s="114" t="s">
        <v>89</v>
      </c>
      <c r="M2" s="114" t="s">
        <v>90</v>
      </c>
      <c r="N2" s="114" t="s">
        <v>91</v>
      </c>
      <c r="O2" s="114" t="s">
        <v>92</v>
      </c>
      <c r="P2" s="114" t="s">
        <v>93</v>
      </c>
      <c r="Q2" s="114" t="s">
        <v>94</v>
      </c>
      <c r="R2" s="114" t="s">
        <v>95</v>
      </c>
      <c r="S2" s="114" t="s">
        <v>96</v>
      </c>
    </row>
    <row r="3" spans="1:24" x14ac:dyDescent="0.25">
      <c r="A3" s="108">
        <v>36557</v>
      </c>
      <c r="B3" s="109">
        <v>612.70000000000005</v>
      </c>
      <c r="C3" s="109">
        <v>0</v>
      </c>
      <c r="G3">
        <v>2000</v>
      </c>
      <c r="H3" s="113">
        <v>738.9</v>
      </c>
      <c r="I3" s="113">
        <v>612.70000000000005</v>
      </c>
      <c r="J3" s="113">
        <v>418.6</v>
      </c>
      <c r="K3" s="113">
        <v>339.2</v>
      </c>
      <c r="L3" s="113">
        <v>139.6</v>
      </c>
      <c r="M3" s="113">
        <v>34.5</v>
      </c>
      <c r="N3" s="113">
        <v>6.6</v>
      </c>
      <c r="O3" s="113">
        <v>11.5</v>
      </c>
      <c r="P3" s="113">
        <v>99.5</v>
      </c>
      <c r="Q3" s="113">
        <v>212.7</v>
      </c>
      <c r="R3" s="113">
        <v>432</v>
      </c>
      <c r="S3" s="113">
        <v>780.3</v>
      </c>
    </row>
    <row r="4" spans="1:24" x14ac:dyDescent="0.25">
      <c r="A4" s="108">
        <v>36586</v>
      </c>
      <c r="B4" s="109">
        <v>418.6</v>
      </c>
      <c r="C4" s="109">
        <v>0</v>
      </c>
      <c r="G4">
        <v>2001</v>
      </c>
      <c r="H4" s="113">
        <v>684.9</v>
      </c>
      <c r="I4" s="113">
        <v>587.6</v>
      </c>
      <c r="J4" s="113">
        <v>566.6</v>
      </c>
      <c r="K4" s="113">
        <v>293.8</v>
      </c>
      <c r="L4" s="113">
        <v>111.5</v>
      </c>
      <c r="M4" s="113">
        <v>29.8</v>
      </c>
      <c r="N4" s="113">
        <v>9.3000000000000007</v>
      </c>
      <c r="O4" s="113">
        <v>0</v>
      </c>
      <c r="P4" s="113">
        <v>73.599999999999994</v>
      </c>
      <c r="Q4" s="113">
        <v>232.5</v>
      </c>
      <c r="R4" s="113">
        <v>325.8</v>
      </c>
      <c r="S4" s="113">
        <v>505</v>
      </c>
      <c r="U4" s="113"/>
    </row>
    <row r="5" spans="1:24" x14ac:dyDescent="0.25">
      <c r="A5" s="108">
        <v>36617</v>
      </c>
      <c r="B5" s="109">
        <v>339.2</v>
      </c>
      <c r="C5" s="109">
        <v>0</v>
      </c>
      <c r="G5">
        <v>2002</v>
      </c>
      <c r="H5" s="113">
        <v>572.20000000000005</v>
      </c>
      <c r="I5" s="113">
        <v>540.20000000000005</v>
      </c>
      <c r="J5" s="113">
        <v>545.6</v>
      </c>
      <c r="K5" s="113">
        <v>329.5</v>
      </c>
      <c r="L5" s="113">
        <v>227.5</v>
      </c>
      <c r="M5" s="113">
        <v>36.200000000000003</v>
      </c>
      <c r="N5" s="113">
        <v>0</v>
      </c>
      <c r="O5" s="113">
        <v>0.2</v>
      </c>
      <c r="P5" s="113">
        <v>21.8</v>
      </c>
      <c r="Q5" s="113">
        <v>292.2</v>
      </c>
      <c r="R5" s="113">
        <v>445</v>
      </c>
      <c r="S5" s="113">
        <v>619.4</v>
      </c>
      <c r="U5" s="113"/>
    </row>
    <row r="6" spans="1:24" x14ac:dyDescent="0.25">
      <c r="A6" s="108">
        <v>36647</v>
      </c>
      <c r="B6" s="109">
        <v>139.6</v>
      </c>
      <c r="C6" s="109">
        <v>23.7</v>
      </c>
      <c r="G6">
        <v>2003</v>
      </c>
      <c r="H6" s="113">
        <v>814.5</v>
      </c>
      <c r="I6" s="113">
        <v>699</v>
      </c>
      <c r="J6" s="113">
        <v>581.1</v>
      </c>
      <c r="K6" s="113">
        <v>372.5</v>
      </c>
      <c r="L6" s="113">
        <v>177.9</v>
      </c>
      <c r="M6" s="113">
        <v>43.4</v>
      </c>
      <c r="N6" s="113">
        <v>0.2</v>
      </c>
      <c r="O6" s="113">
        <v>2</v>
      </c>
      <c r="P6" s="113">
        <v>54.9</v>
      </c>
      <c r="Q6" s="113">
        <v>276</v>
      </c>
      <c r="R6" s="113">
        <v>398.5</v>
      </c>
      <c r="S6" s="113">
        <v>561.5</v>
      </c>
      <c r="U6" s="113"/>
    </row>
    <row r="7" spans="1:24" x14ac:dyDescent="0.25">
      <c r="A7" s="108">
        <v>36678</v>
      </c>
      <c r="B7" s="109">
        <v>34.5</v>
      </c>
      <c r="C7" s="109">
        <v>41.1</v>
      </c>
      <c r="G7">
        <v>2004</v>
      </c>
      <c r="H7" s="113">
        <v>849.1</v>
      </c>
      <c r="I7" s="113">
        <v>631.70000000000005</v>
      </c>
      <c r="J7" s="113">
        <v>487.3</v>
      </c>
      <c r="K7" s="113">
        <v>331.5</v>
      </c>
      <c r="L7" s="113">
        <v>158.9</v>
      </c>
      <c r="M7" s="113">
        <v>44.2</v>
      </c>
      <c r="N7" s="113">
        <v>3.6</v>
      </c>
      <c r="O7" s="113">
        <v>12.8</v>
      </c>
      <c r="P7" s="113">
        <v>30</v>
      </c>
      <c r="Q7" s="113">
        <v>226.3</v>
      </c>
      <c r="R7" s="113">
        <v>379.1</v>
      </c>
      <c r="S7" s="113">
        <v>643.4</v>
      </c>
      <c r="U7" s="113"/>
    </row>
    <row r="8" spans="1:24" x14ac:dyDescent="0.25">
      <c r="A8" s="108">
        <v>36708</v>
      </c>
      <c r="B8" s="109">
        <v>6.6</v>
      </c>
      <c r="C8" s="109">
        <v>71.8</v>
      </c>
      <c r="G8">
        <v>2005</v>
      </c>
      <c r="H8" s="113">
        <v>770</v>
      </c>
      <c r="I8" s="113">
        <v>616.4</v>
      </c>
      <c r="J8" s="113">
        <v>608.6</v>
      </c>
      <c r="K8" s="113">
        <v>306.8</v>
      </c>
      <c r="L8" s="113">
        <v>189.4</v>
      </c>
      <c r="M8" s="113">
        <v>8.9</v>
      </c>
      <c r="N8" s="113">
        <v>0</v>
      </c>
      <c r="O8" s="113">
        <v>0.2</v>
      </c>
      <c r="P8" s="113">
        <v>22.6</v>
      </c>
      <c r="Q8" s="113">
        <v>220.2</v>
      </c>
      <c r="R8" s="113">
        <v>388.4</v>
      </c>
      <c r="S8" s="113">
        <v>665.3</v>
      </c>
      <c r="U8" s="113"/>
    </row>
    <row r="9" spans="1:24" x14ac:dyDescent="0.25">
      <c r="A9" s="108">
        <v>36739</v>
      </c>
      <c r="B9" s="109">
        <v>11.5</v>
      </c>
      <c r="C9" s="109">
        <v>92.5</v>
      </c>
      <c r="G9">
        <v>2006</v>
      </c>
      <c r="H9" s="113">
        <v>551.79999999999995</v>
      </c>
      <c r="I9" s="113">
        <v>604.29999999999995</v>
      </c>
      <c r="J9" s="113">
        <v>516.6</v>
      </c>
      <c r="K9" s="113">
        <v>293.3</v>
      </c>
      <c r="L9" s="113">
        <v>136.9</v>
      </c>
      <c r="M9" s="113">
        <v>19.5</v>
      </c>
      <c r="N9" s="113">
        <v>0</v>
      </c>
      <c r="O9" s="113">
        <v>4.2</v>
      </c>
      <c r="P9" s="113">
        <v>80.900000000000006</v>
      </c>
      <c r="Q9" s="113">
        <v>288.3</v>
      </c>
      <c r="R9" s="113">
        <v>382.2</v>
      </c>
      <c r="S9" s="113">
        <v>500.5</v>
      </c>
      <c r="U9" s="113"/>
    </row>
    <row r="10" spans="1:24" x14ac:dyDescent="0.25">
      <c r="A10" s="108">
        <v>36770</v>
      </c>
      <c r="B10" s="109">
        <v>99.5</v>
      </c>
      <c r="C10" s="109">
        <v>35.200000000000003</v>
      </c>
      <c r="G10">
        <v>2007</v>
      </c>
      <c r="H10" s="113">
        <v>647.1</v>
      </c>
      <c r="I10" s="113">
        <v>740.1</v>
      </c>
      <c r="J10" s="113">
        <v>546.70000000000005</v>
      </c>
      <c r="K10" s="113">
        <v>356.4</v>
      </c>
      <c r="L10" s="113">
        <v>136.4</v>
      </c>
      <c r="M10" s="113">
        <v>16.5</v>
      </c>
      <c r="N10" s="113">
        <v>3.2</v>
      </c>
      <c r="O10" s="113">
        <v>5.2</v>
      </c>
      <c r="P10" s="113">
        <v>36.9</v>
      </c>
      <c r="Q10" s="113">
        <v>137.69999999999999</v>
      </c>
      <c r="R10" s="113">
        <v>462.5</v>
      </c>
      <c r="S10" s="113">
        <v>630.70000000000005</v>
      </c>
      <c r="U10" s="113"/>
    </row>
    <row r="11" spans="1:24" x14ac:dyDescent="0.25">
      <c r="A11" s="108">
        <v>36800</v>
      </c>
      <c r="B11" s="109">
        <v>212.7</v>
      </c>
      <c r="C11" s="109">
        <v>1.2</v>
      </c>
      <c r="G11">
        <v>2008</v>
      </c>
      <c r="H11" s="113">
        <v>623.5</v>
      </c>
      <c r="I11" s="113">
        <v>674.7</v>
      </c>
      <c r="J11" s="113">
        <v>610.20000000000005</v>
      </c>
      <c r="K11" s="113">
        <v>253.9</v>
      </c>
      <c r="L11" s="113">
        <v>193.5</v>
      </c>
      <c r="M11" s="113">
        <v>22.7</v>
      </c>
      <c r="N11" s="113">
        <v>1</v>
      </c>
      <c r="O11" s="113">
        <v>12.7</v>
      </c>
      <c r="P11" s="113">
        <v>59.5</v>
      </c>
      <c r="Q11" s="113">
        <v>278.60000000000002</v>
      </c>
      <c r="R11" s="113">
        <v>451.6</v>
      </c>
      <c r="S11" s="113">
        <v>654.6</v>
      </c>
      <c r="U11" s="113"/>
    </row>
    <row r="12" spans="1:24" ht="14.25" customHeight="1" x14ac:dyDescent="0.3">
      <c r="A12" s="108">
        <v>36831</v>
      </c>
      <c r="B12" s="109">
        <v>432</v>
      </c>
      <c r="C12" s="109">
        <v>0</v>
      </c>
      <c r="G12">
        <v>2009</v>
      </c>
      <c r="H12" s="113">
        <v>830.2</v>
      </c>
      <c r="I12" s="113">
        <v>606.4</v>
      </c>
      <c r="J12" s="113">
        <v>533.79999999999995</v>
      </c>
      <c r="K12" s="113">
        <v>305.8</v>
      </c>
      <c r="L12" s="113">
        <v>158.80000000000001</v>
      </c>
      <c r="M12" s="113">
        <v>49.3</v>
      </c>
      <c r="N12" s="113">
        <v>6.2</v>
      </c>
      <c r="O12" s="113">
        <v>9.8000000000000007</v>
      </c>
      <c r="P12" s="113">
        <v>55.2</v>
      </c>
      <c r="Q12" s="113">
        <v>287.8</v>
      </c>
      <c r="R12" s="113">
        <v>361.2</v>
      </c>
      <c r="S12" s="113">
        <v>631.29999999999995</v>
      </c>
      <c r="U12" s="113"/>
      <c r="X12" s="112"/>
    </row>
    <row r="13" spans="1:24" x14ac:dyDescent="0.25">
      <c r="A13" s="108">
        <v>36861</v>
      </c>
      <c r="B13" s="109">
        <v>780.3</v>
      </c>
      <c r="C13" s="109">
        <v>0</v>
      </c>
      <c r="G13">
        <v>2010</v>
      </c>
      <c r="H13" s="113">
        <v>720</v>
      </c>
      <c r="I13" s="113">
        <v>598.29999999999995</v>
      </c>
      <c r="J13" s="113">
        <v>422.8</v>
      </c>
      <c r="K13" s="113">
        <v>225.1</v>
      </c>
      <c r="L13" s="113">
        <v>107.9</v>
      </c>
      <c r="M13" s="113">
        <v>21.7</v>
      </c>
      <c r="N13" s="113">
        <v>1.8</v>
      </c>
      <c r="O13" s="113">
        <v>2.1</v>
      </c>
      <c r="P13" s="113">
        <v>78.099999999999994</v>
      </c>
      <c r="Q13" s="113">
        <v>24.56</v>
      </c>
      <c r="R13" s="113">
        <v>405.3</v>
      </c>
      <c r="S13" s="113">
        <v>676.2</v>
      </c>
      <c r="U13" s="113"/>
    </row>
    <row r="14" spans="1:24" x14ac:dyDescent="0.25">
      <c r="A14" s="108">
        <v>36892</v>
      </c>
      <c r="B14" s="109">
        <v>684.9</v>
      </c>
      <c r="C14" s="109">
        <v>0</v>
      </c>
      <c r="G14">
        <v>2011</v>
      </c>
      <c r="H14" s="113">
        <v>775.3</v>
      </c>
      <c r="I14" s="113">
        <v>654.20000000000005</v>
      </c>
      <c r="J14" s="113">
        <v>572.79999999999995</v>
      </c>
      <c r="K14" s="113">
        <v>332.3</v>
      </c>
      <c r="L14" s="113">
        <v>134.1</v>
      </c>
      <c r="M14" s="113">
        <v>19</v>
      </c>
      <c r="N14" s="113">
        <v>0</v>
      </c>
      <c r="O14" s="113">
        <v>0</v>
      </c>
      <c r="P14" s="113">
        <v>48.2</v>
      </c>
      <c r="Q14" s="113">
        <v>235.5</v>
      </c>
      <c r="R14" s="113">
        <v>341.9</v>
      </c>
      <c r="S14" s="113">
        <v>534</v>
      </c>
      <c r="U14" s="113"/>
    </row>
    <row r="15" spans="1:24" x14ac:dyDescent="0.25">
      <c r="A15" s="108">
        <v>36925</v>
      </c>
      <c r="B15" s="109">
        <v>587.6</v>
      </c>
      <c r="C15" s="109">
        <v>0</v>
      </c>
      <c r="G15">
        <v>2012</v>
      </c>
      <c r="H15" s="113">
        <v>611.1</v>
      </c>
      <c r="I15" s="113">
        <v>531.70000000000005</v>
      </c>
      <c r="J15" s="113">
        <v>349.4</v>
      </c>
      <c r="K15" s="113">
        <v>321.7</v>
      </c>
      <c r="L15" s="113">
        <v>80.7</v>
      </c>
      <c r="M15" s="113">
        <v>23.2</v>
      </c>
      <c r="N15" s="113">
        <v>0</v>
      </c>
      <c r="O15" s="113">
        <v>2</v>
      </c>
      <c r="P15" s="113">
        <v>85</v>
      </c>
      <c r="Q15" s="113">
        <v>242.5</v>
      </c>
      <c r="R15" s="113">
        <v>434</v>
      </c>
      <c r="S15" s="113">
        <v>533.5</v>
      </c>
      <c r="U15" s="113"/>
    </row>
    <row r="16" spans="1:24" x14ac:dyDescent="0.25">
      <c r="A16" s="108">
        <v>36958</v>
      </c>
      <c r="B16" s="109">
        <v>566.6</v>
      </c>
      <c r="C16" s="109">
        <v>0</v>
      </c>
      <c r="G16">
        <v>2013</v>
      </c>
      <c r="H16" s="113">
        <v>624.4</v>
      </c>
      <c r="I16" s="113">
        <v>631.5</v>
      </c>
      <c r="J16" s="113">
        <v>554.79999999999995</v>
      </c>
      <c r="K16" s="113">
        <v>358.6</v>
      </c>
      <c r="L16" s="113">
        <v>109.1</v>
      </c>
      <c r="M16" s="113">
        <v>33</v>
      </c>
      <c r="N16" s="113">
        <v>1.3</v>
      </c>
      <c r="O16" s="113">
        <v>4.4000000000000004</v>
      </c>
      <c r="P16" s="113">
        <v>83</v>
      </c>
      <c r="Q16" s="113">
        <v>208.5</v>
      </c>
      <c r="R16" s="113">
        <v>478.2</v>
      </c>
      <c r="S16" s="113">
        <v>687.9</v>
      </c>
      <c r="U16" s="113"/>
    </row>
    <row r="17" spans="1:21" x14ac:dyDescent="0.25">
      <c r="A17" s="108">
        <v>36991</v>
      </c>
      <c r="B17" s="109">
        <v>293.8</v>
      </c>
      <c r="C17" s="109">
        <v>1.4</v>
      </c>
      <c r="G17">
        <v>2014</v>
      </c>
      <c r="H17" s="113">
        <v>825.9</v>
      </c>
      <c r="I17" s="113">
        <v>737.1</v>
      </c>
      <c r="J17" s="113">
        <v>690.6</v>
      </c>
      <c r="K17" s="113">
        <v>356.9</v>
      </c>
      <c r="L17" s="113">
        <v>132.1</v>
      </c>
      <c r="M17" s="113">
        <v>14.1</v>
      </c>
      <c r="N17" s="113">
        <v>4</v>
      </c>
      <c r="O17" s="113">
        <v>8.8000000000000007</v>
      </c>
      <c r="P17" s="113">
        <v>69.7</v>
      </c>
      <c r="Q17" s="113">
        <v>224.3</v>
      </c>
      <c r="R17" s="113">
        <v>482.1</v>
      </c>
      <c r="S17" s="113">
        <v>557.29999999999995</v>
      </c>
      <c r="U17" s="113"/>
    </row>
    <row r="18" spans="1:21" x14ac:dyDescent="0.25">
      <c r="A18" s="108">
        <v>37024</v>
      </c>
      <c r="B18" s="109">
        <v>111.5</v>
      </c>
      <c r="C18" s="109">
        <v>12.2</v>
      </c>
      <c r="G18">
        <v>2015</v>
      </c>
      <c r="H18" s="113">
        <v>792.39999999999975</v>
      </c>
      <c r="I18" s="113">
        <v>856.8</v>
      </c>
      <c r="J18" s="113">
        <v>615.49999999999989</v>
      </c>
      <c r="K18" s="113">
        <v>313.7</v>
      </c>
      <c r="L18" s="113">
        <v>89.3</v>
      </c>
      <c r="M18" s="113">
        <v>33.800000000000004</v>
      </c>
      <c r="N18" s="113">
        <v>4</v>
      </c>
      <c r="O18" s="113">
        <v>4.4000000000000004</v>
      </c>
      <c r="P18" s="113">
        <v>31.099999999999994</v>
      </c>
      <c r="Q18" s="113">
        <v>249.8</v>
      </c>
      <c r="R18" s="113">
        <v>345</v>
      </c>
      <c r="S18" s="113">
        <v>429.70000000000005</v>
      </c>
      <c r="U18" s="113"/>
    </row>
    <row r="19" spans="1:21" x14ac:dyDescent="0.25">
      <c r="A19" s="108">
        <v>37057</v>
      </c>
      <c r="B19" s="109">
        <v>29.8</v>
      </c>
      <c r="C19" s="109">
        <v>79.7</v>
      </c>
      <c r="G19">
        <v>2016</v>
      </c>
      <c r="H19" s="104">
        <v>670.4</v>
      </c>
      <c r="I19" s="104">
        <v>588.4</v>
      </c>
      <c r="J19">
        <v>476.0999999999998</v>
      </c>
      <c r="K19">
        <v>394.8</v>
      </c>
      <c r="L19">
        <v>142.50000000000003</v>
      </c>
      <c r="M19">
        <v>24.200000000000003</v>
      </c>
      <c r="N19">
        <v>0</v>
      </c>
      <c r="O19">
        <v>0</v>
      </c>
      <c r="P19">
        <v>25.900000000000006</v>
      </c>
      <c r="Q19">
        <v>194.20000000000002</v>
      </c>
      <c r="R19">
        <v>337.80000000000007</v>
      </c>
      <c r="S19">
        <v>607.99999999999989</v>
      </c>
      <c r="U19" s="113"/>
    </row>
    <row r="20" spans="1:21" x14ac:dyDescent="0.25">
      <c r="A20" s="108">
        <v>37090</v>
      </c>
      <c r="B20" s="109">
        <v>9.3000000000000007</v>
      </c>
      <c r="C20" s="109">
        <v>100.9</v>
      </c>
      <c r="G20">
        <v>2017</v>
      </c>
      <c r="H20" s="104">
        <v>608.9</v>
      </c>
      <c r="I20" s="104">
        <v>510.4</v>
      </c>
      <c r="J20">
        <v>574</v>
      </c>
      <c r="K20">
        <v>257.49999999999994</v>
      </c>
      <c r="L20">
        <v>177</v>
      </c>
      <c r="M20">
        <v>26.699999999999996</v>
      </c>
      <c r="N20">
        <v>0</v>
      </c>
      <c r="O20">
        <v>11.6</v>
      </c>
      <c r="P20">
        <v>49.1</v>
      </c>
      <c r="Q20">
        <v>153.99999999999997</v>
      </c>
      <c r="R20">
        <v>414.2</v>
      </c>
      <c r="S20">
        <v>718.49999999999989</v>
      </c>
      <c r="U20" s="113"/>
    </row>
    <row r="21" spans="1:21" x14ac:dyDescent="0.25">
      <c r="A21" s="108">
        <v>37123</v>
      </c>
      <c r="B21" s="109">
        <v>0</v>
      </c>
      <c r="C21" s="109">
        <v>160</v>
      </c>
      <c r="G21">
        <v>2018</v>
      </c>
      <c r="H21" s="104">
        <v>732.29999999999984</v>
      </c>
      <c r="I21" s="104">
        <v>555.00000000000023</v>
      </c>
      <c r="J21">
        <v>553.99999999999989</v>
      </c>
      <c r="K21">
        <v>437.20000000000005</v>
      </c>
      <c r="L21">
        <v>75.3</v>
      </c>
      <c r="M21">
        <v>14.799999999999999</v>
      </c>
      <c r="N21">
        <v>0</v>
      </c>
      <c r="O21">
        <v>1.2</v>
      </c>
      <c r="P21">
        <v>41.399999999999991</v>
      </c>
      <c r="Q21">
        <v>289.40000000000003</v>
      </c>
      <c r="R21">
        <v>494.1</v>
      </c>
      <c r="S21">
        <v>563.60000000000014</v>
      </c>
      <c r="U21" s="113"/>
    </row>
    <row r="22" spans="1:21" x14ac:dyDescent="0.25">
      <c r="A22" s="108">
        <v>37156</v>
      </c>
      <c r="B22" s="109">
        <v>73.599999999999994</v>
      </c>
      <c r="C22" s="109">
        <v>35.700000000000003</v>
      </c>
      <c r="G22">
        <v>2019</v>
      </c>
      <c r="H22" s="104">
        <v>764.5</v>
      </c>
      <c r="I22" s="104">
        <v>621.70000000000016</v>
      </c>
      <c r="J22">
        <v>593.90000000000009</v>
      </c>
      <c r="K22">
        <v>346.8</v>
      </c>
      <c r="L22">
        <v>180.99999999999997</v>
      </c>
      <c r="M22">
        <v>35.5</v>
      </c>
      <c r="N22">
        <v>0</v>
      </c>
      <c r="O22">
        <v>0.89999999999999991</v>
      </c>
      <c r="P22">
        <v>38.400000000000006</v>
      </c>
      <c r="Q22">
        <v>236.5</v>
      </c>
      <c r="R22">
        <v>513.30000000000007</v>
      </c>
      <c r="S22">
        <v>582.4</v>
      </c>
      <c r="U22" s="113"/>
    </row>
    <row r="23" spans="1:21" x14ac:dyDescent="0.25">
      <c r="A23" s="108">
        <v>37189</v>
      </c>
      <c r="B23" s="109">
        <v>232.5</v>
      </c>
      <c r="C23" s="109">
        <v>2</v>
      </c>
      <c r="G23" s="114" t="s">
        <v>114</v>
      </c>
      <c r="H23" s="115">
        <f>TREND(H3:H22,$G$3:$G$22,2021)</f>
        <v>714.88526315789454</v>
      </c>
      <c r="I23" s="115">
        <f t="shared" ref="I23:S23" si="0">TREND(I3:I22,$G$3:$G$22,2021)</f>
        <v>633.13691729323307</v>
      </c>
      <c r="J23" s="115">
        <f t="shared" si="0"/>
        <v>570.20496240601551</v>
      </c>
      <c r="K23" s="115">
        <f t="shared" si="0"/>
        <v>347.85443609022559</v>
      </c>
      <c r="L23" s="115">
        <f t="shared" si="0"/>
        <v>116.77075187969967</v>
      </c>
      <c r="M23" s="115">
        <f t="shared" si="0"/>
        <v>22.306691729323347</v>
      </c>
      <c r="N23" s="115">
        <v>0</v>
      </c>
      <c r="O23" s="115">
        <f t="shared" si="0"/>
        <v>3.7367669172932096</v>
      </c>
      <c r="P23" s="115">
        <f t="shared" si="0"/>
        <v>45.631428571428614</v>
      </c>
      <c r="Q23" s="115">
        <f t="shared" si="0"/>
        <v>209.59351879699216</v>
      </c>
      <c r="R23" s="115">
        <f t="shared" si="0"/>
        <v>447.04992481202953</v>
      </c>
      <c r="S23" s="115">
        <f t="shared" si="0"/>
        <v>574.00684210526288</v>
      </c>
      <c r="U23" s="113"/>
    </row>
    <row r="24" spans="1:21" x14ac:dyDescent="0.25">
      <c r="A24" s="108">
        <v>37222</v>
      </c>
      <c r="B24" s="109">
        <v>325.8</v>
      </c>
      <c r="C24" s="109">
        <v>0</v>
      </c>
    </row>
    <row r="25" spans="1:21" x14ac:dyDescent="0.25">
      <c r="A25" s="108">
        <v>37255</v>
      </c>
      <c r="B25" s="109">
        <v>505</v>
      </c>
      <c r="C25" s="109">
        <v>0</v>
      </c>
      <c r="G25" s="21" t="s">
        <v>116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21" x14ac:dyDescent="0.25">
      <c r="A26" s="108">
        <v>37275</v>
      </c>
      <c r="B26" s="109">
        <v>572.20000000000005</v>
      </c>
      <c r="C26" s="109">
        <v>0</v>
      </c>
      <c r="G26" s="114" t="s">
        <v>99</v>
      </c>
      <c r="H26" s="114" t="s">
        <v>84</v>
      </c>
      <c r="I26" s="114" t="s">
        <v>86</v>
      </c>
      <c r="J26" s="114" t="s">
        <v>87</v>
      </c>
      <c r="K26" s="114" t="s">
        <v>88</v>
      </c>
      <c r="L26" s="114" t="s">
        <v>89</v>
      </c>
      <c r="M26" s="114" t="s">
        <v>90</v>
      </c>
      <c r="N26" s="114" t="s">
        <v>91</v>
      </c>
      <c r="O26" s="114" t="s">
        <v>92</v>
      </c>
      <c r="P26" s="114" t="s">
        <v>93</v>
      </c>
      <c r="Q26" s="114" t="s">
        <v>94</v>
      </c>
      <c r="R26" s="114" t="s">
        <v>95</v>
      </c>
      <c r="S26" s="114" t="s">
        <v>96</v>
      </c>
    </row>
    <row r="27" spans="1:21" x14ac:dyDescent="0.25">
      <c r="A27" s="108">
        <v>37308</v>
      </c>
      <c r="B27" s="109">
        <v>540.20000000000005</v>
      </c>
      <c r="C27" s="109">
        <v>0</v>
      </c>
      <c r="G27">
        <v>2000</v>
      </c>
      <c r="H27" s="109">
        <v>0</v>
      </c>
      <c r="I27" s="109">
        <v>0</v>
      </c>
      <c r="J27" s="109">
        <v>0</v>
      </c>
      <c r="K27" s="109">
        <v>0</v>
      </c>
      <c r="L27" s="109">
        <v>23.7</v>
      </c>
      <c r="M27" s="109">
        <v>41.1</v>
      </c>
      <c r="N27" s="109">
        <v>71.8</v>
      </c>
      <c r="O27" s="109">
        <v>92.5</v>
      </c>
      <c r="P27" s="109">
        <v>35.200000000000003</v>
      </c>
      <c r="Q27" s="109">
        <v>1.2</v>
      </c>
      <c r="R27" s="109">
        <v>0</v>
      </c>
      <c r="S27" s="109">
        <v>0</v>
      </c>
    </row>
    <row r="28" spans="1:21" x14ac:dyDescent="0.25">
      <c r="A28" s="108">
        <v>37341</v>
      </c>
      <c r="B28" s="109">
        <v>545.6</v>
      </c>
      <c r="C28" s="109">
        <v>0</v>
      </c>
      <c r="G28">
        <v>2001</v>
      </c>
      <c r="H28" s="109">
        <v>0</v>
      </c>
      <c r="I28" s="109">
        <v>0</v>
      </c>
      <c r="J28" s="109">
        <v>0</v>
      </c>
      <c r="K28" s="109">
        <v>1.4</v>
      </c>
      <c r="L28" s="109">
        <v>12.2</v>
      </c>
      <c r="M28" s="109">
        <v>79.7</v>
      </c>
      <c r="N28" s="109">
        <v>100.9</v>
      </c>
      <c r="O28" s="109">
        <v>160</v>
      </c>
      <c r="P28" s="109">
        <v>35.700000000000003</v>
      </c>
      <c r="Q28" s="109">
        <v>2</v>
      </c>
      <c r="R28" s="109">
        <v>0</v>
      </c>
      <c r="S28" s="109">
        <v>0</v>
      </c>
    </row>
    <row r="29" spans="1:21" x14ac:dyDescent="0.25">
      <c r="A29" s="108">
        <v>37374</v>
      </c>
      <c r="B29" s="109">
        <v>329.5</v>
      </c>
      <c r="C29" s="109">
        <v>8.3000000000000007</v>
      </c>
      <c r="G29">
        <v>2002</v>
      </c>
      <c r="H29" s="109">
        <v>0</v>
      </c>
      <c r="I29" s="109">
        <v>0</v>
      </c>
      <c r="J29" s="109">
        <v>0</v>
      </c>
      <c r="K29" s="109">
        <v>8.3000000000000007</v>
      </c>
      <c r="L29" s="109">
        <v>7.8</v>
      </c>
      <c r="M29" s="109">
        <v>70</v>
      </c>
      <c r="N29" s="109">
        <v>192.4</v>
      </c>
      <c r="O29" s="109">
        <v>142.69999999999999</v>
      </c>
      <c r="P29" s="109">
        <v>87.6</v>
      </c>
      <c r="Q29" s="109">
        <v>10</v>
      </c>
      <c r="R29" s="109">
        <v>0</v>
      </c>
      <c r="S29" s="109">
        <v>0</v>
      </c>
    </row>
    <row r="30" spans="1:21" x14ac:dyDescent="0.25">
      <c r="A30" s="108">
        <v>37407</v>
      </c>
      <c r="B30" s="109">
        <v>227.5</v>
      </c>
      <c r="C30" s="109">
        <v>7.8</v>
      </c>
      <c r="G30">
        <v>2003</v>
      </c>
      <c r="H30" s="109">
        <v>0</v>
      </c>
      <c r="I30" s="109">
        <v>0</v>
      </c>
      <c r="J30" s="109">
        <v>0</v>
      </c>
      <c r="K30" s="109">
        <v>2.4</v>
      </c>
      <c r="L30" s="109">
        <v>0</v>
      </c>
      <c r="M30" s="109">
        <v>52.9</v>
      </c>
      <c r="N30" s="109">
        <v>118.3</v>
      </c>
      <c r="O30" s="109">
        <v>128</v>
      </c>
      <c r="P30" s="109">
        <v>24</v>
      </c>
      <c r="Q30" s="109">
        <v>0</v>
      </c>
      <c r="R30" s="109">
        <v>0</v>
      </c>
      <c r="S30" s="109">
        <v>0</v>
      </c>
    </row>
    <row r="31" spans="1:21" x14ac:dyDescent="0.25">
      <c r="A31" s="108">
        <v>37408</v>
      </c>
      <c r="B31" s="109">
        <v>36.200000000000003</v>
      </c>
      <c r="C31" s="109">
        <v>70</v>
      </c>
      <c r="G31">
        <v>2004</v>
      </c>
      <c r="H31" s="109">
        <v>0</v>
      </c>
      <c r="I31" s="109">
        <v>0</v>
      </c>
      <c r="J31" s="109">
        <v>0</v>
      </c>
      <c r="K31" s="109">
        <v>0</v>
      </c>
      <c r="L31" s="109">
        <v>8.6</v>
      </c>
      <c r="M31" s="109">
        <v>31.6</v>
      </c>
      <c r="N31" s="109">
        <v>86.4</v>
      </c>
      <c r="O31" s="109">
        <v>59.6</v>
      </c>
      <c r="P31" s="109">
        <v>41.2</v>
      </c>
      <c r="Q31" s="109">
        <v>1.5</v>
      </c>
      <c r="R31" s="109">
        <v>0</v>
      </c>
      <c r="S31" s="109">
        <v>0</v>
      </c>
      <c r="T31" s="109"/>
    </row>
    <row r="32" spans="1:21" x14ac:dyDescent="0.25">
      <c r="A32" s="108">
        <v>37440</v>
      </c>
      <c r="B32" s="109">
        <v>0</v>
      </c>
      <c r="C32" s="109">
        <v>192.4</v>
      </c>
      <c r="G32">
        <v>2005</v>
      </c>
      <c r="H32" s="109">
        <v>0</v>
      </c>
      <c r="I32" s="109">
        <v>0</v>
      </c>
      <c r="J32" s="109">
        <v>0</v>
      </c>
      <c r="K32" s="109">
        <v>0</v>
      </c>
      <c r="L32" s="109">
        <v>0.8</v>
      </c>
      <c r="M32" s="109">
        <v>146.30000000000001</v>
      </c>
      <c r="N32" s="109">
        <v>188.7</v>
      </c>
      <c r="O32" s="109">
        <v>140.69999999999999</v>
      </c>
      <c r="P32" s="109">
        <v>52.1</v>
      </c>
      <c r="Q32" s="109">
        <v>7.6</v>
      </c>
      <c r="R32" s="109">
        <v>0</v>
      </c>
      <c r="S32" s="109">
        <v>0</v>
      </c>
    </row>
    <row r="33" spans="1:19" x14ac:dyDescent="0.25">
      <c r="A33" s="108">
        <v>37473</v>
      </c>
      <c r="B33" s="109">
        <v>0.2</v>
      </c>
      <c r="C33" s="109">
        <v>142.69999999999999</v>
      </c>
      <c r="G33">
        <v>2006</v>
      </c>
      <c r="H33" s="109">
        <v>0</v>
      </c>
      <c r="I33" s="109">
        <v>0</v>
      </c>
      <c r="J33" s="109">
        <v>0</v>
      </c>
      <c r="K33" s="109">
        <v>0</v>
      </c>
      <c r="L33" s="109">
        <v>26</v>
      </c>
      <c r="M33" s="109">
        <v>73.599999999999994</v>
      </c>
      <c r="N33" s="109">
        <v>167.3</v>
      </c>
      <c r="O33" s="109">
        <v>101.6</v>
      </c>
      <c r="P33" s="109">
        <v>12.9</v>
      </c>
      <c r="Q33" s="109">
        <v>1.1000000000000001</v>
      </c>
      <c r="R33" s="109">
        <v>0</v>
      </c>
      <c r="S33" s="109">
        <v>0</v>
      </c>
    </row>
    <row r="34" spans="1:19" x14ac:dyDescent="0.25">
      <c r="A34" s="108">
        <v>37506</v>
      </c>
      <c r="B34" s="109">
        <v>21.8</v>
      </c>
      <c r="C34" s="109">
        <v>87.6</v>
      </c>
      <c r="G34">
        <v>2007</v>
      </c>
      <c r="H34" s="109">
        <v>0</v>
      </c>
      <c r="I34" s="109">
        <v>0</v>
      </c>
      <c r="J34" s="109">
        <v>0</v>
      </c>
      <c r="K34" s="109">
        <v>0</v>
      </c>
      <c r="L34" s="109">
        <v>22.4</v>
      </c>
      <c r="M34" s="109">
        <v>99.2</v>
      </c>
      <c r="N34" s="109">
        <v>106.1</v>
      </c>
      <c r="O34" s="109">
        <v>141</v>
      </c>
      <c r="P34" s="109">
        <v>47.5</v>
      </c>
      <c r="Q34" s="109">
        <v>19.8</v>
      </c>
      <c r="R34" s="109">
        <v>0</v>
      </c>
      <c r="S34" s="109">
        <v>0</v>
      </c>
    </row>
    <row r="35" spans="1:19" x14ac:dyDescent="0.25">
      <c r="A35" s="108">
        <v>37539</v>
      </c>
      <c r="B35" s="109">
        <v>292.2</v>
      </c>
      <c r="C35" s="109">
        <v>10</v>
      </c>
      <c r="G35">
        <v>2008</v>
      </c>
      <c r="H35" s="109">
        <v>0</v>
      </c>
      <c r="I35" s="109">
        <v>0</v>
      </c>
      <c r="J35" s="109">
        <v>0</v>
      </c>
      <c r="K35" s="109">
        <v>0</v>
      </c>
      <c r="L35" s="109">
        <v>2.5</v>
      </c>
      <c r="M35" s="109">
        <v>71.5</v>
      </c>
      <c r="N35" s="109">
        <v>111</v>
      </c>
      <c r="O35" s="109">
        <v>64</v>
      </c>
      <c r="P35" s="109">
        <v>26.7</v>
      </c>
      <c r="Q35" s="109">
        <v>0</v>
      </c>
      <c r="R35" s="109">
        <v>0</v>
      </c>
      <c r="S35" s="109">
        <v>0</v>
      </c>
    </row>
    <row r="36" spans="1:19" x14ac:dyDescent="0.25">
      <c r="A36" s="108">
        <v>37572</v>
      </c>
      <c r="B36" s="109">
        <v>445</v>
      </c>
      <c r="C36" s="109">
        <v>0</v>
      </c>
      <c r="G36">
        <v>2009</v>
      </c>
      <c r="H36" s="109">
        <v>0</v>
      </c>
      <c r="I36" s="109">
        <v>0</v>
      </c>
      <c r="J36" s="109">
        <v>0</v>
      </c>
      <c r="K36" s="109">
        <v>1.2</v>
      </c>
      <c r="L36" s="109">
        <v>6.9</v>
      </c>
      <c r="M36" s="109">
        <v>34.200000000000003</v>
      </c>
      <c r="N36" s="109">
        <v>43.7</v>
      </c>
      <c r="O36" s="109">
        <v>91</v>
      </c>
      <c r="P36" s="109">
        <v>20.9</v>
      </c>
      <c r="Q36" s="109">
        <v>0</v>
      </c>
      <c r="R36" s="109">
        <v>0</v>
      </c>
      <c r="S36" s="109">
        <v>0</v>
      </c>
    </row>
    <row r="37" spans="1:19" x14ac:dyDescent="0.25">
      <c r="A37" s="108">
        <v>37605</v>
      </c>
      <c r="B37" s="109">
        <v>619.4</v>
      </c>
      <c r="C37" s="109">
        <v>0</v>
      </c>
      <c r="G37">
        <v>2010</v>
      </c>
      <c r="H37" s="109">
        <v>0</v>
      </c>
      <c r="I37" s="109">
        <v>0</v>
      </c>
      <c r="J37" s="109">
        <v>0</v>
      </c>
      <c r="K37" s="109">
        <v>0</v>
      </c>
      <c r="L37" s="109">
        <v>45.7</v>
      </c>
      <c r="M37" s="109">
        <v>58.7</v>
      </c>
      <c r="N37" s="109">
        <v>164.9</v>
      </c>
      <c r="O37" s="109">
        <v>138.80000000000001</v>
      </c>
      <c r="P37" s="109">
        <v>31.5</v>
      </c>
      <c r="Q37" s="109">
        <v>0</v>
      </c>
      <c r="R37" s="109">
        <v>0</v>
      </c>
      <c r="S37" s="109">
        <v>0</v>
      </c>
    </row>
    <row r="38" spans="1:19" x14ac:dyDescent="0.25">
      <c r="A38" s="108">
        <v>37622</v>
      </c>
      <c r="B38" s="109">
        <v>814.5</v>
      </c>
      <c r="C38" s="109">
        <v>0</v>
      </c>
      <c r="G38">
        <v>2011</v>
      </c>
      <c r="H38" s="109">
        <v>0</v>
      </c>
      <c r="I38" s="109">
        <v>0</v>
      </c>
      <c r="J38" s="109">
        <v>0</v>
      </c>
      <c r="K38" s="109">
        <v>0</v>
      </c>
      <c r="L38" s="109">
        <v>13</v>
      </c>
      <c r="M38" s="109">
        <v>52.2</v>
      </c>
      <c r="N38" s="109">
        <v>198.5</v>
      </c>
      <c r="O38" s="109">
        <v>122.2</v>
      </c>
      <c r="P38" s="109">
        <v>39.700000000000003</v>
      </c>
      <c r="Q38" s="109">
        <v>2.4</v>
      </c>
      <c r="R38" s="109">
        <v>0</v>
      </c>
      <c r="S38" s="109">
        <v>0</v>
      </c>
    </row>
    <row r="39" spans="1:19" x14ac:dyDescent="0.25">
      <c r="A39" s="108">
        <v>37653</v>
      </c>
      <c r="B39" s="109">
        <v>699</v>
      </c>
      <c r="C39" s="109">
        <v>0</v>
      </c>
      <c r="G39">
        <v>2012</v>
      </c>
      <c r="H39" s="109">
        <v>0</v>
      </c>
      <c r="I39" s="109">
        <v>0</v>
      </c>
      <c r="J39" s="109">
        <v>0.2</v>
      </c>
      <c r="K39" s="109">
        <v>0</v>
      </c>
      <c r="L39" s="109">
        <v>36.700000000000003</v>
      </c>
      <c r="M39" s="109">
        <v>101.6</v>
      </c>
      <c r="N39" s="109">
        <v>195.4</v>
      </c>
      <c r="O39" s="109">
        <v>112.1</v>
      </c>
      <c r="P39" s="109">
        <v>35.6</v>
      </c>
      <c r="Q39" s="109">
        <v>1.1000000000000001</v>
      </c>
      <c r="R39" s="109">
        <v>0</v>
      </c>
      <c r="S39" s="109">
        <v>0</v>
      </c>
    </row>
    <row r="40" spans="1:19" x14ac:dyDescent="0.25">
      <c r="A40" s="108">
        <v>37681</v>
      </c>
      <c r="B40" s="109">
        <v>581.1</v>
      </c>
      <c r="C40" s="109">
        <v>0</v>
      </c>
      <c r="G40">
        <v>2013</v>
      </c>
      <c r="H40" s="32">
        <v>0</v>
      </c>
      <c r="I40" s="32">
        <v>0</v>
      </c>
      <c r="J40" s="32">
        <v>0</v>
      </c>
      <c r="K40" s="32">
        <v>0</v>
      </c>
      <c r="L40" s="32">
        <v>23.1</v>
      </c>
      <c r="M40" s="32">
        <v>59.6</v>
      </c>
      <c r="N40" s="32">
        <v>120.8</v>
      </c>
      <c r="O40" s="32">
        <v>93.8</v>
      </c>
      <c r="P40" s="32">
        <v>28.1</v>
      </c>
      <c r="Q40" s="32">
        <v>0.4</v>
      </c>
      <c r="R40" s="32">
        <v>0</v>
      </c>
      <c r="S40" s="32">
        <v>0</v>
      </c>
    </row>
    <row r="41" spans="1:19" x14ac:dyDescent="0.25">
      <c r="A41" s="108">
        <v>37712</v>
      </c>
      <c r="B41" s="109">
        <v>372.5</v>
      </c>
      <c r="C41" s="109">
        <v>2.4</v>
      </c>
      <c r="G41">
        <v>2014</v>
      </c>
      <c r="H41" s="32">
        <v>0</v>
      </c>
      <c r="I41" s="32">
        <v>0</v>
      </c>
      <c r="J41" s="32">
        <v>0</v>
      </c>
      <c r="K41" s="32">
        <v>0</v>
      </c>
      <c r="L41" s="32">
        <v>11.9</v>
      </c>
      <c r="M41" s="32">
        <v>68.099999999999994</v>
      </c>
      <c r="N41" s="32">
        <v>71</v>
      </c>
      <c r="O41" s="32">
        <v>81.8</v>
      </c>
      <c r="P41" s="32">
        <v>30.1</v>
      </c>
      <c r="Q41" s="32">
        <v>1.3</v>
      </c>
      <c r="R41" s="32">
        <v>0</v>
      </c>
      <c r="S41" s="32">
        <v>0</v>
      </c>
    </row>
    <row r="42" spans="1:19" x14ac:dyDescent="0.25">
      <c r="A42" s="108">
        <v>37742</v>
      </c>
      <c r="B42" s="109">
        <v>177.9</v>
      </c>
      <c r="C42" s="109">
        <v>0</v>
      </c>
      <c r="G42">
        <v>2015</v>
      </c>
      <c r="H42" s="104">
        <v>0</v>
      </c>
      <c r="I42" s="104">
        <v>0</v>
      </c>
      <c r="J42">
        <v>0</v>
      </c>
      <c r="K42">
        <v>0</v>
      </c>
      <c r="L42">
        <v>34.1</v>
      </c>
      <c r="M42">
        <v>32.299999999999997</v>
      </c>
      <c r="N42">
        <v>114.29999999999998</v>
      </c>
      <c r="O42">
        <v>88.6</v>
      </c>
      <c r="P42">
        <v>81.900000000000006</v>
      </c>
      <c r="Q42">
        <v>0</v>
      </c>
      <c r="R42">
        <v>0</v>
      </c>
      <c r="S42" s="32">
        <v>0</v>
      </c>
    </row>
    <row r="43" spans="1:19" x14ac:dyDescent="0.25">
      <c r="A43" s="108">
        <v>37773</v>
      </c>
      <c r="B43" s="109">
        <v>43.4</v>
      </c>
      <c r="C43" s="109">
        <v>52.9</v>
      </c>
      <c r="G43">
        <v>2016</v>
      </c>
      <c r="H43" s="104">
        <v>0</v>
      </c>
      <c r="I43" s="104">
        <v>0</v>
      </c>
      <c r="J43">
        <v>0</v>
      </c>
      <c r="K43">
        <v>0</v>
      </c>
      <c r="L43">
        <v>36.9</v>
      </c>
      <c r="M43">
        <v>83.7</v>
      </c>
      <c r="N43">
        <v>176.89999999999998</v>
      </c>
      <c r="O43">
        <v>195.4</v>
      </c>
      <c r="P43">
        <v>69.400000000000006</v>
      </c>
      <c r="Q43">
        <v>4.0999999999999996</v>
      </c>
      <c r="R43">
        <v>0</v>
      </c>
      <c r="S43">
        <v>0</v>
      </c>
    </row>
    <row r="44" spans="1:19" x14ac:dyDescent="0.25">
      <c r="A44" s="108">
        <v>37803</v>
      </c>
      <c r="B44" s="109">
        <v>0.2</v>
      </c>
      <c r="C44" s="109">
        <v>118.3</v>
      </c>
      <c r="G44">
        <v>2017</v>
      </c>
      <c r="H44" s="104">
        <v>0</v>
      </c>
      <c r="I44" s="104">
        <v>0</v>
      </c>
      <c r="J44">
        <v>0</v>
      </c>
      <c r="K44">
        <v>0</v>
      </c>
      <c r="L44">
        <v>9</v>
      </c>
      <c r="M44">
        <v>68.2</v>
      </c>
      <c r="N44">
        <v>116.49999999999999</v>
      </c>
      <c r="O44">
        <v>75.2</v>
      </c>
      <c r="P44">
        <v>71.499999999999986</v>
      </c>
      <c r="Q44">
        <v>8.1</v>
      </c>
      <c r="R44">
        <v>0</v>
      </c>
      <c r="S44">
        <v>0</v>
      </c>
    </row>
    <row r="45" spans="1:19" x14ac:dyDescent="0.25">
      <c r="A45" s="108">
        <v>37834</v>
      </c>
      <c r="B45" s="109">
        <v>2</v>
      </c>
      <c r="C45" s="109">
        <v>128</v>
      </c>
      <c r="G45">
        <v>2018</v>
      </c>
      <c r="H45" s="104">
        <v>0</v>
      </c>
      <c r="I45" s="104">
        <v>0</v>
      </c>
      <c r="J45">
        <v>0</v>
      </c>
      <c r="K45">
        <v>0</v>
      </c>
      <c r="L45">
        <v>43.4</v>
      </c>
      <c r="M45">
        <v>60.5</v>
      </c>
      <c r="N45">
        <v>167.8</v>
      </c>
      <c r="O45">
        <v>162.4</v>
      </c>
      <c r="P45">
        <v>76.399999999999977</v>
      </c>
      <c r="Q45">
        <v>8.1999999999999993</v>
      </c>
      <c r="R45">
        <v>0</v>
      </c>
      <c r="S45">
        <v>0</v>
      </c>
    </row>
    <row r="46" spans="1:19" x14ac:dyDescent="0.25">
      <c r="A46" s="108">
        <v>37865</v>
      </c>
      <c r="B46" s="109">
        <v>54.9</v>
      </c>
      <c r="C46" s="109">
        <v>24</v>
      </c>
      <c r="G46">
        <v>2019</v>
      </c>
      <c r="H46">
        <v>0</v>
      </c>
      <c r="I46">
        <v>0</v>
      </c>
      <c r="J46">
        <v>0</v>
      </c>
      <c r="K46">
        <v>0</v>
      </c>
      <c r="L46">
        <v>0</v>
      </c>
      <c r="M46">
        <v>41.300000000000004</v>
      </c>
      <c r="N46">
        <v>166.90000000000003</v>
      </c>
      <c r="O46">
        <v>103.30000000000003</v>
      </c>
      <c r="P46">
        <v>25.400000000000002</v>
      </c>
      <c r="Q46">
        <v>5.0999999999999996</v>
      </c>
      <c r="R46">
        <v>0</v>
      </c>
      <c r="S46">
        <v>0</v>
      </c>
    </row>
    <row r="47" spans="1:19" x14ac:dyDescent="0.25">
      <c r="A47" s="108">
        <v>37895</v>
      </c>
      <c r="B47" s="109">
        <v>276</v>
      </c>
      <c r="C47" s="109">
        <v>0</v>
      </c>
      <c r="G47" s="114" t="s">
        <v>114</v>
      </c>
      <c r="H47" s="115">
        <f>TREND(H27:H46,$G$27:$G$46,2021)</f>
        <v>0</v>
      </c>
      <c r="I47" s="115">
        <f t="shared" ref="I47:S47" si="1">TREND(I27:I46,$G$27:$G$46,2021)</f>
        <v>0</v>
      </c>
      <c r="J47" s="115">
        <f t="shared" si="1"/>
        <v>1.8646616541353467E-2</v>
      </c>
      <c r="K47" s="115">
        <v>0</v>
      </c>
      <c r="L47" s="115">
        <f t="shared" si="1"/>
        <v>27.570751879699174</v>
      </c>
      <c r="M47" s="115">
        <f t="shared" si="1"/>
        <v>59.702932330827252</v>
      </c>
      <c r="N47" s="115">
        <f t="shared" si="1"/>
        <v>154.03842105263175</v>
      </c>
      <c r="O47" s="115">
        <f t="shared" si="1"/>
        <v>114.05969924812028</v>
      </c>
      <c r="P47" s="115">
        <f t="shared" si="1"/>
        <v>54.051127819549038</v>
      </c>
      <c r="Q47" s="115">
        <f t="shared" si="1"/>
        <v>4.0399999999999991</v>
      </c>
      <c r="R47" s="115">
        <f t="shared" si="1"/>
        <v>0</v>
      </c>
      <c r="S47" s="115">
        <f t="shared" si="1"/>
        <v>0</v>
      </c>
    </row>
    <row r="48" spans="1:19" x14ac:dyDescent="0.25">
      <c r="A48" s="108">
        <v>37926</v>
      </c>
      <c r="B48" s="109">
        <v>398.5</v>
      </c>
      <c r="C48" s="109">
        <v>0</v>
      </c>
    </row>
    <row r="49" spans="1:3" x14ac:dyDescent="0.25">
      <c r="A49" s="108">
        <v>37956</v>
      </c>
      <c r="B49" s="109">
        <v>561.5</v>
      </c>
      <c r="C49" s="109">
        <v>0</v>
      </c>
    </row>
    <row r="50" spans="1:3" x14ac:dyDescent="0.25">
      <c r="A50" s="108">
        <v>37987</v>
      </c>
      <c r="B50" s="109">
        <v>849.1</v>
      </c>
      <c r="C50" s="109">
        <v>0</v>
      </c>
    </row>
    <row r="51" spans="1:3" x14ac:dyDescent="0.25">
      <c r="A51" s="108">
        <v>38018</v>
      </c>
      <c r="B51" s="109">
        <v>631.70000000000005</v>
      </c>
      <c r="C51" s="109">
        <v>0</v>
      </c>
    </row>
    <row r="52" spans="1:3" x14ac:dyDescent="0.25">
      <c r="A52" s="108">
        <v>38047</v>
      </c>
      <c r="B52" s="109">
        <v>487.3</v>
      </c>
      <c r="C52" s="109">
        <v>0</v>
      </c>
    </row>
    <row r="53" spans="1:3" x14ac:dyDescent="0.25">
      <c r="A53" s="108">
        <v>38078</v>
      </c>
      <c r="B53" s="109">
        <v>331.5</v>
      </c>
      <c r="C53" s="109">
        <v>0</v>
      </c>
    </row>
    <row r="54" spans="1:3" x14ac:dyDescent="0.25">
      <c r="A54" s="108">
        <v>38108</v>
      </c>
      <c r="B54" s="109">
        <v>158.9</v>
      </c>
      <c r="C54" s="109">
        <v>8.6</v>
      </c>
    </row>
    <row r="55" spans="1:3" x14ac:dyDescent="0.25">
      <c r="A55" s="108">
        <v>38139</v>
      </c>
      <c r="B55" s="109">
        <v>44.2</v>
      </c>
      <c r="C55" s="109">
        <v>31.6</v>
      </c>
    </row>
    <row r="56" spans="1:3" x14ac:dyDescent="0.25">
      <c r="A56" s="108">
        <v>38169</v>
      </c>
      <c r="B56" s="109">
        <v>3.6</v>
      </c>
      <c r="C56" s="109">
        <v>86.4</v>
      </c>
    </row>
    <row r="57" spans="1:3" x14ac:dyDescent="0.25">
      <c r="A57" s="108">
        <v>38200</v>
      </c>
      <c r="B57" s="109">
        <v>12.8</v>
      </c>
      <c r="C57" s="109">
        <v>59.6</v>
      </c>
    </row>
    <row r="58" spans="1:3" x14ac:dyDescent="0.25">
      <c r="A58" s="108">
        <v>38231</v>
      </c>
      <c r="B58" s="109">
        <v>30</v>
      </c>
      <c r="C58" s="109">
        <v>41.2</v>
      </c>
    </row>
    <row r="59" spans="1:3" x14ac:dyDescent="0.25">
      <c r="A59" s="108">
        <v>38261</v>
      </c>
      <c r="B59" s="109">
        <v>226.3</v>
      </c>
      <c r="C59" s="109">
        <v>1.5</v>
      </c>
    </row>
    <row r="60" spans="1:3" x14ac:dyDescent="0.25">
      <c r="A60" s="108">
        <v>38292</v>
      </c>
      <c r="B60" s="109">
        <v>379.1</v>
      </c>
      <c r="C60" s="109">
        <v>0</v>
      </c>
    </row>
    <row r="61" spans="1:3" x14ac:dyDescent="0.25">
      <c r="A61" s="108">
        <v>38322</v>
      </c>
      <c r="B61" s="109">
        <v>643.4</v>
      </c>
      <c r="C61" s="109">
        <v>0</v>
      </c>
    </row>
    <row r="62" spans="1:3" x14ac:dyDescent="0.25">
      <c r="A62" s="108">
        <v>38353</v>
      </c>
      <c r="B62" s="109">
        <v>770</v>
      </c>
      <c r="C62" s="109">
        <v>0</v>
      </c>
    </row>
    <row r="63" spans="1:3" x14ac:dyDescent="0.25">
      <c r="A63" s="108">
        <v>38384</v>
      </c>
      <c r="B63" s="109">
        <v>616.4</v>
      </c>
      <c r="C63" s="109">
        <v>0</v>
      </c>
    </row>
    <row r="64" spans="1:3" x14ac:dyDescent="0.25">
      <c r="A64" s="108">
        <v>38412</v>
      </c>
      <c r="B64" s="109">
        <v>608.6</v>
      </c>
      <c r="C64" s="109">
        <v>0</v>
      </c>
    </row>
    <row r="65" spans="1:3" x14ac:dyDescent="0.25">
      <c r="A65" s="108">
        <v>38443</v>
      </c>
      <c r="B65" s="109">
        <v>306.8</v>
      </c>
      <c r="C65" s="109">
        <v>0</v>
      </c>
    </row>
    <row r="66" spans="1:3" x14ac:dyDescent="0.25">
      <c r="A66" s="108">
        <v>38473</v>
      </c>
      <c r="B66" s="109">
        <v>189.4</v>
      </c>
      <c r="C66" s="109">
        <v>0.8</v>
      </c>
    </row>
    <row r="67" spans="1:3" x14ac:dyDescent="0.25">
      <c r="A67" s="108">
        <v>38504</v>
      </c>
      <c r="B67" s="109">
        <v>8.9</v>
      </c>
      <c r="C67" s="109">
        <v>146.30000000000001</v>
      </c>
    </row>
    <row r="68" spans="1:3" x14ac:dyDescent="0.25">
      <c r="A68" s="108">
        <v>38534</v>
      </c>
      <c r="B68" s="109">
        <v>0</v>
      </c>
      <c r="C68" s="109">
        <v>188.7</v>
      </c>
    </row>
    <row r="69" spans="1:3" x14ac:dyDescent="0.25">
      <c r="A69" s="108">
        <v>38565</v>
      </c>
      <c r="B69" s="109">
        <v>0.2</v>
      </c>
      <c r="C69" s="109">
        <v>140.69999999999999</v>
      </c>
    </row>
    <row r="70" spans="1:3" x14ac:dyDescent="0.25">
      <c r="A70" s="108">
        <v>38596</v>
      </c>
      <c r="B70" s="109">
        <v>22.6</v>
      </c>
      <c r="C70" s="109">
        <v>52.1</v>
      </c>
    </row>
    <row r="71" spans="1:3" x14ac:dyDescent="0.25">
      <c r="A71" s="108">
        <v>38626</v>
      </c>
      <c r="B71" s="109">
        <v>220.2</v>
      </c>
      <c r="C71" s="109">
        <v>7.6</v>
      </c>
    </row>
    <row r="72" spans="1:3" x14ac:dyDescent="0.25">
      <c r="A72" s="108">
        <v>38657</v>
      </c>
      <c r="B72" s="109">
        <v>388.4</v>
      </c>
      <c r="C72" s="109">
        <v>0</v>
      </c>
    </row>
    <row r="73" spans="1:3" x14ac:dyDescent="0.25">
      <c r="A73" s="108">
        <v>38687</v>
      </c>
      <c r="B73" s="109">
        <v>665.3</v>
      </c>
      <c r="C73" s="109">
        <v>0</v>
      </c>
    </row>
    <row r="74" spans="1:3" x14ac:dyDescent="0.25">
      <c r="A74" s="108">
        <v>38718</v>
      </c>
      <c r="B74" s="109">
        <v>551.79999999999995</v>
      </c>
      <c r="C74" s="109">
        <v>0</v>
      </c>
    </row>
    <row r="75" spans="1:3" x14ac:dyDescent="0.25">
      <c r="A75" s="108">
        <v>38749</v>
      </c>
      <c r="B75" s="109">
        <v>604.29999999999995</v>
      </c>
      <c r="C75" s="109">
        <v>0</v>
      </c>
    </row>
    <row r="76" spans="1:3" x14ac:dyDescent="0.25">
      <c r="A76" s="108">
        <v>38777</v>
      </c>
      <c r="B76" s="109">
        <v>516.6</v>
      </c>
      <c r="C76" s="109">
        <v>0</v>
      </c>
    </row>
    <row r="77" spans="1:3" x14ac:dyDescent="0.25">
      <c r="A77" s="108">
        <v>38808</v>
      </c>
      <c r="B77" s="109">
        <v>293.3</v>
      </c>
      <c r="C77" s="109">
        <v>0</v>
      </c>
    </row>
    <row r="78" spans="1:3" x14ac:dyDescent="0.25">
      <c r="A78" s="108">
        <v>38838</v>
      </c>
      <c r="B78" s="109">
        <v>136.9</v>
      </c>
      <c r="C78" s="109">
        <v>26</v>
      </c>
    </row>
    <row r="79" spans="1:3" x14ac:dyDescent="0.25">
      <c r="A79" s="108">
        <v>38869</v>
      </c>
      <c r="B79" s="109">
        <v>19.5</v>
      </c>
      <c r="C79" s="109">
        <v>73.599999999999994</v>
      </c>
    </row>
    <row r="80" spans="1:3" x14ac:dyDescent="0.25">
      <c r="A80" s="108">
        <v>38899</v>
      </c>
      <c r="B80" s="109">
        <v>0</v>
      </c>
      <c r="C80" s="109">
        <v>167.3</v>
      </c>
    </row>
    <row r="81" spans="1:9" x14ac:dyDescent="0.25">
      <c r="A81" s="108">
        <v>38930</v>
      </c>
      <c r="B81" s="109">
        <v>4.2</v>
      </c>
      <c r="C81" s="109">
        <v>101.6</v>
      </c>
    </row>
    <row r="82" spans="1:9" x14ac:dyDescent="0.25">
      <c r="A82" s="108">
        <v>38961</v>
      </c>
      <c r="B82" s="109">
        <v>80.900000000000006</v>
      </c>
      <c r="C82" s="109">
        <v>12.9</v>
      </c>
    </row>
    <row r="83" spans="1:9" x14ac:dyDescent="0.25">
      <c r="A83" s="108">
        <v>38991</v>
      </c>
      <c r="B83" s="109">
        <v>288.3</v>
      </c>
      <c r="C83" s="109">
        <v>1.1000000000000001</v>
      </c>
    </row>
    <row r="84" spans="1:9" x14ac:dyDescent="0.25">
      <c r="A84" s="108">
        <v>39022</v>
      </c>
      <c r="B84" s="109">
        <v>382.2</v>
      </c>
      <c r="C84" s="109">
        <v>0</v>
      </c>
    </row>
    <row r="85" spans="1:9" x14ac:dyDescent="0.25">
      <c r="A85" s="108">
        <v>39052</v>
      </c>
      <c r="B85" s="109">
        <v>500.5</v>
      </c>
      <c r="C85" s="109">
        <v>0</v>
      </c>
    </row>
    <row r="86" spans="1:9" x14ac:dyDescent="0.25">
      <c r="A86" s="108">
        <v>39083</v>
      </c>
      <c r="B86" s="109">
        <v>647.1</v>
      </c>
      <c r="C86" s="109">
        <v>0</v>
      </c>
    </row>
    <row r="87" spans="1:9" x14ac:dyDescent="0.25">
      <c r="A87" s="108">
        <v>39114</v>
      </c>
      <c r="B87" s="109">
        <v>740.1</v>
      </c>
      <c r="C87" s="109">
        <v>0</v>
      </c>
      <c r="G87" s="32"/>
    </row>
    <row r="88" spans="1:9" x14ac:dyDescent="0.25">
      <c r="A88" s="108">
        <v>39142</v>
      </c>
      <c r="B88" s="109">
        <v>546.70000000000005</v>
      </c>
      <c r="C88" s="109">
        <v>0</v>
      </c>
      <c r="G88" s="32"/>
    </row>
    <row r="89" spans="1:9" x14ac:dyDescent="0.25">
      <c r="A89" s="108">
        <v>39173</v>
      </c>
      <c r="B89" s="109">
        <v>356.4</v>
      </c>
      <c r="C89" s="109">
        <v>0</v>
      </c>
      <c r="G89" s="105"/>
      <c r="H89" s="103"/>
      <c r="I89" s="103"/>
    </row>
    <row r="90" spans="1:9" x14ac:dyDescent="0.25">
      <c r="A90" s="108">
        <v>39203</v>
      </c>
      <c r="B90" s="109">
        <v>136.4</v>
      </c>
      <c r="C90" s="109">
        <v>22.4</v>
      </c>
      <c r="G90" s="105"/>
      <c r="H90" s="103"/>
      <c r="I90" s="103"/>
    </row>
    <row r="91" spans="1:9" x14ac:dyDescent="0.25">
      <c r="A91" s="108">
        <v>39234</v>
      </c>
      <c r="B91" s="109">
        <v>16.5</v>
      </c>
      <c r="C91" s="109">
        <v>99.2</v>
      </c>
      <c r="G91" s="105"/>
      <c r="H91" s="103"/>
      <c r="I91" s="103"/>
    </row>
    <row r="92" spans="1:9" x14ac:dyDescent="0.25">
      <c r="A92" s="108">
        <v>39264</v>
      </c>
      <c r="B92" s="109">
        <v>3.2</v>
      </c>
      <c r="C92" s="109">
        <v>106.1</v>
      </c>
      <c r="G92" s="105"/>
      <c r="H92" s="103"/>
      <c r="I92" s="103"/>
    </row>
    <row r="93" spans="1:9" x14ac:dyDescent="0.25">
      <c r="A93" s="108">
        <v>39295</v>
      </c>
      <c r="B93" s="109">
        <v>5.2</v>
      </c>
      <c r="C93" s="109">
        <v>141</v>
      </c>
      <c r="G93" s="105"/>
      <c r="H93" s="103"/>
      <c r="I93" s="103"/>
    </row>
    <row r="94" spans="1:9" x14ac:dyDescent="0.25">
      <c r="A94" s="108">
        <v>39326</v>
      </c>
      <c r="B94" s="109">
        <v>36.9</v>
      </c>
      <c r="C94" s="109">
        <v>47.5</v>
      </c>
      <c r="G94" s="105"/>
      <c r="H94" s="103"/>
      <c r="I94" s="103"/>
    </row>
    <row r="95" spans="1:9" x14ac:dyDescent="0.25">
      <c r="A95" s="108">
        <v>39356</v>
      </c>
      <c r="B95" s="109">
        <v>137.69999999999999</v>
      </c>
      <c r="C95" s="109">
        <v>19.8</v>
      </c>
      <c r="G95" s="105"/>
      <c r="H95" s="103"/>
      <c r="I95" s="103"/>
    </row>
    <row r="96" spans="1:9" x14ac:dyDescent="0.25">
      <c r="A96" s="108">
        <v>39387</v>
      </c>
      <c r="B96" s="109">
        <v>462.5</v>
      </c>
      <c r="C96" s="109">
        <v>0</v>
      </c>
      <c r="F96" s="32"/>
      <c r="G96" s="105"/>
      <c r="H96" s="103"/>
      <c r="I96" s="103"/>
    </row>
    <row r="97" spans="1:9" x14ac:dyDescent="0.25">
      <c r="A97" s="108">
        <v>39417</v>
      </c>
      <c r="B97" s="109">
        <v>630.70000000000005</v>
      </c>
      <c r="C97" s="109">
        <v>0</v>
      </c>
      <c r="F97" s="32"/>
      <c r="G97" s="105"/>
      <c r="H97" s="103"/>
      <c r="I97" s="103"/>
    </row>
    <row r="98" spans="1:9" x14ac:dyDescent="0.25">
      <c r="A98" s="108">
        <v>39448</v>
      </c>
      <c r="B98" s="109">
        <v>623.5</v>
      </c>
      <c r="C98" s="109">
        <v>0</v>
      </c>
      <c r="E98" s="102"/>
      <c r="F98" s="105"/>
      <c r="G98" s="105"/>
      <c r="H98" s="103"/>
      <c r="I98" s="103"/>
    </row>
    <row r="99" spans="1:9" x14ac:dyDescent="0.25">
      <c r="A99" s="108">
        <v>39479</v>
      </c>
      <c r="B99" s="109">
        <v>674.7</v>
      </c>
      <c r="C99" s="109">
        <v>0</v>
      </c>
      <c r="E99" s="102"/>
      <c r="F99" s="105"/>
      <c r="G99" s="105"/>
      <c r="H99" s="103"/>
      <c r="I99" s="103"/>
    </row>
    <row r="100" spans="1:9" x14ac:dyDescent="0.25">
      <c r="A100" s="108">
        <v>39508</v>
      </c>
      <c r="B100" s="109">
        <v>610.20000000000005</v>
      </c>
      <c r="C100" s="109">
        <v>0</v>
      </c>
      <c r="E100" s="102"/>
      <c r="F100" s="105"/>
      <c r="G100" s="105"/>
      <c r="H100" s="103"/>
      <c r="I100" s="103"/>
    </row>
    <row r="101" spans="1:9" x14ac:dyDescent="0.25">
      <c r="A101" s="108">
        <v>39539</v>
      </c>
      <c r="B101" s="109">
        <v>253.9</v>
      </c>
      <c r="C101" s="109">
        <v>0</v>
      </c>
      <c r="E101" s="102"/>
      <c r="F101" s="105"/>
      <c r="G101" s="105"/>
      <c r="H101" s="103"/>
      <c r="I101" s="103"/>
    </row>
    <row r="102" spans="1:9" x14ac:dyDescent="0.25">
      <c r="A102" s="108">
        <v>39569</v>
      </c>
      <c r="B102" s="109">
        <v>193.5</v>
      </c>
      <c r="C102" s="109">
        <v>2.5</v>
      </c>
      <c r="E102" s="102"/>
      <c r="F102" s="105"/>
      <c r="G102" s="105"/>
      <c r="H102" s="103"/>
      <c r="I102" s="103"/>
    </row>
    <row r="103" spans="1:9" x14ac:dyDescent="0.25">
      <c r="A103" s="108">
        <v>39600</v>
      </c>
      <c r="B103" s="109">
        <v>22.7</v>
      </c>
      <c r="C103" s="109">
        <v>71.5</v>
      </c>
      <c r="E103" s="102"/>
      <c r="F103" s="105"/>
      <c r="G103" s="105"/>
      <c r="H103" s="103"/>
      <c r="I103" s="103"/>
    </row>
    <row r="104" spans="1:9" x14ac:dyDescent="0.25">
      <c r="A104" s="108">
        <v>39630</v>
      </c>
      <c r="B104" s="109">
        <v>1</v>
      </c>
      <c r="C104" s="109">
        <v>111</v>
      </c>
      <c r="E104" s="102"/>
      <c r="F104" s="105"/>
      <c r="G104" s="105"/>
      <c r="H104" s="103"/>
      <c r="I104" s="103"/>
    </row>
    <row r="105" spans="1:9" x14ac:dyDescent="0.25">
      <c r="A105" s="108">
        <v>39661</v>
      </c>
      <c r="B105" s="109">
        <v>12.7</v>
      </c>
      <c r="C105" s="109">
        <v>64</v>
      </c>
      <c r="E105" s="102"/>
      <c r="F105" s="105"/>
      <c r="G105" s="105"/>
      <c r="H105" s="103"/>
      <c r="I105" s="103"/>
    </row>
    <row r="106" spans="1:9" x14ac:dyDescent="0.25">
      <c r="A106" s="108">
        <v>39692</v>
      </c>
      <c r="B106" s="109">
        <v>59.5</v>
      </c>
      <c r="C106" s="109">
        <v>26.7</v>
      </c>
      <c r="E106" s="102"/>
      <c r="F106" s="105"/>
      <c r="G106" s="105"/>
      <c r="H106" s="103"/>
      <c r="I106" s="103"/>
    </row>
    <row r="107" spans="1:9" x14ac:dyDescent="0.25">
      <c r="A107" s="108">
        <v>39722</v>
      </c>
      <c r="B107" s="109">
        <v>278.60000000000002</v>
      </c>
      <c r="C107" s="109">
        <v>0</v>
      </c>
      <c r="E107" s="102"/>
      <c r="F107" s="105"/>
      <c r="G107" s="105"/>
      <c r="H107" s="103"/>
      <c r="I107" s="103"/>
    </row>
    <row r="108" spans="1:9" x14ac:dyDescent="0.25">
      <c r="A108" s="108">
        <v>39753</v>
      </c>
      <c r="B108" s="109">
        <v>451.6</v>
      </c>
      <c r="C108" s="109">
        <v>0</v>
      </c>
      <c r="E108" s="102"/>
      <c r="F108" s="105"/>
      <c r="G108" s="105"/>
      <c r="H108" s="103"/>
      <c r="I108" s="103"/>
    </row>
    <row r="109" spans="1:9" x14ac:dyDescent="0.25">
      <c r="A109" s="108">
        <v>39783</v>
      </c>
      <c r="B109" s="109">
        <v>654.6</v>
      </c>
      <c r="C109" s="109">
        <v>0</v>
      </c>
      <c r="E109" s="102"/>
      <c r="F109" s="105"/>
      <c r="G109" s="105"/>
      <c r="H109" s="103"/>
      <c r="I109" s="103"/>
    </row>
    <row r="110" spans="1:9" x14ac:dyDescent="0.25">
      <c r="A110" s="108">
        <v>39814</v>
      </c>
      <c r="B110" s="109">
        <v>830.2</v>
      </c>
      <c r="C110" s="109">
        <v>0</v>
      </c>
      <c r="E110" s="102"/>
      <c r="F110" s="105"/>
      <c r="G110" s="105"/>
      <c r="H110" s="103"/>
      <c r="I110" s="103"/>
    </row>
    <row r="111" spans="1:9" x14ac:dyDescent="0.25">
      <c r="A111" s="108">
        <v>39845</v>
      </c>
      <c r="B111" s="109">
        <v>606.4</v>
      </c>
      <c r="C111" s="109">
        <v>0</v>
      </c>
      <c r="E111" s="102"/>
      <c r="F111" s="105"/>
      <c r="G111" s="105"/>
      <c r="H111" s="103"/>
      <c r="I111" s="103"/>
    </row>
    <row r="112" spans="1:9" x14ac:dyDescent="0.25">
      <c r="A112" s="108">
        <v>39873</v>
      </c>
      <c r="B112" s="109">
        <v>533.79999999999995</v>
      </c>
      <c r="C112" s="109">
        <v>0</v>
      </c>
      <c r="E112" s="102"/>
      <c r="F112" s="105"/>
      <c r="G112" s="105"/>
      <c r="H112" s="103"/>
      <c r="I112" s="103"/>
    </row>
    <row r="113" spans="1:9" x14ac:dyDescent="0.25">
      <c r="A113" s="108">
        <v>39904</v>
      </c>
      <c r="B113" s="109">
        <v>305.8</v>
      </c>
      <c r="C113" s="109">
        <v>1.2</v>
      </c>
      <c r="E113" s="102"/>
      <c r="F113" s="105"/>
      <c r="G113" s="105"/>
      <c r="H113" s="103"/>
      <c r="I113" s="103"/>
    </row>
    <row r="114" spans="1:9" x14ac:dyDescent="0.25">
      <c r="A114" s="108">
        <v>39934</v>
      </c>
      <c r="B114" s="109">
        <v>158.80000000000001</v>
      </c>
      <c r="C114" s="109">
        <v>6.9</v>
      </c>
      <c r="E114" s="102"/>
      <c r="F114" s="105"/>
      <c r="G114" s="105"/>
      <c r="H114" s="103"/>
      <c r="I114" s="103"/>
    </row>
    <row r="115" spans="1:9" x14ac:dyDescent="0.25">
      <c r="A115" s="108">
        <v>39965</v>
      </c>
      <c r="B115" s="109">
        <v>49.3</v>
      </c>
      <c r="C115" s="109">
        <v>34.200000000000003</v>
      </c>
      <c r="E115" s="102"/>
      <c r="F115" s="105"/>
      <c r="G115" s="105"/>
      <c r="H115" s="103"/>
      <c r="I115" s="103"/>
    </row>
    <row r="116" spans="1:9" x14ac:dyDescent="0.25">
      <c r="A116" s="108">
        <v>39995</v>
      </c>
      <c r="B116" s="109">
        <v>6.2</v>
      </c>
      <c r="C116" s="109">
        <v>43.7</v>
      </c>
      <c r="E116" s="102"/>
      <c r="F116" s="105"/>
      <c r="G116" s="105"/>
      <c r="H116" s="103"/>
      <c r="I116" s="103"/>
    </row>
    <row r="117" spans="1:9" x14ac:dyDescent="0.25">
      <c r="A117" s="108">
        <v>40026</v>
      </c>
      <c r="B117" s="109">
        <v>9.8000000000000007</v>
      </c>
      <c r="C117" s="109">
        <v>91</v>
      </c>
      <c r="E117" s="102"/>
      <c r="F117" s="105"/>
      <c r="G117" s="105"/>
      <c r="H117" s="103"/>
      <c r="I117" s="103"/>
    </row>
    <row r="118" spans="1:9" x14ac:dyDescent="0.25">
      <c r="A118" s="108">
        <v>40057</v>
      </c>
      <c r="B118" s="109">
        <v>55.2</v>
      </c>
      <c r="C118" s="109">
        <v>20.9</v>
      </c>
      <c r="E118" s="102"/>
      <c r="F118" s="105"/>
      <c r="G118" s="105"/>
      <c r="H118" s="103"/>
      <c r="I118" s="103"/>
    </row>
    <row r="119" spans="1:9" x14ac:dyDescent="0.25">
      <c r="A119" s="108">
        <v>40087</v>
      </c>
      <c r="B119" s="109">
        <v>287.8</v>
      </c>
      <c r="C119" s="109">
        <v>0</v>
      </c>
      <c r="E119" s="102"/>
      <c r="F119" s="105"/>
      <c r="G119" s="105"/>
      <c r="H119" s="103"/>
      <c r="I119" s="103"/>
    </row>
    <row r="120" spans="1:9" x14ac:dyDescent="0.25">
      <c r="A120" s="108">
        <v>40118</v>
      </c>
      <c r="B120" s="109">
        <v>361.2</v>
      </c>
      <c r="C120" s="109">
        <v>0</v>
      </c>
      <c r="E120" s="102"/>
      <c r="F120" s="105"/>
      <c r="G120" s="105"/>
      <c r="H120" s="103"/>
      <c r="I120" s="103"/>
    </row>
    <row r="121" spans="1:9" x14ac:dyDescent="0.25">
      <c r="A121" s="108">
        <v>40148</v>
      </c>
      <c r="B121" s="109">
        <v>631.29999999999995</v>
      </c>
      <c r="C121" s="109">
        <v>0</v>
      </c>
      <c r="E121" s="102"/>
      <c r="F121" s="105"/>
      <c r="G121" s="105"/>
      <c r="H121" s="103"/>
      <c r="I121" s="103"/>
    </row>
    <row r="122" spans="1:9" x14ac:dyDescent="0.25">
      <c r="A122" s="108">
        <v>40179</v>
      </c>
      <c r="B122" s="109">
        <v>720</v>
      </c>
      <c r="C122" s="109">
        <v>0</v>
      </c>
      <c r="E122" s="102"/>
      <c r="F122" s="105"/>
      <c r="G122" s="105"/>
      <c r="H122" s="103"/>
      <c r="I122" s="103"/>
    </row>
    <row r="123" spans="1:9" x14ac:dyDescent="0.25">
      <c r="A123" s="108">
        <v>40210</v>
      </c>
      <c r="B123" s="109">
        <v>598.29999999999995</v>
      </c>
      <c r="C123" s="109">
        <v>0</v>
      </c>
      <c r="E123" s="102"/>
      <c r="F123" s="105"/>
      <c r="G123" s="105"/>
      <c r="H123" s="103"/>
      <c r="I123" s="103"/>
    </row>
    <row r="124" spans="1:9" x14ac:dyDescent="0.25">
      <c r="A124" s="108">
        <v>40238</v>
      </c>
      <c r="B124" s="109">
        <v>422.8</v>
      </c>
      <c r="C124" s="109">
        <v>0</v>
      </c>
      <c r="E124" s="102"/>
      <c r="F124" s="105"/>
      <c r="G124" s="105"/>
      <c r="H124" s="103"/>
      <c r="I124" s="103"/>
    </row>
    <row r="125" spans="1:9" x14ac:dyDescent="0.25">
      <c r="A125" s="108">
        <v>40269</v>
      </c>
      <c r="B125" s="109">
        <v>225.1</v>
      </c>
      <c r="C125" s="109">
        <v>0</v>
      </c>
      <c r="E125" s="102"/>
      <c r="F125" s="105"/>
      <c r="G125" s="105"/>
      <c r="H125" s="103"/>
      <c r="I125" s="103"/>
    </row>
    <row r="126" spans="1:9" x14ac:dyDescent="0.25">
      <c r="A126" s="108">
        <v>40299</v>
      </c>
      <c r="B126" s="109">
        <v>107.9</v>
      </c>
      <c r="C126" s="109">
        <v>45.7</v>
      </c>
      <c r="E126" s="102"/>
      <c r="F126" s="105"/>
      <c r="G126" s="105"/>
      <c r="H126" s="103"/>
      <c r="I126" s="103"/>
    </row>
    <row r="127" spans="1:9" x14ac:dyDescent="0.25">
      <c r="A127" s="108">
        <v>40330</v>
      </c>
      <c r="B127" s="109">
        <v>21.7</v>
      </c>
      <c r="C127" s="109">
        <v>58.7</v>
      </c>
      <c r="E127" s="102"/>
      <c r="F127" s="105"/>
      <c r="G127" s="105"/>
      <c r="H127" s="103"/>
      <c r="I127" s="103"/>
    </row>
    <row r="128" spans="1:9" x14ac:dyDescent="0.25">
      <c r="A128" s="108">
        <v>40360</v>
      </c>
      <c r="B128" s="109">
        <v>1.8</v>
      </c>
      <c r="C128" s="109">
        <v>164.9</v>
      </c>
      <c r="E128" s="102"/>
      <c r="F128" s="105"/>
      <c r="G128" s="105"/>
      <c r="H128" s="103"/>
      <c r="I128" s="103"/>
    </row>
    <row r="129" spans="1:9" x14ac:dyDescent="0.25">
      <c r="A129" s="108">
        <v>40391</v>
      </c>
      <c r="B129" s="109">
        <v>2.1</v>
      </c>
      <c r="C129" s="109">
        <v>138.80000000000001</v>
      </c>
      <c r="E129" s="102"/>
      <c r="F129" s="105"/>
      <c r="G129" s="105"/>
      <c r="H129" s="103"/>
      <c r="I129" s="103"/>
    </row>
    <row r="130" spans="1:9" x14ac:dyDescent="0.25">
      <c r="A130" s="108">
        <v>40422</v>
      </c>
      <c r="B130" s="109">
        <v>78.099999999999994</v>
      </c>
      <c r="C130" s="109">
        <v>31.5</v>
      </c>
      <c r="E130" s="102"/>
      <c r="F130" s="105"/>
      <c r="G130" s="105"/>
      <c r="H130" s="103"/>
      <c r="I130" s="103"/>
    </row>
    <row r="131" spans="1:9" x14ac:dyDescent="0.25">
      <c r="A131" s="108">
        <v>40452</v>
      </c>
      <c r="B131" s="109">
        <v>241.6</v>
      </c>
      <c r="C131" s="109">
        <v>0</v>
      </c>
      <c r="E131" s="102"/>
      <c r="F131" s="105"/>
      <c r="G131" s="105"/>
      <c r="H131" s="103"/>
      <c r="I131" s="103"/>
    </row>
    <row r="132" spans="1:9" x14ac:dyDescent="0.25">
      <c r="A132" s="108">
        <v>40483</v>
      </c>
      <c r="B132" s="109">
        <v>405.3</v>
      </c>
      <c r="C132" s="109">
        <v>0</v>
      </c>
      <c r="E132" s="102"/>
      <c r="F132" s="105"/>
      <c r="G132" s="105"/>
      <c r="H132" s="103"/>
      <c r="I132" s="103"/>
    </row>
    <row r="133" spans="1:9" x14ac:dyDescent="0.25">
      <c r="A133" s="108">
        <v>40513</v>
      </c>
      <c r="B133" s="109">
        <v>676.2</v>
      </c>
      <c r="C133" s="109">
        <v>0</v>
      </c>
      <c r="E133" s="102"/>
      <c r="F133" s="105"/>
      <c r="G133" s="105"/>
      <c r="H133" s="103"/>
      <c r="I133" s="103"/>
    </row>
    <row r="134" spans="1:9" x14ac:dyDescent="0.25">
      <c r="A134" s="108">
        <v>40544</v>
      </c>
      <c r="B134" s="109">
        <v>775.3</v>
      </c>
      <c r="C134" s="109">
        <v>0</v>
      </c>
      <c r="E134" s="102"/>
      <c r="F134" s="105"/>
      <c r="G134" s="105"/>
      <c r="H134" s="103"/>
      <c r="I134" s="103"/>
    </row>
    <row r="135" spans="1:9" x14ac:dyDescent="0.25">
      <c r="A135" s="108">
        <v>40575</v>
      </c>
      <c r="B135" s="109">
        <v>654.20000000000005</v>
      </c>
      <c r="C135" s="109">
        <v>0</v>
      </c>
      <c r="E135" s="102"/>
      <c r="F135" s="105"/>
      <c r="G135" s="105"/>
      <c r="H135" s="103"/>
      <c r="I135" s="103"/>
    </row>
    <row r="136" spans="1:9" x14ac:dyDescent="0.25">
      <c r="A136" s="108">
        <v>40603</v>
      </c>
      <c r="B136" s="109">
        <v>572.79999999999995</v>
      </c>
      <c r="C136" s="109">
        <v>0</v>
      </c>
      <c r="E136" s="102"/>
      <c r="F136" s="105"/>
      <c r="G136" s="105"/>
      <c r="H136" s="103"/>
      <c r="I136" s="103"/>
    </row>
    <row r="137" spans="1:9" x14ac:dyDescent="0.25">
      <c r="A137" s="108">
        <v>40634</v>
      </c>
      <c r="B137" s="109">
        <v>332.3</v>
      </c>
      <c r="C137" s="109">
        <v>0</v>
      </c>
      <c r="E137" s="102"/>
      <c r="F137" s="105"/>
      <c r="G137" s="105"/>
      <c r="H137" s="103"/>
      <c r="I137" s="103"/>
    </row>
    <row r="138" spans="1:9" x14ac:dyDescent="0.25">
      <c r="A138" s="108">
        <v>40664</v>
      </c>
      <c r="B138" s="109">
        <v>134.1</v>
      </c>
      <c r="C138" s="109">
        <v>13</v>
      </c>
      <c r="E138" s="102"/>
      <c r="F138" s="105"/>
      <c r="G138" s="105"/>
      <c r="H138" s="103"/>
      <c r="I138" s="103"/>
    </row>
    <row r="139" spans="1:9" x14ac:dyDescent="0.25">
      <c r="A139" s="108">
        <v>40695</v>
      </c>
      <c r="B139" s="109">
        <v>19</v>
      </c>
      <c r="C139" s="109">
        <v>52.2</v>
      </c>
      <c r="E139" s="102"/>
      <c r="F139" s="105"/>
      <c r="G139" s="105"/>
      <c r="H139" s="103"/>
      <c r="I139" s="103"/>
    </row>
    <row r="140" spans="1:9" x14ac:dyDescent="0.25">
      <c r="A140" s="108">
        <v>40725</v>
      </c>
      <c r="B140" s="109">
        <v>0</v>
      </c>
      <c r="C140" s="109">
        <v>198.5</v>
      </c>
      <c r="E140" s="102"/>
      <c r="F140" s="105"/>
      <c r="G140" s="105"/>
      <c r="H140" s="103"/>
      <c r="I140" s="103"/>
    </row>
    <row r="141" spans="1:9" x14ac:dyDescent="0.25">
      <c r="A141" s="108">
        <v>40756</v>
      </c>
      <c r="B141" s="109">
        <v>0</v>
      </c>
      <c r="C141" s="109">
        <v>122.2</v>
      </c>
      <c r="E141" s="102"/>
      <c r="F141" s="105"/>
      <c r="G141" s="105"/>
      <c r="H141" s="103"/>
      <c r="I141" s="103"/>
    </row>
    <row r="142" spans="1:9" x14ac:dyDescent="0.25">
      <c r="A142" s="108">
        <v>40787</v>
      </c>
      <c r="B142" s="109">
        <v>48.2</v>
      </c>
      <c r="C142" s="109">
        <v>39.700000000000003</v>
      </c>
      <c r="E142" s="102"/>
      <c r="F142" s="105"/>
      <c r="G142" s="105"/>
      <c r="H142" s="103"/>
      <c r="I142" s="103"/>
    </row>
    <row r="143" spans="1:9" x14ac:dyDescent="0.25">
      <c r="A143" s="108">
        <v>40817</v>
      </c>
      <c r="B143" s="109">
        <v>235.5</v>
      </c>
      <c r="C143" s="109">
        <v>2.4</v>
      </c>
      <c r="E143" s="102"/>
      <c r="F143" s="105"/>
      <c r="G143" s="105"/>
      <c r="H143" s="103"/>
      <c r="I143" s="103"/>
    </row>
    <row r="144" spans="1:9" x14ac:dyDescent="0.25">
      <c r="A144" s="108">
        <v>40848</v>
      </c>
      <c r="B144" s="109">
        <v>341.9</v>
      </c>
      <c r="C144" s="109">
        <v>0</v>
      </c>
      <c r="E144" s="102"/>
      <c r="F144" s="105"/>
      <c r="G144" s="105"/>
      <c r="H144" s="103"/>
      <c r="I144" s="103"/>
    </row>
    <row r="145" spans="1:9" x14ac:dyDescent="0.25">
      <c r="A145" s="108">
        <v>40878</v>
      </c>
      <c r="B145" s="109">
        <v>534</v>
      </c>
      <c r="C145" s="109">
        <v>0</v>
      </c>
      <c r="E145" s="102"/>
      <c r="F145" s="105"/>
      <c r="G145" s="105"/>
      <c r="H145" s="103"/>
      <c r="I145" s="103"/>
    </row>
    <row r="146" spans="1:9" x14ac:dyDescent="0.25">
      <c r="A146" s="108">
        <v>40909</v>
      </c>
      <c r="B146" s="109">
        <v>611.1</v>
      </c>
      <c r="C146" s="109">
        <v>0</v>
      </c>
      <c r="E146" s="102"/>
      <c r="F146" s="105"/>
      <c r="G146" s="105"/>
      <c r="H146" s="103"/>
      <c r="I146" s="103"/>
    </row>
    <row r="147" spans="1:9" x14ac:dyDescent="0.25">
      <c r="A147" s="108">
        <v>40940</v>
      </c>
      <c r="B147" s="109">
        <v>531.70000000000005</v>
      </c>
      <c r="C147" s="109">
        <v>0</v>
      </c>
      <c r="E147" s="102"/>
      <c r="F147" s="105"/>
      <c r="G147" s="105"/>
      <c r="H147" s="103"/>
      <c r="I147" s="103"/>
    </row>
    <row r="148" spans="1:9" x14ac:dyDescent="0.25">
      <c r="A148" s="108">
        <v>40969</v>
      </c>
      <c r="B148" s="109">
        <v>349.4</v>
      </c>
      <c r="C148" s="109">
        <v>0.2</v>
      </c>
      <c r="E148" s="102"/>
      <c r="F148" s="105"/>
      <c r="G148" s="105"/>
      <c r="H148" s="103"/>
      <c r="I148" s="103"/>
    </row>
    <row r="149" spans="1:9" x14ac:dyDescent="0.25">
      <c r="A149" s="108">
        <v>41000</v>
      </c>
      <c r="B149" s="109">
        <v>321.7</v>
      </c>
      <c r="C149" s="109">
        <v>0</v>
      </c>
      <c r="E149" s="102"/>
      <c r="F149" s="105"/>
      <c r="G149" s="105"/>
      <c r="H149" s="103"/>
      <c r="I149" s="103"/>
    </row>
    <row r="150" spans="1:9" x14ac:dyDescent="0.25">
      <c r="A150" s="108">
        <v>41030</v>
      </c>
      <c r="B150" s="109">
        <v>80.7</v>
      </c>
      <c r="C150" s="109">
        <v>36.700000000000003</v>
      </c>
      <c r="E150" s="102"/>
      <c r="F150" s="105"/>
      <c r="G150" s="105"/>
      <c r="H150" s="103"/>
      <c r="I150" s="103"/>
    </row>
    <row r="151" spans="1:9" x14ac:dyDescent="0.25">
      <c r="A151" s="108">
        <v>41061</v>
      </c>
      <c r="B151" s="109">
        <v>23.2</v>
      </c>
      <c r="C151" s="109">
        <v>101.6</v>
      </c>
      <c r="E151" s="102"/>
      <c r="F151" s="105"/>
      <c r="G151" s="105"/>
      <c r="H151" s="103"/>
      <c r="I151" s="103"/>
    </row>
    <row r="152" spans="1:9" x14ac:dyDescent="0.25">
      <c r="A152" s="108">
        <v>41091</v>
      </c>
      <c r="B152" s="109">
        <v>0</v>
      </c>
      <c r="C152" s="109">
        <v>195.4</v>
      </c>
      <c r="E152" s="102"/>
      <c r="F152" s="105"/>
      <c r="G152" s="105"/>
      <c r="H152" s="103"/>
      <c r="I152" s="103"/>
    </row>
    <row r="153" spans="1:9" x14ac:dyDescent="0.25">
      <c r="A153" s="108">
        <v>41122</v>
      </c>
      <c r="B153" s="109">
        <v>2</v>
      </c>
      <c r="C153" s="109">
        <v>112.1</v>
      </c>
      <c r="E153" s="102"/>
      <c r="F153" s="105"/>
      <c r="G153" s="105"/>
      <c r="H153" s="103"/>
      <c r="I153" s="103"/>
    </row>
    <row r="154" spans="1:9" x14ac:dyDescent="0.25">
      <c r="A154" s="108">
        <v>41153</v>
      </c>
      <c r="B154" s="109">
        <v>85</v>
      </c>
      <c r="C154" s="109">
        <v>35.6</v>
      </c>
      <c r="E154" s="102"/>
      <c r="F154" s="105"/>
      <c r="G154" s="105"/>
      <c r="H154" s="103"/>
      <c r="I154" s="103"/>
    </row>
    <row r="155" spans="1:9" x14ac:dyDescent="0.25">
      <c r="A155" s="108">
        <v>41183</v>
      </c>
      <c r="B155" s="109">
        <v>242.5</v>
      </c>
      <c r="C155" s="109">
        <v>1.1000000000000001</v>
      </c>
      <c r="E155" s="102"/>
      <c r="F155" s="105"/>
      <c r="G155" s="105"/>
      <c r="H155" s="103"/>
      <c r="I155" s="103"/>
    </row>
    <row r="156" spans="1:9" x14ac:dyDescent="0.25">
      <c r="A156" s="108">
        <v>41214</v>
      </c>
      <c r="B156" s="109">
        <v>434</v>
      </c>
      <c r="C156" s="109">
        <v>0</v>
      </c>
      <c r="E156" s="102"/>
      <c r="F156" s="105"/>
      <c r="G156" s="105"/>
      <c r="H156" s="103"/>
      <c r="I156" s="103"/>
    </row>
    <row r="157" spans="1:9" x14ac:dyDescent="0.25">
      <c r="A157" s="108">
        <v>41244</v>
      </c>
      <c r="B157" s="109">
        <v>533.5</v>
      </c>
      <c r="C157" s="109">
        <v>0</v>
      </c>
      <c r="E157" s="102"/>
      <c r="F157" s="105"/>
      <c r="G157" s="105"/>
      <c r="H157" s="103"/>
      <c r="I157" s="103"/>
    </row>
    <row r="158" spans="1:9" x14ac:dyDescent="0.25">
      <c r="A158" s="108">
        <v>41275</v>
      </c>
      <c r="B158" s="32">
        <v>624.4</v>
      </c>
      <c r="C158" s="32">
        <v>0</v>
      </c>
      <c r="E158" s="102"/>
      <c r="F158" s="105"/>
      <c r="G158" s="105"/>
      <c r="H158" s="103"/>
      <c r="I158" s="103"/>
    </row>
    <row r="159" spans="1:9" x14ac:dyDescent="0.25">
      <c r="A159" s="108">
        <v>41306</v>
      </c>
      <c r="B159" s="107">
        <v>631.5</v>
      </c>
      <c r="C159" s="32">
        <v>0</v>
      </c>
      <c r="E159" s="102"/>
      <c r="F159" s="105"/>
      <c r="G159" s="105"/>
      <c r="H159" s="103"/>
      <c r="I159" s="103"/>
    </row>
    <row r="160" spans="1:9" x14ac:dyDescent="0.25">
      <c r="A160" s="108">
        <v>41334</v>
      </c>
      <c r="B160" s="32">
        <v>554.79999999999995</v>
      </c>
      <c r="C160" s="32">
        <v>0</v>
      </c>
      <c r="E160" s="102"/>
      <c r="F160" s="105"/>
      <c r="G160" s="105"/>
      <c r="H160" s="103"/>
      <c r="I160" s="103"/>
    </row>
    <row r="161" spans="1:9" x14ac:dyDescent="0.25">
      <c r="A161" s="108">
        <v>41365</v>
      </c>
      <c r="B161" s="32">
        <v>358.6</v>
      </c>
      <c r="C161" s="32">
        <v>0</v>
      </c>
      <c r="E161" s="102"/>
      <c r="F161" s="105"/>
      <c r="G161" s="105"/>
      <c r="H161" s="103"/>
      <c r="I161" s="103"/>
    </row>
    <row r="162" spans="1:9" x14ac:dyDescent="0.25">
      <c r="A162" s="108">
        <v>41395</v>
      </c>
      <c r="B162" s="32">
        <v>109.1</v>
      </c>
      <c r="C162" s="32">
        <v>23.1</v>
      </c>
      <c r="E162" s="102"/>
      <c r="F162" s="105"/>
      <c r="G162" s="105"/>
      <c r="H162" s="103"/>
      <c r="I162" s="103"/>
    </row>
    <row r="163" spans="1:9" x14ac:dyDescent="0.25">
      <c r="A163" s="108">
        <v>41426</v>
      </c>
      <c r="B163" s="32">
        <v>33</v>
      </c>
      <c r="C163" s="32">
        <v>59.6</v>
      </c>
      <c r="E163" s="102"/>
      <c r="F163" s="105"/>
      <c r="G163" s="105"/>
      <c r="H163" s="103"/>
      <c r="I163" s="103"/>
    </row>
    <row r="164" spans="1:9" x14ac:dyDescent="0.25">
      <c r="A164" s="108">
        <v>41456</v>
      </c>
      <c r="B164" s="32">
        <v>1.3</v>
      </c>
      <c r="C164" s="32">
        <v>120.8</v>
      </c>
      <c r="E164" s="102"/>
      <c r="F164" s="105"/>
      <c r="G164" s="105"/>
      <c r="H164" s="106"/>
      <c r="I164" s="103"/>
    </row>
    <row r="165" spans="1:9" x14ac:dyDescent="0.25">
      <c r="A165" s="108">
        <v>41487</v>
      </c>
      <c r="B165" s="32">
        <v>4.4000000000000004</v>
      </c>
      <c r="C165" s="32">
        <v>93.8</v>
      </c>
      <c r="E165" s="102"/>
      <c r="F165" s="105"/>
      <c r="G165" s="105"/>
      <c r="H165" s="106"/>
      <c r="I165" s="103"/>
    </row>
    <row r="166" spans="1:9" x14ac:dyDescent="0.25">
      <c r="A166" s="108">
        <v>41518</v>
      </c>
      <c r="B166" s="32">
        <v>83</v>
      </c>
      <c r="C166" s="32">
        <v>28.1</v>
      </c>
      <c r="E166" s="102"/>
      <c r="F166" s="105"/>
      <c r="G166" s="105"/>
      <c r="H166" s="106"/>
      <c r="I166" s="103"/>
    </row>
    <row r="167" spans="1:9" x14ac:dyDescent="0.25">
      <c r="A167" s="108">
        <v>41548</v>
      </c>
      <c r="B167" s="32">
        <v>208.5</v>
      </c>
      <c r="C167" s="32">
        <v>0.4</v>
      </c>
      <c r="E167" s="102"/>
      <c r="F167" s="105"/>
      <c r="G167" s="105"/>
      <c r="H167" s="106"/>
      <c r="I167" s="103"/>
    </row>
    <row r="168" spans="1:9" x14ac:dyDescent="0.25">
      <c r="A168" s="108">
        <v>41579</v>
      </c>
      <c r="B168" s="32">
        <v>478.2</v>
      </c>
      <c r="C168" s="32">
        <v>0</v>
      </c>
      <c r="E168" s="102"/>
      <c r="F168" s="105"/>
      <c r="G168" s="105"/>
      <c r="H168" s="106"/>
      <c r="I168" s="103"/>
    </row>
    <row r="169" spans="1:9" x14ac:dyDescent="0.25">
      <c r="A169" s="108">
        <v>41609</v>
      </c>
      <c r="B169" s="32">
        <v>687.9</v>
      </c>
      <c r="C169" s="32">
        <v>0</v>
      </c>
      <c r="E169" s="102"/>
      <c r="F169" s="105"/>
      <c r="G169" s="105"/>
      <c r="H169" s="106"/>
      <c r="I169" s="103"/>
    </row>
    <row r="170" spans="1:9" x14ac:dyDescent="0.25">
      <c r="A170" s="108">
        <v>41640</v>
      </c>
      <c r="B170" s="32">
        <v>825.9</v>
      </c>
      <c r="C170" s="32">
        <v>0</v>
      </c>
      <c r="E170" s="102"/>
      <c r="F170" s="105"/>
      <c r="G170" s="105"/>
      <c r="H170" s="106"/>
      <c r="I170" s="103"/>
    </row>
    <row r="171" spans="1:9" x14ac:dyDescent="0.25">
      <c r="A171" s="108">
        <v>41671</v>
      </c>
      <c r="B171" s="32">
        <v>737.1</v>
      </c>
      <c r="C171" s="32">
        <v>0</v>
      </c>
      <c r="E171" s="102"/>
      <c r="F171" s="105"/>
      <c r="G171" s="105"/>
      <c r="H171" s="106"/>
      <c r="I171" s="103"/>
    </row>
    <row r="172" spans="1:9" x14ac:dyDescent="0.25">
      <c r="A172" s="108">
        <v>41699</v>
      </c>
      <c r="B172" s="32">
        <v>690.6</v>
      </c>
      <c r="C172" s="32">
        <v>0</v>
      </c>
      <c r="E172" s="102"/>
      <c r="F172" s="105"/>
      <c r="G172" s="105"/>
      <c r="H172" s="106"/>
      <c r="I172" s="103"/>
    </row>
    <row r="173" spans="1:9" x14ac:dyDescent="0.25">
      <c r="A173" s="108">
        <v>41730</v>
      </c>
      <c r="B173" s="32">
        <v>356.9</v>
      </c>
      <c r="C173" s="32">
        <v>0</v>
      </c>
      <c r="E173" s="102"/>
      <c r="F173" s="105"/>
      <c r="G173" s="105"/>
      <c r="H173" s="106"/>
      <c r="I173" s="103"/>
    </row>
    <row r="174" spans="1:9" x14ac:dyDescent="0.25">
      <c r="A174" s="108">
        <v>41760</v>
      </c>
      <c r="B174" s="32">
        <v>132.1</v>
      </c>
      <c r="C174" s="32">
        <v>11.9</v>
      </c>
      <c r="E174" s="102"/>
      <c r="F174" s="105"/>
      <c r="G174" s="105"/>
      <c r="H174" s="106"/>
      <c r="I174" s="103"/>
    </row>
    <row r="175" spans="1:9" x14ac:dyDescent="0.25">
      <c r="A175" s="108">
        <v>41791</v>
      </c>
      <c r="B175" s="32">
        <v>14.1</v>
      </c>
      <c r="C175" s="32">
        <v>68.099999999999994</v>
      </c>
      <c r="E175" s="102"/>
      <c r="F175" s="105"/>
      <c r="G175" s="105"/>
      <c r="H175" s="106"/>
      <c r="I175" s="103"/>
    </row>
    <row r="176" spans="1:9" x14ac:dyDescent="0.25">
      <c r="A176" s="108">
        <v>41821</v>
      </c>
      <c r="B176" s="32">
        <v>4</v>
      </c>
      <c r="C176" s="32">
        <v>71</v>
      </c>
      <c r="E176" s="102"/>
      <c r="F176" s="105"/>
      <c r="G176" s="105"/>
      <c r="H176" s="106"/>
      <c r="I176" s="103"/>
    </row>
    <row r="177" spans="1:9" x14ac:dyDescent="0.25">
      <c r="A177" s="108">
        <v>41852</v>
      </c>
      <c r="B177" s="32">
        <v>8.8000000000000007</v>
      </c>
      <c r="C177" s="32">
        <v>81.8</v>
      </c>
      <c r="E177" s="102"/>
      <c r="F177" s="105"/>
      <c r="G177" s="105"/>
      <c r="H177" s="106"/>
      <c r="I177" s="103"/>
    </row>
    <row r="178" spans="1:9" x14ac:dyDescent="0.25">
      <c r="A178" s="108">
        <v>41883</v>
      </c>
      <c r="B178" s="32">
        <v>69.7</v>
      </c>
      <c r="C178" s="32">
        <v>30.1</v>
      </c>
      <c r="E178" s="102"/>
      <c r="F178" s="105"/>
      <c r="G178" s="105"/>
      <c r="H178" s="106"/>
      <c r="I178" s="103"/>
    </row>
    <row r="179" spans="1:9" x14ac:dyDescent="0.25">
      <c r="A179" s="108">
        <v>41913</v>
      </c>
      <c r="B179" s="32">
        <v>224.3</v>
      </c>
      <c r="C179" s="32">
        <v>1.3</v>
      </c>
      <c r="E179" s="102"/>
      <c r="F179" s="105"/>
      <c r="G179" s="105"/>
      <c r="H179" s="106"/>
      <c r="I179" s="103"/>
    </row>
    <row r="180" spans="1:9" x14ac:dyDescent="0.25">
      <c r="A180" s="108">
        <v>41944</v>
      </c>
      <c r="B180" s="32">
        <v>482.1</v>
      </c>
      <c r="C180" s="32">
        <v>0</v>
      </c>
      <c r="E180" s="102"/>
      <c r="F180" s="105"/>
      <c r="G180" s="105"/>
      <c r="H180" s="106"/>
      <c r="I180" s="103"/>
    </row>
    <row r="181" spans="1:9" x14ac:dyDescent="0.25">
      <c r="A181" s="108">
        <v>41974</v>
      </c>
      <c r="B181" s="32">
        <v>557.29999999999995</v>
      </c>
      <c r="C181" s="32">
        <v>0</v>
      </c>
      <c r="E181" s="102"/>
      <c r="F181" s="105"/>
      <c r="G181" s="105"/>
      <c r="H181" s="106"/>
      <c r="I181" s="103"/>
    </row>
    <row r="182" spans="1:9" x14ac:dyDescent="0.25">
      <c r="A182" s="108">
        <v>42005</v>
      </c>
      <c r="B182" s="32">
        <f>'Purchased Power Model'!E63</f>
        <v>792.39999999999975</v>
      </c>
      <c r="C182" s="32">
        <f>'Purchased Power Model'!F63</f>
        <v>0</v>
      </c>
      <c r="E182" s="102"/>
      <c r="F182" s="105"/>
      <c r="G182" s="105"/>
      <c r="H182" s="106"/>
      <c r="I182" s="103"/>
    </row>
    <row r="183" spans="1:9" x14ac:dyDescent="0.25">
      <c r="A183" s="108">
        <v>42036</v>
      </c>
      <c r="B183" s="32">
        <f>'Purchased Power Model'!E64</f>
        <v>856.8</v>
      </c>
      <c r="C183" s="32">
        <f>'Purchased Power Model'!F64</f>
        <v>0</v>
      </c>
      <c r="E183" s="102"/>
      <c r="F183" s="105"/>
      <c r="G183" s="105"/>
      <c r="H183" s="106"/>
      <c r="I183" s="103"/>
    </row>
    <row r="184" spans="1:9" x14ac:dyDescent="0.25">
      <c r="A184" s="108">
        <v>42064</v>
      </c>
      <c r="B184" s="32">
        <f>'Purchased Power Model'!E65</f>
        <v>615.49999999999989</v>
      </c>
      <c r="C184" s="32">
        <f>'Purchased Power Model'!F65</f>
        <v>0</v>
      </c>
      <c r="E184" s="102"/>
      <c r="F184" s="105"/>
      <c r="G184" s="105"/>
      <c r="H184" s="106"/>
      <c r="I184" s="103"/>
    </row>
    <row r="185" spans="1:9" x14ac:dyDescent="0.25">
      <c r="A185" s="108">
        <v>42095</v>
      </c>
      <c r="B185" s="32">
        <f>'Purchased Power Model'!E66</f>
        <v>313.7</v>
      </c>
      <c r="C185" s="32">
        <f>'Purchased Power Model'!F66</f>
        <v>0</v>
      </c>
      <c r="E185" s="102"/>
      <c r="F185" s="105"/>
      <c r="G185" s="105"/>
      <c r="H185" s="103"/>
      <c r="I185" s="103"/>
    </row>
    <row r="186" spans="1:9" x14ac:dyDescent="0.25">
      <c r="A186" s="108">
        <v>42125</v>
      </c>
      <c r="B186" s="32">
        <f>'Purchased Power Model'!E67</f>
        <v>89.3</v>
      </c>
      <c r="C186" s="32">
        <f>'Purchased Power Model'!F67</f>
        <v>34.1</v>
      </c>
      <c r="E186" s="102"/>
      <c r="F186" s="105"/>
      <c r="G186" s="105"/>
      <c r="H186" s="103"/>
      <c r="I186" s="103"/>
    </row>
    <row r="187" spans="1:9" x14ac:dyDescent="0.25">
      <c r="A187" s="108">
        <v>42156</v>
      </c>
      <c r="B187" s="32">
        <f>'Purchased Power Model'!E68</f>
        <v>33.800000000000004</v>
      </c>
      <c r="C187" s="32">
        <f>'Purchased Power Model'!F68</f>
        <v>32.299999999999997</v>
      </c>
      <c r="E187" s="102"/>
      <c r="F187" s="105"/>
      <c r="G187" s="105"/>
      <c r="H187" s="103"/>
      <c r="I187" s="103"/>
    </row>
    <row r="188" spans="1:9" x14ac:dyDescent="0.25">
      <c r="A188" s="108">
        <v>42186</v>
      </c>
      <c r="B188" s="32">
        <f>'Purchased Power Model'!E69</f>
        <v>4</v>
      </c>
      <c r="C188" s="32">
        <f>'Purchased Power Model'!F69</f>
        <v>114.29999999999998</v>
      </c>
      <c r="E188" s="102"/>
      <c r="F188" s="105"/>
      <c r="G188" s="105"/>
      <c r="H188" s="103"/>
      <c r="I188" s="103"/>
    </row>
    <row r="189" spans="1:9" x14ac:dyDescent="0.25">
      <c r="A189" s="108">
        <v>42217</v>
      </c>
      <c r="B189" s="32">
        <f>'Purchased Power Model'!E70</f>
        <v>4.4000000000000004</v>
      </c>
      <c r="C189" s="32">
        <f>'Purchased Power Model'!F70</f>
        <v>88.6</v>
      </c>
      <c r="E189" s="102"/>
      <c r="F189" s="105"/>
      <c r="G189" s="105"/>
      <c r="H189" s="103"/>
      <c r="I189" s="103"/>
    </row>
    <row r="190" spans="1:9" x14ac:dyDescent="0.25">
      <c r="A190" s="108">
        <v>42248</v>
      </c>
      <c r="B190" s="32">
        <f>'Purchased Power Model'!E71</f>
        <v>31.099999999999994</v>
      </c>
      <c r="C190" s="32">
        <f>'Purchased Power Model'!F71</f>
        <v>81.900000000000006</v>
      </c>
      <c r="E190" s="102"/>
      <c r="F190" s="105"/>
      <c r="G190" s="105"/>
      <c r="H190" s="103"/>
      <c r="I190" s="103"/>
    </row>
    <row r="191" spans="1:9" x14ac:dyDescent="0.25">
      <c r="A191" s="108">
        <v>42278</v>
      </c>
      <c r="B191" s="32">
        <f>'Purchased Power Model'!E72</f>
        <v>249.8</v>
      </c>
      <c r="C191" s="32">
        <f>'Purchased Power Model'!F72</f>
        <v>0</v>
      </c>
      <c r="E191" s="102"/>
      <c r="F191" s="105"/>
      <c r="G191" s="105"/>
      <c r="H191" s="103"/>
      <c r="I191" s="103"/>
    </row>
    <row r="192" spans="1:9" x14ac:dyDescent="0.25">
      <c r="A192" s="108">
        <v>42309</v>
      </c>
      <c r="B192" s="32">
        <f>'Purchased Power Model'!E73</f>
        <v>345</v>
      </c>
      <c r="C192" s="32">
        <f>'Purchased Power Model'!F73</f>
        <v>0</v>
      </c>
      <c r="E192" s="102"/>
      <c r="F192" s="105"/>
      <c r="G192" s="105"/>
      <c r="H192" s="103"/>
      <c r="I192" s="103"/>
    </row>
    <row r="193" spans="1:9" x14ac:dyDescent="0.25">
      <c r="A193" s="108">
        <v>42339</v>
      </c>
      <c r="B193" s="32">
        <f>'Purchased Power Model'!E74</f>
        <v>429.70000000000005</v>
      </c>
      <c r="C193" s="32">
        <f>'Purchased Power Model'!F74</f>
        <v>0</v>
      </c>
      <c r="E193" s="102"/>
      <c r="F193" s="105"/>
      <c r="G193" s="105"/>
      <c r="H193" s="103"/>
      <c r="I193" s="103"/>
    </row>
    <row r="194" spans="1:9" x14ac:dyDescent="0.25">
      <c r="A194" s="108">
        <v>42370</v>
      </c>
      <c r="B194" s="32">
        <f>'Purchased Power Model'!E75</f>
        <v>670.4</v>
      </c>
      <c r="C194" s="32">
        <f>'Purchased Power Model'!F75</f>
        <v>0</v>
      </c>
      <c r="E194" s="102"/>
      <c r="F194" s="105"/>
      <c r="G194" s="105"/>
      <c r="H194" s="103"/>
      <c r="I194" s="103"/>
    </row>
    <row r="195" spans="1:9" x14ac:dyDescent="0.25">
      <c r="A195" s="108">
        <v>42401</v>
      </c>
      <c r="B195" s="32">
        <f>'Purchased Power Model'!E76</f>
        <v>588.4</v>
      </c>
      <c r="C195" s="32">
        <f>'Purchased Power Model'!F76</f>
        <v>0</v>
      </c>
      <c r="E195" s="102"/>
      <c r="F195" s="105"/>
      <c r="G195" s="105"/>
      <c r="H195" s="103"/>
      <c r="I195" s="103"/>
    </row>
    <row r="196" spans="1:9" x14ac:dyDescent="0.25">
      <c r="A196" s="108">
        <v>42430</v>
      </c>
      <c r="B196" s="32">
        <f>'Purchased Power Model'!E77</f>
        <v>476.0999999999998</v>
      </c>
      <c r="C196" s="32">
        <f>'Purchased Power Model'!F77</f>
        <v>0</v>
      </c>
      <c r="E196" s="102"/>
      <c r="F196" s="105"/>
      <c r="G196" s="105"/>
      <c r="H196" s="103"/>
      <c r="I196" s="103"/>
    </row>
    <row r="197" spans="1:9" x14ac:dyDescent="0.25">
      <c r="A197" s="108">
        <v>42461</v>
      </c>
      <c r="B197" s="32">
        <f>'Purchased Power Model'!E78</f>
        <v>394.8</v>
      </c>
      <c r="C197" s="32">
        <f>'Purchased Power Model'!F78</f>
        <v>0</v>
      </c>
      <c r="E197" s="102"/>
      <c r="F197" s="105"/>
      <c r="G197" s="105"/>
      <c r="H197" s="103"/>
      <c r="I197" s="103"/>
    </row>
    <row r="198" spans="1:9" x14ac:dyDescent="0.25">
      <c r="A198" s="108">
        <v>42491</v>
      </c>
      <c r="B198" s="32">
        <f>'Purchased Power Model'!E79</f>
        <v>142.50000000000003</v>
      </c>
      <c r="C198" s="32">
        <f>'Purchased Power Model'!F79</f>
        <v>36.9</v>
      </c>
      <c r="E198" s="102"/>
      <c r="F198" s="105"/>
      <c r="G198" s="105"/>
      <c r="H198" s="103"/>
      <c r="I198" s="103"/>
    </row>
    <row r="199" spans="1:9" x14ac:dyDescent="0.25">
      <c r="A199" s="108">
        <v>42522</v>
      </c>
      <c r="B199" s="32">
        <f>'Purchased Power Model'!E80</f>
        <v>24.200000000000003</v>
      </c>
      <c r="C199" s="32">
        <f>'Purchased Power Model'!F80</f>
        <v>83.7</v>
      </c>
      <c r="E199" s="102"/>
      <c r="F199" s="105"/>
      <c r="G199" s="105"/>
      <c r="H199" s="103"/>
      <c r="I199" s="103"/>
    </row>
    <row r="200" spans="1:9" x14ac:dyDescent="0.25">
      <c r="A200" s="108">
        <v>42552</v>
      </c>
      <c r="B200" s="32">
        <f>'Purchased Power Model'!E81</f>
        <v>0</v>
      </c>
      <c r="C200" s="32">
        <f>'Purchased Power Model'!F81</f>
        <v>176.89999999999998</v>
      </c>
      <c r="E200" s="102"/>
      <c r="F200" s="105"/>
      <c r="G200" s="105"/>
      <c r="H200" s="103"/>
      <c r="I200" s="103"/>
    </row>
    <row r="201" spans="1:9" x14ac:dyDescent="0.25">
      <c r="A201" s="108">
        <v>42583</v>
      </c>
      <c r="B201" s="32">
        <f>'Purchased Power Model'!E82</f>
        <v>0</v>
      </c>
      <c r="C201" s="32">
        <f>'Purchased Power Model'!F82</f>
        <v>195.4</v>
      </c>
      <c r="E201" s="102"/>
      <c r="F201" s="105"/>
      <c r="G201" s="105"/>
      <c r="H201" s="103"/>
      <c r="I201" s="103"/>
    </row>
    <row r="202" spans="1:9" x14ac:dyDescent="0.25">
      <c r="A202" s="108">
        <v>42614</v>
      </c>
      <c r="B202" s="32">
        <f>'Purchased Power Model'!E83</f>
        <v>25.900000000000006</v>
      </c>
      <c r="C202" s="32">
        <f>'Purchased Power Model'!F83</f>
        <v>69.400000000000006</v>
      </c>
      <c r="E202" s="102"/>
      <c r="F202" s="105"/>
      <c r="G202" s="105"/>
      <c r="H202" s="103"/>
      <c r="I202" s="103"/>
    </row>
    <row r="203" spans="1:9" x14ac:dyDescent="0.25">
      <c r="A203" s="108">
        <v>42644</v>
      </c>
      <c r="B203" s="32">
        <f>'Purchased Power Model'!E84</f>
        <v>194.20000000000002</v>
      </c>
      <c r="C203" s="32">
        <f>'Purchased Power Model'!F84</f>
        <v>4.0999999999999996</v>
      </c>
      <c r="E203" s="102"/>
      <c r="F203" s="105"/>
      <c r="G203" s="105"/>
      <c r="H203" s="103"/>
      <c r="I203" s="103"/>
    </row>
    <row r="204" spans="1:9" x14ac:dyDescent="0.25">
      <c r="A204" s="108">
        <v>42675</v>
      </c>
      <c r="B204" s="32">
        <f>'Purchased Power Model'!E85</f>
        <v>337.80000000000007</v>
      </c>
      <c r="C204" s="32">
        <f>'Purchased Power Model'!F85</f>
        <v>0</v>
      </c>
      <c r="E204" s="102"/>
      <c r="F204" s="105"/>
      <c r="G204" s="105"/>
      <c r="H204" s="103"/>
      <c r="I204" s="103"/>
    </row>
    <row r="205" spans="1:9" x14ac:dyDescent="0.25">
      <c r="A205" s="108">
        <v>42705</v>
      </c>
      <c r="B205" s="32">
        <f>'Purchased Power Model'!E86</f>
        <v>607.99999999999989</v>
      </c>
      <c r="C205" s="32">
        <f>'Purchased Power Model'!F86</f>
        <v>0</v>
      </c>
      <c r="E205" s="102"/>
      <c r="F205" s="105"/>
      <c r="G205" s="105"/>
      <c r="H205" s="103"/>
      <c r="I205" s="103"/>
    </row>
    <row r="206" spans="1:9" x14ac:dyDescent="0.25">
      <c r="A206" s="108">
        <v>42736</v>
      </c>
      <c r="B206" s="32">
        <f>'Purchased Power Model'!E87</f>
        <v>608.9</v>
      </c>
      <c r="C206" s="32">
        <f>'Purchased Power Model'!F87</f>
        <v>0</v>
      </c>
      <c r="E206" s="109"/>
      <c r="F206" s="105"/>
      <c r="G206" s="105"/>
      <c r="H206" s="103"/>
      <c r="I206" s="103"/>
    </row>
    <row r="207" spans="1:9" x14ac:dyDescent="0.25">
      <c r="A207" s="108">
        <v>42767</v>
      </c>
      <c r="B207" s="32">
        <f>'Purchased Power Model'!E88</f>
        <v>510.4</v>
      </c>
      <c r="C207" s="32">
        <f>'Purchased Power Model'!F88</f>
        <v>0</v>
      </c>
      <c r="E207" s="109"/>
      <c r="F207" s="105"/>
      <c r="G207" s="105"/>
      <c r="H207" s="103"/>
      <c r="I207" s="103"/>
    </row>
    <row r="208" spans="1:9" x14ac:dyDescent="0.25">
      <c r="A208" s="108">
        <v>42795</v>
      </c>
      <c r="B208" s="32">
        <f>'Purchased Power Model'!E89</f>
        <v>574</v>
      </c>
      <c r="C208" s="32">
        <f>'Purchased Power Model'!F89</f>
        <v>0</v>
      </c>
      <c r="E208" s="109"/>
      <c r="F208" s="105"/>
      <c r="G208" s="105"/>
      <c r="H208" s="104"/>
      <c r="I208" s="104"/>
    </row>
    <row r="209" spans="1:9" x14ac:dyDescent="0.25">
      <c r="A209" s="108">
        <v>42826</v>
      </c>
      <c r="B209" s="32">
        <f>'Purchased Power Model'!E90</f>
        <v>257.49999999999994</v>
      </c>
      <c r="C209" s="32">
        <f>'Purchased Power Model'!F90</f>
        <v>0</v>
      </c>
      <c r="E209" s="109"/>
      <c r="F209" s="105"/>
      <c r="G209" s="105"/>
      <c r="H209" s="104"/>
      <c r="I209" s="104"/>
    </row>
    <row r="210" spans="1:9" x14ac:dyDescent="0.25">
      <c r="A210" s="108">
        <v>42856</v>
      </c>
      <c r="B210" s="32">
        <f>'Purchased Power Model'!E91</f>
        <v>177</v>
      </c>
      <c r="C210" s="32">
        <f>'Purchased Power Model'!F91</f>
        <v>9</v>
      </c>
      <c r="E210" s="109"/>
      <c r="F210" s="105"/>
      <c r="G210" s="105"/>
      <c r="H210" s="104"/>
      <c r="I210" s="104"/>
    </row>
    <row r="211" spans="1:9" x14ac:dyDescent="0.25">
      <c r="A211" s="108">
        <v>42887</v>
      </c>
      <c r="B211" s="32">
        <f>'Purchased Power Model'!E92</f>
        <v>26.699999999999996</v>
      </c>
      <c r="C211" s="32">
        <f>'Purchased Power Model'!F92</f>
        <v>68.2</v>
      </c>
      <c r="E211" s="109"/>
      <c r="F211" s="105"/>
      <c r="G211" s="105"/>
      <c r="H211" s="104"/>
      <c r="I211" s="104"/>
    </row>
    <row r="212" spans="1:9" x14ac:dyDescent="0.25">
      <c r="A212" s="108">
        <v>42917</v>
      </c>
      <c r="B212" s="32">
        <f>'Purchased Power Model'!E93</f>
        <v>0</v>
      </c>
      <c r="C212" s="32">
        <f>'Purchased Power Model'!F93</f>
        <v>116.49999999999999</v>
      </c>
      <c r="E212" s="109"/>
      <c r="F212" s="105"/>
      <c r="G212" s="105"/>
      <c r="H212" s="104"/>
      <c r="I212" s="104"/>
    </row>
    <row r="213" spans="1:9" x14ac:dyDescent="0.25">
      <c r="A213" s="108">
        <v>42948</v>
      </c>
      <c r="B213" s="32">
        <f>'Purchased Power Model'!E94</f>
        <v>11.6</v>
      </c>
      <c r="C213" s="32">
        <f>'Purchased Power Model'!F94</f>
        <v>75.2</v>
      </c>
      <c r="E213" s="109"/>
      <c r="F213" s="105"/>
      <c r="G213" s="105"/>
      <c r="H213" s="104"/>
      <c r="I213" s="104"/>
    </row>
    <row r="214" spans="1:9" x14ac:dyDescent="0.25">
      <c r="A214" s="108">
        <v>42979</v>
      </c>
      <c r="B214" s="32">
        <f>'Purchased Power Model'!E95</f>
        <v>49.1</v>
      </c>
      <c r="C214" s="32">
        <f>'Purchased Power Model'!F95</f>
        <v>71.499999999999986</v>
      </c>
      <c r="E214" s="109"/>
      <c r="F214" s="105"/>
      <c r="G214" s="105"/>
      <c r="H214" s="104"/>
      <c r="I214" s="104"/>
    </row>
    <row r="215" spans="1:9" x14ac:dyDescent="0.25">
      <c r="A215" s="108">
        <v>43009</v>
      </c>
      <c r="B215" s="32">
        <f>'Purchased Power Model'!E96</f>
        <v>153.99999999999997</v>
      </c>
      <c r="C215" s="32">
        <f>'Purchased Power Model'!F96</f>
        <v>8.1</v>
      </c>
      <c r="E215" s="109"/>
      <c r="F215" s="105"/>
      <c r="G215" s="105"/>
    </row>
    <row r="216" spans="1:9" x14ac:dyDescent="0.25">
      <c r="A216" s="108">
        <v>43040</v>
      </c>
      <c r="B216" s="32">
        <f>'Purchased Power Model'!E97</f>
        <v>414.2</v>
      </c>
      <c r="C216" s="32">
        <f>'Purchased Power Model'!F97</f>
        <v>0</v>
      </c>
      <c r="E216" s="109"/>
      <c r="F216" s="105"/>
      <c r="G216" s="105"/>
    </row>
    <row r="217" spans="1:9" x14ac:dyDescent="0.25">
      <c r="A217" s="108">
        <v>43070</v>
      </c>
      <c r="B217" s="32">
        <f>'Purchased Power Model'!E98</f>
        <v>718.49999999999989</v>
      </c>
      <c r="C217" s="32">
        <f>'Purchased Power Model'!F98</f>
        <v>0</v>
      </c>
      <c r="E217" s="109"/>
      <c r="F217" s="105"/>
      <c r="G217" s="105"/>
    </row>
    <row r="218" spans="1:9" x14ac:dyDescent="0.25">
      <c r="A218" s="108">
        <v>43101</v>
      </c>
      <c r="B218" s="32">
        <f>'Purchased Power Model'!E99</f>
        <v>732.29999999999984</v>
      </c>
      <c r="C218" s="32">
        <f>'Purchased Power Model'!F99</f>
        <v>0</v>
      </c>
      <c r="E218" s="109"/>
      <c r="F218" s="105"/>
      <c r="G218" s="105"/>
    </row>
    <row r="219" spans="1:9" x14ac:dyDescent="0.25">
      <c r="A219" s="108">
        <v>43132</v>
      </c>
      <c r="B219" s="32">
        <f>'Purchased Power Model'!E100</f>
        <v>555.00000000000023</v>
      </c>
      <c r="C219" s="32">
        <f>'Purchased Power Model'!F100</f>
        <v>0</v>
      </c>
      <c r="E219" s="109"/>
      <c r="F219" s="105"/>
      <c r="G219" s="105"/>
    </row>
    <row r="220" spans="1:9" x14ac:dyDescent="0.25">
      <c r="A220" s="108">
        <v>43160</v>
      </c>
      <c r="B220" s="32">
        <f>'Purchased Power Model'!E101</f>
        <v>553.99999999999989</v>
      </c>
      <c r="C220" s="32">
        <f>'Purchased Power Model'!F101</f>
        <v>0</v>
      </c>
      <c r="E220" s="109"/>
      <c r="F220" s="105"/>
      <c r="G220" s="105"/>
      <c r="H220" s="104"/>
      <c r="I220" s="104"/>
    </row>
    <row r="221" spans="1:9" x14ac:dyDescent="0.25">
      <c r="A221" s="108">
        <v>43191</v>
      </c>
      <c r="B221" s="32">
        <f>'Purchased Power Model'!E102</f>
        <v>437.20000000000005</v>
      </c>
      <c r="C221" s="32">
        <f>'Purchased Power Model'!F102</f>
        <v>0</v>
      </c>
      <c r="E221" s="109"/>
      <c r="F221" s="105"/>
      <c r="G221" s="105"/>
      <c r="H221" s="104"/>
      <c r="I221" s="104"/>
    </row>
    <row r="222" spans="1:9" x14ac:dyDescent="0.25">
      <c r="A222" s="108">
        <v>43221</v>
      </c>
      <c r="B222" s="32">
        <f>'Purchased Power Model'!E103</f>
        <v>75.3</v>
      </c>
      <c r="C222" s="32">
        <f>'Purchased Power Model'!F103</f>
        <v>43.4</v>
      </c>
      <c r="E222" s="109"/>
      <c r="F222" s="105"/>
      <c r="G222" s="105"/>
      <c r="H222" s="104"/>
      <c r="I222" s="104"/>
    </row>
    <row r="223" spans="1:9" x14ac:dyDescent="0.25">
      <c r="A223" s="108">
        <v>43252</v>
      </c>
      <c r="B223" s="32">
        <f>'Purchased Power Model'!E104</f>
        <v>14.799999999999999</v>
      </c>
      <c r="C223" s="32">
        <f>'Purchased Power Model'!F104</f>
        <v>60.5</v>
      </c>
      <c r="E223" s="109"/>
      <c r="F223" s="105"/>
      <c r="G223" s="105"/>
      <c r="H223" s="104"/>
      <c r="I223" s="104"/>
    </row>
    <row r="224" spans="1:9" x14ac:dyDescent="0.25">
      <c r="A224" s="108">
        <v>43282</v>
      </c>
      <c r="B224" s="32">
        <f>'Purchased Power Model'!E105</f>
        <v>0</v>
      </c>
      <c r="C224" s="32">
        <f>'Purchased Power Model'!F105</f>
        <v>167.8</v>
      </c>
      <c r="E224" s="109"/>
      <c r="F224" s="105"/>
      <c r="G224" s="105"/>
      <c r="H224" s="104"/>
      <c r="I224" s="104"/>
    </row>
    <row r="225" spans="1:9" x14ac:dyDescent="0.25">
      <c r="A225" s="108">
        <v>43313</v>
      </c>
      <c r="B225" s="32">
        <f>'Purchased Power Model'!E106</f>
        <v>1.2</v>
      </c>
      <c r="C225" s="32">
        <f>'Purchased Power Model'!F106</f>
        <v>162.4</v>
      </c>
      <c r="E225" s="109"/>
      <c r="F225" s="105"/>
      <c r="G225" s="105"/>
      <c r="H225" s="104"/>
      <c r="I225" s="104"/>
    </row>
    <row r="226" spans="1:9" x14ac:dyDescent="0.25">
      <c r="A226" s="108">
        <v>43344</v>
      </c>
      <c r="B226" s="32">
        <f>'Purchased Power Model'!E107</f>
        <v>41.399999999999991</v>
      </c>
      <c r="C226" s="32">
        <f>'Purchased Power Model'!F107</f>
        <v>76.399999999999977</v>
      </c>
      <c r="E226" s="109"/>
      <c r="F226" s="105"/>
      <c r="G226" s="105"/>
    </row>
    <row r="227" spans="1:9" x14ac:dyDescent="0.25">
      <c r="A227" s="108">
        <v>43374</v>
      </c>
      <c r="B227" s="32">
        <f>'Purchased Power Model'!E108</f>
        <v>289.40000000000003</v>
      </c>
      <c r="C227" s="32">
        <f>'Purchased Power Model'!F108</f>
        <v>8.1999999999999993</v>
      </c>
      <c r="E227" s="109"/>
      <c r="F227" s="105"/>
      <c r="G227" s="105"/>
    </row>
    <row r="228" spans="1:9" x14ac:dyDescent="0.25">
      <c r="A228" s="108">
        <v>43405</v>
      </c>
      <c r="B228" s="32">
        <f>'Purchased Power Model'!E109</f>
        <v>494.1</v>
      </c>
      <c r="C228" s="32">
        <f>'Purchased Power Model'!F109</f>
        <v>0</v>
      </c>
      <c r="E228" s="109"/>
      <c r="F228" s="105"/>
      <c r="G228" s="105"/>
    </row>
    <row r="229" spans="1:9" x14ac:dyDescent="0.25">
      <c r="A229" s="108">
        <v>43435</v>
      </c>
      <c r="B229" s="32">
        <f>'Purchased Power Model'!E110</f>
        <v>563.60000000000014</v>
      </c>
      <c r="C229" s="32">
        <f>'Purchased Power Model'!F110</f>
        <v>0</v>
      </c>
      <c r="E229" s="109"/>
      <c r="F229" s="105"/>
      <c r="G229" s="105"/>
    </row>
    <row r="230" spans="1:9" x14ac:dyDescent="0.25">
      <c r="A230" s="108">
        <v>43466</v>
      </c>
      <c r="B230" s="32">
        <f>'Purchased Power Model'!E111</f>
        <v>764.5</v>
      </c>
      <c r="C230" s="32">
        <f>'Purchased Power Model'!F111</f>
        <v>0</v>
      </c>
      <c r="E230" s="109"/>
      <c r="F230" s="105"/>
      <c r="G230" s="105"/>
    </row>
    <row r="231" spans="1:9" x14ac:dyDescent="0.25">
      <c r="A231" s="108">
        <v>43497</v>
      </c>
      <c r="B231" s="32">
        <f>'Purchased Power Model'!E112</f>
        <v>621.70000000000016</v>
      </c>
      <c r="C231" s="32">
        <f>'Purchased Power Model'!F112</f>
        <v>0</v>
      </c>
      <c r="E231" s="109"/>
      <c r="F231" s="105"/>
      <c r="G231" s="32"/>
    </row>
    <row r="232" spans="1:9" x14ac:dyDescent="0.25">
      <c r="A232" s="108">
        <v>43525</v>
      </c>
      <c r="B232" s="32">
        <f>'Purchased Power Model'!E113</f>
        <v>593.90000000000009</v>
      </c>
      <c r="C232" s="32">
        <f>'Purchased Power Model'!F113</f>
        <v>0</v>
      </c>
      <c r="E232" s="109"/>
      <c r="F232" s="105"/>
    </row>
    <row r="233" spans="1:9" x14ac:dyDescent="0.25">
      <c r="A233" s="108">
        <v>43556</v>
      </c>
      <c r="B233" s="32">
        <f>'Purchased Power Model'!E114</f>
        <v>346.8</v>
      </c>
      <c r="C233" s="32">
        <f>'Purchased Power Model'!F114</f>
        <v>0</v>
      </c>
      <c r="E233" s="109"/>
      <c r="F233" s="105"/>
    </row>
    <row r="234" spans="1:9" x14ac:dyDescent="0.25">
      <c r="A234" s="108">
        <v>43586</v>
      </c>
      <c r="B234" s="32">
        <f>'Purchased Power Model'!E115</f>
        <v>180.99999999999997</v>
      </c>
      <c r="C234" s="32">
        <f>'Purchased Power Model'!F115</f>
        <v>0</v>
      </c>
      <c r="E234" s="109"/>
      <c r="F234" s="105"/>
    </row>
    <row r="235" spans="1:9" x14ac:dyDescent="0.25">
      <c r="A235" s="108">
        <v>43617</v>
      </c>
      <c r="B235" s="32">
        <f>'Purchased Power Model'!E116</f>
        <v>35.5</v>
      </c>
      <c r="C235" s="32">
        <f>'Purchased Power Model'!F116</f>
        <v>41.300000000000004</v>
      </c>
      <c r="E235" s="109"/>
      <c r="F235" s="105"/>
    </row>
    <row r="236" spans="1:9" x14ac:dyDescent="0.25">
      <c r="A236" s="108">
        <v>43647</v>
      </c>
      <c r="B236" s="32">
        <f>'Purchased Power Model'!E117</f>
        <v>0</v>
      </c>
      <c r="C236" s="32">
        <f>'Purchased Power Model'!F117</f>
        <v>166.90000000000003</v>
      </c>
      <c r="E236" s="109"/>
      <c r="F236" s="105"/>
    </row>
    <row r="237" spans="1:9" x14ac:dyDescent="0.25">
      <c r="A237" s="108">
        <v>43678</v>
      </c>
      <c r="B237" s="32">
        <f>'Purchased Power Model'!E118</f>
        <v>0.89999999999999991</v>
      </c>
      <c r="C237" s="32">
        <f>'Purchased Power Model'!F118</f>
        <v>103.30000000000003</v>
      </c>
      <c r="E237" s="109"/>
      <c r="F237" s="105"/>
    </row>
    <row r="238" spans="1:9" x14ac:dyDescent="0.25">
      <c r="A238" s="108">
        <v>43709</v>
      </c>
      <c r="B238" s="32">
        <f>'Purchased Power Model'!E119</f>
        <v>38.400000000000006</v>
      </c>
      <c r="C238" s="32">
        <f>'Purchased Power Model'!F119</f>
        <v>25.400000000000002</v>
      </c>
      <c r="E238" s="109"/>
      <c r="F238" s="105"/>
    </row>
    <row r="239" spans="1:9" x14ac:dyDescent="0.25">
      <c r="A239" s="108">
        <v>43739</v>
      </c>
      <c r="B239" s="32">
        <f>'Purchased Power Model'!E120</f>
        <v>236.5</v>
      </c>
      <c r="C239" s="32">
        <f>'Purchased Power Model'!F120</f>
        <v>5.0999999999999996</v>
      </c>
      <c r="E239" s="109"/>
      <c r="F239" s="105"/>
    </row>
    <row r="240" spans="1:9" x14ac:dyDescent="0.25">
      <c r="A240" s="108">
        <v>43770</v>
      </c>
      <c r="B240" s="32">
        <f>'Purchased Power Model'!E121</f>
        <v>513.30000000000007</v>
      </c>
      <c r="C240" s="32">
        <f>'Purchased Power Model'!F121</f>
        <v>0</v>
      </c>
      <c r="E240" s="109"/>
      <c r="F240" s="105"/>
    </row>
    <row r="241" spans="1:6" x14ac:dyDescent="0.25">
      <c r="A241" s="108">
        <v>43800</v>
      </c>
      <c r="B241" s="32">
        <f>'Purchased Power Model'!E122</f>
        <v>582.4</v>
      </c>
      <c r="C241" s="32">
        <f>'Purchased Power Model'!F122</f>
        <v>0</v>
      </c>
      <c r="E241" s="109"/>
      <c r="F241" s="105"/>
    </row>
    <row r="242" spans="1:6" x14ac:dyDescent="0.25">
      <c r="E242" s="109"/>
      <c r="F242" s="105"/>
    </row>
    <row r="243" spans="1:6" x14ac:dyDescent="0.25">
      <c r="A243" s="255" t="s">
        <v>112</v>
      </c>
      <c r="B243" s="255"/>
      <c r="C243" s="255"/>
      <c r="E243" s="109"/>
      <c r="F243" s="105"/>
    </row>
    <row r="244" spans="1:6" x14ac:dyDescent="0.25">
      <c r="A244" s="3">
        <v>44197</v>
      </c>
      <c r="B244" s="101">
        <f>(B122+B134+B146+B158+B170+B182+B194+B206+B218+B230)/10</f>
        <v>712.52</v>
      </c>
      <c r="C244" s="101">
        <f>(C122+C134+C146+C158+C170+C182+C194+C206+C218+C230)/10</f>
        <v>0</v>
      </c>
      <c r="E244" s="109"/>
      <c r="F244" s="105"/>
    </row>
    <row r="245" spans="1:6" x14ac:dyDescent="0.25">
      <c r="A245" s="3">
        <v>44228</v>
      </c>
      <c r="B245" s="101">
        <f t="shared" ref="B245:C255" si="2">(B123+B135+B147+B159+B171+B183+B195+B207+B219+B231)/10</f>
        <v>628.50999999999988</v>
      </c>
      <c r="C245" s="101">
        <f t="shared" si="2"/>
        <v>0</v>
      </c>
      <c r="E245" s="109"/>
      <c r="F245" s="105"/>
    </row>
    <row r="246" spans="1:6" x14ac:dyDescent="0.25">
      <c r="A246" s="3">
        <v>44256</v>
      </c>
      <c r="B246" s="101">
        <f t="shared" si="2"/>
        <v>540.39</v>
      </c>
      <c r="C246" s="101">
        <f t="shared" si="2"/>
        <v>0.02</v>
      </c>
      <c r="E246" s="109"/>
      <c r="F246" s="105"/>
    </row>
    <row r="247" spans="1:6" x14ac:dyDescent="0.25">
      <c r="A247" s="3">
        <v>44287</v>
      </c>
      <c r="B247" s="101">
        <f t="shared" si="2"/>
        <v>334.46000000000004</v>
      </c>
      <c r="C247" s="101">
        <f t="shared" si="2"/>
        <v>0</v>
      </c>
      <c r="E247" s="109"/>
      <c r="F247" s="105"/>
    </row>
    <row r="248" spans="1:6" x14ac:dyDescent="0.25">
      <c r="A248" s="3">
        <v>44317</v>
      </c>
      <c r="B248" s="101">
        <f t="shared" si="2"/>
        <v>122.9</v>
      </c>
      <c r="C248" s="101">
        <f t="shared" si="2"/>
        <v>25.380000000000003</v>
      </c>
      <c r="E248" s="109"/>
      <c r="F248" s="105"/>
    </row>
    <row r="249" spans="1:6" x14ac:dyDescent="0.25">
      <c r="A249" s="3">
        <v>44348</v>
      </c>
      <c r="B249" s="101">
        <f t="shared" si="2"/>
        <v>24.6</v>
      </c>
      <c r="C249" s="101">
        <f t="shared" si="2"/>
        <v>62.620000000000005</v>
      </c>
      <c r="E249" s="109"/>
      <c r="F249" s="105"/>
    </row>
    <row r="250" spans="1:6" x14ac:dyDescent="0.25">
      <c r="A250" s="3">
        <v>44378</v>
      </c>
      <c r="B250" s="101">
        <f t="shared" si="2"/>
        <v>1.1099999999999999</v>
      </c>
      <c r="C250" s="101">
        <f t="shared" si="2"/>
        <v>149.29999999999998</v>
      </c>
      <c r="E250" s="109"/>
      <c r="F250" s="105"/>
    </row>
    <row r="251" spans="1:6" x14ac:dyDescent="0.25">
      <c r="A251" s="3">
        <v>44409</v>
      </c>
      <c r="B251" s="101">
        <f t="shared" si="2"/>
        <v>3.5400000000000005</v>
      </c>
      <c r="C251" s="101">
        <f t="shared" si="2"/>
        <v>117.36000000000001</v>
      </c>
      <c r="E251" s="109"/>
      <c r="F251" s="105"/>
    </row>
    <row r="252" spans="1:6" x14ac:dyDescent="0.25">
      <c r="A252" s="3">
        <v>44440</v>
      </c>
      <c r="B252" s="101">
        <f t="shared" si="2"/>
        <v>54.989999999999995</v>
      </c>
      <c r="C252" s="101">
        <f t="shared" si="2"/>
        <v>48.959999999999994</v>
      </c>
      <c r="E252" s="109"/>
      <c r="F252" s="105"/>
    </row>
    <row r="253" spans="1:6" x14ac:dyDescent="0.25">
      <c r="A253" s="3">
        <v>44470</v>
      </c>
      <c r="B253" s="101">
        <f t="shared" si="2"/>
        <v>227.63000000000002</v>
      </c>
      <c r="C253" s="101">
        <f t="shared" si="2"/>
        <v>3.0699999999999994</v>
      </c>
      <c r="E253" s="109"/>
      <c r="F253" s="105"/>
    </row>
    <row r="254" spans="1:6" x14ac:dyDescent="0.25">
      <c r="A254" s="3">
        <v>44501</v>
      </c>
      <c r="B254" s="101">
        <f t="shared" si="2"/>
        <v>424.59</v>
      </c>
      <c r="C254" s="101">
        <f t="shared" si="2"/>
        <v>0</v>
      </c>
      <c r="E254" s="109"/>
      <c r="F254" s="105"/>
    </row>
    <row r="255" spans="1:6" x14ac:dyDescent="0.25">
      <c r="A255" s="3">
        <v>44531</v>
      </c>
      <c r="B255" s="101">
        <f t="shared" si="2"/>
        <v>589.1099999999999</v>
      </c>
      <c r="C255" s="101">
        <f t="shared" si="2"/>
        <v>0</v>
      </c>
      <c r="E255" s="109"/>
      <c r="F255" s="105"/>
    </row>
    <row r="256" spans="1:6" x14ac:dyDescent="0.25">
      <c r="A256" s="3"/>
      <c r="E256" s="109"/>
      <c r="F256" s="105"/>
    </row>
    <row r="257" spans="1:6" x14ac:dyDescent="0.25">
      <c r="A257" s="3"/>
      <c r="E257" s="109"/>
      <c r="F257" s="105"/>
    </row>
    <row r="258" spans="1:6" x14ac:dyDescent="0.25">
      <c r="A258" s="3"/>
      <c r="E258" s="109"/>
      <c r="F258" s="105"/>
    </row>
    <row r="259" spans="1:6" x14ac:dyDescent="0.25">
      <c r="A259" s="3"/>
      <c r="E259" s="109"/>
      <c r="F259" s="105"/>
    </row>
    <row r="260" spans="1:6" x14ac:dyDescent="0.25">
      <c r="A260" s="3"/>
      <c r="E260" s="109"/>
      <c r="F260" s="105"/>
    </row>
    <row r="261" spans="1:6" x14ac:dyDescent="0.25">
      <c r="A261" s="3"/>
      <c r="E261" s="109"/>
      <c r="F261" s="105"/>
    </row>
    <row r="262" spans="1:6" x14ac:dyDescent="0.25">
      <c r="A262" s="3"/>
      <c r="E262" s="109"/>
      <c r="F262" s="105"/>
    </row>
    <row r="263" spans="1:6" x14ac:dyDescent="0.25">
      <c r="A263" s="3"/>
      <c r="E263" s="109"/>
      <c r="F263" s="105"/>
    </row>
    <row r="264" spans="1:6" x14ac:dyDescent="0.25">
      <c r="A264" s="3"/>
      <c r="E264" s="109"/>
      <c r="F264" s="105"/>
    </row>
    <row r="265" spans="1:6" x14ac:dyDescent="0.25">
      <c r="A265" s="3"/>
      <c r="E265" s="109"/>
      <c r="F265" s="105"/>
    </row>
    <row r="266" spans="1:6" x14ac:dyDescent="0.25">
      <c r="A266" s="3"/>
      <c r="E266" s="109"/>
      <c r="F266" s="105"/>
    </row>
    <row r="267" spans="1:6" x14ac:dyDescent="0.25">
      <c r="A267" s="3"/>
      <c r="E267" s="109"/>
      <c r="F267" s="105"/>
    </row>
    <row r="268" spans="1:6" x14ac:dyDescent="0.25">
      <c r="A268" s="3"/>
      <c r="E268" s="109"/>
      <c r="F268" s="105"/>
    </row>
    <row r="269" spans="1:6" x14ac:dyDescent="0.25">
      <c r="A269" s="3"/>
      <c r="E269" s="109"/>
      <c r="F269" s="105"/>
    </row>
    <row r="270" spans="1:6" x14ac:dyDescent="0.25">
      <c r="A270" s="3"/>
      <c r="E270" s="109"/>
      <c r="F270" s="105"/>
    </row>
    <row r="271" spans="1:6" x14ac:dyDescent="0.25">
      <c r="E271" s="109"/>
      <c r="F271" s="105"/>
    </row>
    <row r="272" spans="1:6" x14ac:dyDescent="0.25">
      <c r="E272" s="109"/>
      <c r="F272" s="105"/>
    </row>
    <row r="273" spans="5:6" x14ac:dyDescent="0.25">
      <c r="E273" s="109"/>
      <c r="F273" s="105"/>
    </row>
    <row r="274" spans="5:6" x14ac:dyDescent="0.25">
      <c r="E274" s="109"/>
      <c r="F274" s="105"/>
    </row>
    <row r="275" spans="5:6" x14ac:dyDescent="0.25">
      <c r="E275" s="109"/>
      <c r="F275" s="105"/>
    </row>
    <row r="276" spans="5:6" x14ac:dyDescent="0.25">
      <c r="E276" s="109"/>
      <c r="F276" s="105"/>
    </row>
    <row r="277" spans="5:6" x14ac:dyDescent="0.25">
      <c r="E277" s="109"/>
      <c r="F277" s="105"/>
    </row>
    <row r="278" spans="5:6" x14ac:dyDescent="0.25">
      <c r="E278" s="109"/>
      <c r="F278" s="105"/>
    </row>
    <row r="279" spans="5:6" x14ac:dyDescent="0.25">
      <c r="E279" s="109"/>
      <c r="F279" s="105"/>
    </row>
    <row r="280" spans="5:6" x14ac:dyDescent="0.25">
      <c r="E280" s="109"/>
      <c r="F280" s="105"/>
    </row>
    <row r="281" spans="5:6" x14ac:dyDescent="0.25">
      <c r="E281" s="109"/>
      <c r="F281" s="105"/>
    </row>
    <row r="282" spans="5:6" x14ac:dyDescent="0.25">
      <c r="E282" s="109"/>
      <c r="F282" s="105"/>
    </row>
    <row r="283" spans="5:6" x14ac:dyDescent="0.25">
      <c r="E283" s="109"/>
      <c r="F283" s="105"/>
    </row>
    <row r="284" spans="5:6" x14ac:dyDescent="0.25">
      <c r="E284" s="109"/>
      <c r="F284" s="105"/>
    </row>
    <row r="285" spans="5:6" x14ac:dyDescent="0.25">
      <c r="E285" s="109"/>
      <c r="F285" s="105"/>
    </row>
    <row r="286" spans="5:6" x14ac:dyDescent="0.25">
      <c r="E286" s="109"/>
      <c r="F286" s="105"/>
    </row>
    <row r="287" spans="5:6" x14ac:dyDescent="0.25">
      <c r="E287" s="109"/>
      <c r="F287" s="105"/>
    </row>
    <row r="288" spans="5:6" x14ac:dyDescent="0.25">
      <c r="E288" s="109"/>
      <c r="F288" s="105"/>
    </row>
    <row r="289" spans="5:6" x14ac:dyDescent="0.25">
      <c r="E289" s="109"/>
      <c r="F289" s="105"/>
    </row>
    <row r="290" spans="5:6" x14ac:dyDescent="0.25">
      <c r="E290" s="109"/>
      <c r="F290" s="105"/>
    </row>
    <row r="291" spans="5:6" x14ac:dyDescent="0.25">
      <c r="E291" s="109"/>
      <c r="F291" s="105"/>
    </row>
    <row r="292" spans="5:6" x14ac:dyDescent="0.25">
      <c r="E292" s="109"/>
      <c r="F292" s="105"/>
    </row>
    <row r="293" spans="5:6" x14ac:dyDescent="0.25">
      <c r="E293" s="109"/>
      <c r="F293" s="105"/>
    </row>
    <row r="294" spans="5:6" x14ac:dyDescent="0.25">
      <c r="E294" s="109"/>
      <c r="F294" s="105"/>
    </row>
    <row r="295" spans="5:6" x14ac:dyDescent="0.25">
      <c r="E295" s="109"/>
      <c r="F295" s="105"/>
    </row>
    <row r="296" spans="5:6" x14ac:dyDescent="0.25">
      <c r="E296" s="109"/>
      <c r="F296" s="105"/>
    </row>
    <row r="297" spans="5:6" x14ac:dyDescent="0.25">
      <c r="E297" s="109"/>
      <c r="F297" s="105"/>
    </row>
    <row r="298" spans="5:6" x14ac:dyDescent="0.25">
      <c r="E298" s="109"/>
      <c r="F298" s="105"/>
    </row>
    <row r="299" spans="5:6" x14ac:dyDescent="0.25">
      <c r="E299" s="109"/>
      <c r="F299" s="105"/>
    </row>
    <row r="300" spans="5:6" x14ac:dyDescent="0.25">
      <c r="E300" s="109"/>
      <c r="F300" s="105"/>
    </row>
    <row r="301" spans="5:6" x14ac:dyDescent="0.25">
      <c r="E301" s="109"/>
      <c r="F301" s="105"/>
    </row>
    <row r="302" spans="5:6" x14ac:dyDescent="0.25">
      <c r="E302" s="109"/>
      <c r="F302" s="105"/>
    </row>
    <row r="303" spans="5:6" x14ac:dyDescent="0.25">
      <c r="E303" s="109"/>
      <c r="F303" s="105"/>
    </row>
    <row r="304" spans="5:6" x14ac:dyDescent="0.25">
      <c r="E304" s="109"/>
      <c r="F304" s="105"/>
    </row>
    <row r="305" spans="5:10" x14ac:dyDescent="0.25">
      <c r="E305" s="109"/>
      <c r="F305" s="105"/>
    </row>
    <row r="306" spans="5:10" x14ac:dyDescent="0.25">
      <c r="E306" s="109"/>
      <c r="F306" s="105"/>
    </row>
    <row r="307" spans="5:10" x14ac:dyDescent="0.25">
      <c r="E307" s="109"/>
      <c r="F307" s="105"/>
    </row>
    <row r="308" spans="5:10" x14ac:dyDescent="0.25">
      <c r="E308" s="109"/>
      <c r="F308" s="105"/>
    </row>
    <row r="309" spans="5:10" x14ac:dyDescent="0.25">
      <c r="E309" s="109"/>
      <c r="F309" s="105"/>
    </row>
    <row r="310" spans="5:10" x14ac:dyDescent="0.25">
      <c r="E310" s="109"/>
      <c r="F310" s="105"/>
    </row>
    <row r="311" spans="5:10" x14ac:dyDescent="0.25">
      <c r="E311" s="109"/>
      <c r="F311" s="105"/>
    </row>
    <row r="312" spans="5:10" x14ac:dyDescent="0.25">
      <c r="E312" s="109"/>
      <c r="F312" s="105"/>
    </row>
    <row r="313" spans="5:10" x14ac:dyDescent="0.25">
      <c r="E313" s="109"/>
      <c r="F313" s="105"/>
    </row>
    <row r="314" spans="5:10" x14ac:dyDescent="0.25">
      <c r="E314" s="109"/>
      <c r="F314" s="105"/>
    </row>
    <row r="315" spans="5:10" x14ac:dyDescent="0.25">
      <c r="E315" s="109"/>
      <c r="F315" s="105"/>
    </row>
    <row r="316" spans="5:10" x14ac:dyDescent="0.25">
      <c r="E316" s="109"/>
      <c r="F316" s="105"/>
    </row>
    <row r="317" spans="5:10" x14ac:dyDescent="0.25">
      <c r="E317" s="109"/>
      <c r="F317" s="105"/>
    </row>
    <row r="318" spans="5:10" x14ac:dyDescent="0.25">
      <c r="E318" s="109"/>
      <c r="F318" s="105"/>
      <c r="H318" s="100"/>
    </row>
    <row r="319" spans="5:10" x14ac:dyDescent="0.25">
      <c r="E319" s="109"/>
      <c r="F319" s="105"/>
      <c r="H319" s="231"/>
      <c r="I319" s="101"/>
      <c r="J319" s="101"/>
    </row>
    <row r="320" spans="5:10" x14ac:dyDescent="0.25">
      <c r="E320" s="109"/>
      <c r="F320" s="105"/>
      <c r="H320" s="231"/>
      <c r="I320" s="101"/>
      <c r="J320" s="101"/>
    </row>
    <row r="321" spans="5:10" x14ac:dyDescent="0.25">
      <c r="E321" s="109"/>
      <c r="F321" s="105"/>
      <c r="H321" s="231"/>
      <c r="I321" s="101"/>
      <c r="J321" s="101"/>
    </row>
    <row r="322" spans="5:10" x14ac:dyDescent="0.25">
      <c r="E322" s="109"/>
      <c r="F322" s="105"/>
      <c r="H322" s="231"/>
      <c r="I322" s="101"/>
      <c r="J322" s="101"/>
    </row>
    <row r="323" spans="5:10" x14ac:dyDescent="0.25">
      <c r="E323" s="109"/>
      <c r="F323" s="105"/>
      <c r="H323" s="231"/>
      <c r="I323" s="101"/>
      <c r="J323" s="101"/>
    </row>
    <row r="324" spans="5:10" x14ac:dyDescent="0.25">
      <c r="E324" s="109"/>
      <c r="F324" s="105"/>
      <c r="H324" s="231"/>
      <c r="I324" s="101"/>
      <c r="J324" s="101"/>
    </row>
    <row r="325" spans="5:10" x14ac:dyDescent="0.25">
      <c r="E325" s="109"/>
      <c r="F325" s="105"/>
      <c r="H325" s="231"/>
      <c r="I325" s="101"/>
      <c r="J325" s="101"/>
    </row>
    <row r="326" spans="5:10" x14ac:dyDescent="0.25">
      <c r="H326" s="231"/>
      <c r="I326" s="101"/>
      <c r="J326" s="101"/>
    </row>
    <row r="327" spans="5:10" x14ac:dyDescent="0.25">
      <c r="H327" s="231"/>
      <c r="I327" s="101"/>
      <c r="J327" s="101"/>
    </row>
    <row r="328" spans="5:10" x14ac:dyDescent="0.25">
      <c r="E328" s="230"/>
      <c r="F328" s="230"/>
      <c r="H328" s="231"/>
      <c r="I328" s="101"/>
      <c r="J328" s="101"/>
    </row>
    <row r="329" spans="5:10" x14ac:dyDescent="0.25">
      <c r="E329" s="230"/>
      <c r="F329" s="230"/>
      <c r="H329" s="231"/>
      <c r="I329" s="101"/>
      <c r="J329" s="101"/>
    </row>
    <row r="330" spans="5:10" x14ac:dyDescent="0.25">
      <c r="E330" s="230"/>
      <c r="F330" s="230"/>
      <c r="H330" s="231"/>
      <c r="I330" s="101"/>
      <c r="J330" s="101"/>
    </row>
    <row r="331" spans="5:10" x14ac:dyDescent="0.25">
      <c r="E331" s="230"/>
      <c r="F331" s="230"/>
    </row>
    <row r="332" spans="5:10" x14ac:dyDescent="0.25">
      <c r="E332" s="230"/>
      <c r="F332" s="230"/>
    </row>
    <row r="333" spans="5:10" x14ac:dyDescent="0.25">
      <c r="E333" s="230"/>
      <c r="F333" s="230"/>
    </row>
    <row r="334" spans="5:10" x14ac:dyDescent="0.25">
      <c r="E334" s="230"/>
      <c r="F334" s="230"/>
    </row>
    <row r="335" spans="5:10" x14ac:dyDescent="0.25">
      <c r="E335" s="230"/>
      <c r="F335" s="230"/>
    </row>
    <row r="336" spans="5:10" x14ac:dyDescent="0.25">
      <c r="E336" s="230"/>
      <c r="F336" s="230"/>
    </row>
    <row r="337" spans="5:6" x14ac:dyDescent="0.25">
      <c r="E337" s="230"/>
      <c r="F337" s="230"/>
    </row>
    <row r="338" spans="5:6" x14ac:dyDescent="0.25">
      <c r="E338" s="230"/>
      <c r="F338" s="230"/>
    </row>
    <row r="339" spans="5:6" x14ac:dyDescent="0.25">
      <c r="E339" s="230"/>
      <c r="F339" s="230"/>
    </row>
  </sheetData>
  <mergeCells count="1">
    <mergeCell ref="A243:C243"/>
  </mergeCells>
  <pageMargins left="0.11811023622047245" right="0.11811023622047245" top="0.15748031496062992" bottom="0.15748031496062992" header="0.11811023622047245" footer="0.11811023622047245"/>
  <pageSetup scale="77" orientation="portrait" r:id="rId1"/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view="pageBreakPreview" topLeftCell="A41" zoomScaleNormal="100" zoomScaleSheetLayoutView="100" workbookViewId="0">
      <selection activeCell="R79" sqref="R79"/>
    </sheetView>
  </sheetViews>
  <sheetFormatPr defaultColWidth="9.33203125" defaultRowHeight="13.2" x14ac:dyDescent="0.25"/>
  <cols>
    <col min="2" max="2" width="12.6640625" bestFit="1" customWidth="1"/>
    <col min="3" max="3" width="12.6640625" style="32" bestFit="1" customWidth="1"/>
    <col min="5" max="5" width="13.44140625" bestFit="1" customWidth="1"/>
    <col min="6" max="6" width="11.44140625" bestFit="1" customWidth="1"/>
  </cols>
  <sheetData>
    <row r="1" spans="1:3" ht="39.6" x14ac:dyDescent="0.25">
      <c r="B1" s="110" t="s">
        <v>113</v>
      </c>
      <c r="C1" s="170"/>
    </row>
    <row r="2" spans="1:3" x14ac:dyDescent="0.25">
      <c r="A2" s="3">
        <v>40148</v>
      </c>
      <c r="B2" s="73">
        <v>407637.63</v>
      </c>
      <c r="C2" s="134">
        <f>B2</f>
        <v>407637.63</v>
      </c>
    </row>
    <row r="3" spans="1:3" x14ac:dyDescent="0.25">
      <c r="A3" s="3">
        <v>40179</v>
      </c>
      <c r="B3" s="73">
        <v>382398.57</v>
      </c>
      <c r="C3" s="134"/>
    </row>
    <row r="4" spans="1:3" x14ac:dyDescent="0.25">
      <c r="A4" s="3">
        <v>40210</v>
      </c>
      <c r="B4" s="73">
        <v>337484.34</v>
      </c>
      <c r="C4" s="134"/>
    </row>
    <row r="5" spans="1:3" x14ac:dyDescent="0.25">
      <c r="A5" s="3">
        <v>40238</v>
      </c>
      <c r="B5" s="73">
        <v>384544.26</v>
      </c>
      <c r="C5" s="134"/>
    </row>
    <row r="6" spans="1:3" x14ac:dyDescent="0.25">
      <c r="A6" s="3">
        <v>40269</v>
      </c>
      <c r="B6" s="73">
        <v>371443.59</v>
      </c>
      <c r="C6" s="134"/>
    </row>
    <row r="7" spans="1:3" x14ac:dyDescent="0.25">
      <c r="A7" s="3">
        <v>40299</v>
      </c>
      <c r="B7" s="73">
        <v>426876.75</v>
      </c>
      <c r="C7" s="134"/>
    </row>
    <row r="8" spans="1:3" x14ac:dyDescent="0.25">
      <c r="A8" s="3">
        <v>40330</v>
      </c>
      <c r="B8" s="73">
        <v>438017.49</v>
      </c>
      <c r="C8" s="134"/>
    </row>
    <row r="9" spans="1:3" x14ac:dyDescent="0.25">
      <c r="A9" s="3">
        <v>40360</v>
      </c>
      <c r="B9" s="73">
        <v>474347.34</v>
      </c>
      <c r="C9" s="134"/>
    </row>
    <row r="10" spans="1:3" x14ac:dyDescent="0.25">
      <c r="A10" s="3">
        <v>40391</v>
      </c>
      <c r="B10" s="73">
        <v>463717.17</v>
      </c>
      <c r="C10" s="134"/>
    </row>
    <row r="11" spans="1:3" x14ac:dyDescent="0.25">
      <c r="A11" s="3">
        <v>40422</v>
      </c>
      <c r="B11" s="73">
        <v>407795.85</v>
      </c>
      <c r="C11" s="134"/>
    </row>
    <row r="12" spans="1:3" x14ac:dyDescent="0.25">
      <c r="A12" s="3">
        <v>40452</v>
      </c>
      <c r="B12" s="73">
        <v>390634.11</v>
      </c>
      <c r="C12" s="134"/>
    </row>
    <row r="13" spans="1:3" x14ac:dyDescent="0.25">
      <c r="A13" s="3">
        <v>40483</v>
      </c>
      <c r="B13" s="73">
        <v>370443.24</v>
      </c>
      <c r="C13" s="134"/>
    </row>
    <row r="14" spans="1:3" x14ac:dyDescent="0.25">
      <c r="A14" s="3">
        <v>40513</v>
      </c>
      <c r="B14" s="73">
        <v>385786.8</v>
      </c>
      <c r="C14" s="134">
        <f>SUM(B3:B14)</f>
        <v>4833489.51</v>
      </c>
    </row>
    <row r="15" spans="1:3" x14ac:dyDescent="0.25">
      <c r="A15" s="3">
        <v>40544</v>
      </c>
      <c r="B15" s="73">
        <v>382528.71</v>
      </c>
      <c r="C15" s="134"/>
    </row>
    <row r="16" spans="1:3" x14ac:dyDescent="0.25">
      <c r="A16" s="3">
        <v>40575</v>
      </c>
      <c r="B16" s="73">
        <v>339255</v>
      </c>
      <c r="C16" s="134"/>
    </row>
    <row r="17" spans="1:3" x14ac:dyDescent="0.25">
      <c r="A17" s="3">
        <v>40603</v>
      </c>
      <c r="B17" s="73">
        <v>382156.11</v>
      </c>
      <c r="C17" s="134"/>
    </row>
    <row r="18" spans="1:3" x14ac:dyDescent="0.25">
      <c r="A18" s="3">
        <v>40634</v>
      </c>
      <c r="B18" s="73">
        <v>371672.55</v>
      </c>
      <c r="C18" s="134"/>
    </row>
    <row r="19" spans="1:3" x14ac:dyDescent="0.25">
      <c r="A19" s="3">
        <v>40664</v>
      </c>
      <c r="B19" s="73">
        <v>411826.68</v>
      </c>
      <c r="C19" s="134"/>
    </row>
    <row r="20" spans="1:3" x14ac:dyDescent="0.25">
      <c r="A20" s="3">
        <v>40695</v>
      </c>
      <c r="B20" s="73">
        <v>424234.8</v>
      </c>
      <c r="C20" s="134"/>
    </row>
    <row r="21" spans="1:3" x14ac:dyDescent="0.25">
      <c r="A21" s="3">
        <v>40725</v>
      </c>
      <c r="B21" s="73">
        <v>479336.67</v>
      </c>
      <c r="C21" s="134"/>
    </row>
    <row r="22" spans="1:3" x14ac:dyDescent="0.25">
      <c r="A22" s="3">
        <v>40756</v>
      </c>
      <c r="B22" s="73">
        <v>455363.37</v>
      </c>
      <c r="C22" s="134"/>
    </row>
    <row r="23" spans="1:3" x14ac:dyDescent="0.25">
      <c r="A23" s="3">
        <v>40787</v>
      </c>
      <c r="B23" s="73">
        <v>410701.59</v>
      </c>
      <c r="C23" s="134"/>
    </row>
    <row r="24" spans="1:3" x14ac:dyDescent="0.25">
      <c r="A24" s="3">
        <v>40817</v>
      </c>
      <c r="B24" s="73">
        <v>385105.86</v>
      </c>
      <c r="C24" s="134"/>
    </row>
    <row r="25" spans="1:3" x14ac:dyDescent="0.25">
      <c r="A25" s="3">
        <v>40848</v>
      </c>
      <c r="B25" s="73">
        <v>357317.73</v>
      </c>
      <c r="C25" s="134"/>
    </row>
    <row r="26" spans="1:3" x14ac:dyDescent="0.25">
      <c r="A26" s="3">
        <v>40878</v>
      </c>
      <c r="B26" s="73">
        <v>364649.85</v>
      </c>
      <c r="C26" s="134">
        <f>SUM(B15:B26)</f>
        <v>4764148.919999999</v>
      </c>
    </row>
    <row r="27" spans="1:3" x14ac:dyDescent="0.25">
      <c r="A27" s="3">
        <v>40909</v>
      </c>
      <c r="B27" s="73">
        <v>364090.95</v>
      </c>
      <c r="C27" s="134"/>
    </row>
    <row r="28" spans="1:3" x14ac:dyDescent="0.25">
      <c r="A28" s="3">
        <v>40940</v>
      </c>
      <c r="B28" s="73">
        <v>320692.77</v>
      </c>
      <c r="C28" s="134"/>
    </row>
    <row r="29" spans="1:3" x14ac:dyDescent="0.25">
      <c r="A29" s="3">
        <v>40969</v>
      </c>
      <c r="B29" s="73">
        <v>357387.66</v>
      </c>
      <c r="C29" s="134"/>
    </row>
    <row r="30" spans="1:3" x14ac:dyDescent="0.25">
      <c r="A30" s="3">
        <v>41000</v>
      </c>
      <c r="B30" s="73">
        <v>338770.89</v>
      </c>
      <c r="C30" s="134"/>
    </row>
    <row r="31" spans="1:3" x14ac:dyDescent="0.25">
      <c r="A31" s="3">
        <v>41030</v>
      </c>
      <c r="B31" s="73">
        <v>387796.95</v>
      </c>
      <c r="C31" s="134"/>
    </row>
    <row r="32" spans="1:3" x14ac:dyDescent="0.25">
      <c r="A32" s="3">
        <v>41061</v>
      </c>
      <c r="B32" s="73">
        <v>404462.43</v>
      </c>
      <c r="C32" s="134"/>
    </row>
    <row r="33" spans="1:3" x14ac:dyDescent="0.25">
      <c r="A33" s="3">
        <v>41091</v>
      </c>
      <c r="B33" s="73">
        <v>380974.05</v>
      </c>
      <c r="C33" s="134"/>
    </row>
    <row r="34" spans="1:3" x14ac:dyDescent="0.25">
      <c r="A34" s="3">
        <v>41122</v>
      </c>
      <c r="B34" s="73">
        <v>508657.46</v>
      </c>
      <c r="C34" s="134"/>
    </row>
    <row r="35" spans="1:3" x14ac:dyDescent="0.25">
      <c r="A35" s="3">
        <v>41153</v>
      </c>
      <c r="B35" s="73">
        <v>378234.79</v>
      </c>
      <c r="C35" s="134"/>
    </row>
    <row r="36" spans="1:3" x14ac:dyDescent="0.25">
      <c r="A36" s="3">
        <v>41183</v>
      </c>
      <c r="B36" s="73">
        <v>365674.52</v>
      </c>
      <c r="C36" s="134"/>
    </row>
    <row r="37" spans="1:3" x14ac:dyDescent="0.25">
      <c r="A37" s="3">
        <v>41214</v>
      </c>
      <c r="B37" s="73">
        <v>352309.92</v>
      </c>
      <c r="C37" s="134"/>
    </row>
    <row r="38" spans="1:3" x14ac:dyDescent="0.25">
      <c r="A38" s="3">
        <v>41244</v>
      </c>
      <c r="B38" s="73">
        <v>385334.27</v>
      </c>
      <c r="C38" s="134">
        <f>SUM(B27:B38)</f>
        <v>4544386.66</v>
      </c>
    </row>
    <row r="39" spans="1:3" x14ac:dyDescent="0.25">
      <c r="A39" s="3">
        <v>41275</v>
      </c>
      <c r="B39" s="73">
        <v>377515.67</v>
      </c>
      <c r="C39" s="134"/>
    </row>
    <row r="40" spans="1:3" x14ac:dyDescent="0.25">
      <c r="A40" s="3">
        <v>41306</v>
      </c>
      <c r="B40" s="73">
        <v>327338.17</v>
      </c>
      <c r="C40" s="134"/>
    </row>
    <row r="41" spans="1:3" x14ac:dyDescent="0.25">
      <c r="A41" s="3">
        <v>41334</v>
      </c>
      <c r="B41" s="73">
        <v>362504.74</v>
      </c>
      <c r="C41" s="134"/>
    </row>
    <row r="42" spans="1:3" x14ac:dyDescent="0.25">
      <c r="A42" s="3">
        <v>41365</v>
      </c>
      <c r="B42" s="73">
        <v>359522.2</v>
      </c>
      <c r="C42" s="134"/>
    </row>
    <row r="43" spans="1:3" x14ac:dyDescent="0.25">
      <c r="A43" s="3">
        <v>41395</v>
      </c>
      <c r="B43" s="73">
        <v>397639.71</v>
      </c>
      <c r="C43" s="134"/>
    </row>
    <row r="44" spans="1:3" x14ac:dyDescent="0.25">
      <c r="A44" s="3">
        <v>41426</v>
      </c>
      <c r="B44" s="73">
        <v>407162.86</v>
      </c>
      <c r="C44" s="134"/>
    </row>
    <row r="45" spans="1:3" x14ac:dyDescent="0.25">
      <c r="A45" s="3">
        <v>41456</v>
      </c>
      <c r="B45" s="73">
        <v>444743.58</v>
      </c>
      <c r="C45" s="134"/>
    </row>
    <row r="46" spans="1:3" x14ac:dyDescent="0.25">
      <c r="A46" s="3">
        <v>41487</v>
      </c>
      <c r="B46" s="73">
        <v>434912.29</v>
      </c>
      <c r="C46" s="134"/>
    </row>
    <row r="47" spans="1:3" x14ac:dyDescent="0.25">
      <c r="A47" s="3">
        <v>41518</v>
      </c>
      <c r="B47" s="73">
        <v>391448.66</v>
      </c>
      <c r="C47" s="134"/>
    </row>
    <row r="48" spans="1:3" x14ac:dyDescent="0.25">
      <c r="A48" s="3">
        <v>41548</v>
      </c>
      <c r="B48" s="73">
        <v>377726.71</v>
      </c>
      <c r="C48" s="134"/>
    </row>
    <row r="49" spans="1:5" x14ac:dyDescent="0.25">
      <c r="A49" s="3">
        <v>41579</v>
      </c>
      <c r="B49" s="73">
        <v>354348.77</v>
      </c>
      <c r="C49" s="134"/>
    </row>
    <row r="50" spans="1:5" x14ac:dyDescent="0.25">
      <c r="A50" s="3">
        <v>41609</v>
      </c>
      <c r="B50" s="73">
        <v>370634.28</v>
      </c>
      <c r="C50" s="134">
        <f>SUM(B39:B50)</f>
        <v>4605497.6400000006</v>
      </c>
    </row>
    <row r="51" spans="1:5" x14ac:dyDescent="0.25">
      <c r="A51" s="3">
        <v>41640</v>
      </c>
      <c r="B51" s="73">
        <v>366493.27</v>
      </c>
      <c r="C51" s="134"/>
    </row>
    <row r="52" spans="1:5" x14ac:dyDescent="0.25">
      <c r="A52" s="3">
        <v>41671</v>
      </c>
      <c r="B52" s="73">
        <v>323641.03999999998</v>
      </c>
      <c r="C52" s="134"/>
    </row>
    <row r="53" spans="1:5" x14ac:dyDescent="0.25">
      <c r="A53" s="3">
        <v>41699</v>
      </c>
      <c r="B53" s="73">
        <v>347275.03</v>
      </c>
      <c r="C53" s="134"/>
    </row>
    <row r="54" spans="1:5" x14ac:dyDescent="0.25">
      <c r="A54" s="3">
        <v>41730</v>
      </c>
      <c r="B54" s="73">
        <v>342098.99</v>
      </c>
      <c r="C54" s="134"/>
    </row>
    <row r="55" spans="1:5" x14ac:dyDescent="0.25">
      <c r="A55" s="3">
        <v>41760</v>
      </c>
      <c r="B55" s="73">
        <v>382958.26</v>
      </c>
      <c r="C55" s="134"/>
    </row>
    <row r="56" spans="1:5" x14ac:dyDescent="0.25">
      <c r="A56" s="3">
        <v>41791</v>
      </c>
      <c r="B56" s="73">
        <v>407919.19</v>
      </c>
      <c r="C56" s="134"/>
    </row>
    <row r="57" spans="1:5" x14ac:dyDescent="0.25">
      <c r="A57" s="3">
        <v>41821</v>
      </c>
      <c r="B57" s="73">
        <v>420622.5</v>
      </c>
      <c r="C57" s="134"/>
    </row>
    <row r="58" spans="1:5" x14ac:dyDescent="0.25">
      <c r="A58" s="3">
        <v>41852</v>
      </c>
      <c r="B58" s="73">
        <v>422321.68</v>
      </c>
      <c r="C58" s="134"/>
    </row>
    <row r="59" spans="1:5" x14ac:dyDescent="0.25">
      <c r="A59" s="3">
        <v>41883</v>
      </c>
      <c r="B59" s="73">
        <v>385077.24</v>
      </c>
      <c r="C59" s="134"/>
    </row>
    <row r="60" spans="1:5" x14ac:dyDescent="0.25">
      <c r="A60" s="3">
        <v>41913</v>
      </c>
      <c r="B60" s="73">
        <v>364394.21</v>
      </c>
      <c r="C60" s="134"/>
    </row>
    <row r="61" spans="1:5" x14ac:dyDescent="0.25">
      <c r="A61" s="3">
        <v>41944</v>
      </c>
      <c r="B61" s="73">
        <v>339127.69</v>
      </c>
      <c r="E61" s="82"/>
    </row>
    <row r="62" spans="1:5" x14ac:dyDescent="0.25">
      <c r="A62" s="3">
        <v>41974</v>
      </c>
      <c r="B62" s="73">
        <v>363670.43</v>
      </c>
      <c r="C62" s="134">
        <f>SUM(B51:B62)</f>
        <v>4465599.53</v>
      </c>
      <c r="E62" s="82"/>
    </row>
    <row r="63" spans="1:5" x14ac:dyDescent="0.25">
      <c r="A63" s="3">
        <v>42005</v>
      </c>
      <c r="B63" s="73">
        <v>349679.32</v>
      </c>
      <c r="C63" s="134"/>
      <c r="E63" s="118"/>
    </row>
    <row r="64" spans="1:5" x14ac:dyDescent="0.25">
      <c r="A64" s="3">
        <v>42036</v>
      </c>
      <c r="B64" s="73">
        <v>311629.42</v>
      </c>
      <c r="C64" s="134"/>
      <c r="E64" s="118"/>
    </row>
    <row r="65" spans="1:5" x14ac:dyDescent="0.25">
      <c r="A65" s="3">
        <v>42064</v>
      </c>
      <c r="B65" s="73">
        <v>338592.97</v>
      </c>
      <c r="C65" s="134"/>
      <c r="E65" s="118"/>
    </row>
    <row r="66" spans="1:5" x14ac:dyDescent="0.25">
      <c r="A66" s="3">
        <v>42095</v>
      </c>
      <c r="B66" s="73">
        <v>331358.40000000002</v>
      </c>
      <c r="C66" s="134"/>
      <c r="E66" s="118"/>
    </row>
    <row r="67" spans="1:5" x14ac:dyDescent="0.25">
      <c r="A67" s="3">
        <v>42125</v>
      </c>
      <c r="B67" s="73">
        <v>387811.18</v>
      </c>
      <c r="C67" s="134"/>
      <c r="E67" s="118"/>
    </row>
    <row r="68" spans="1:5" x14ac:dyDescent="0.25">
      <c r="A68" s="3">
        <v>42156</v>
      </c>
      <c r="B68" s="73">
        <v>388273.17</v>
      </c>
      <c r="C68" s="134"/>
      <c r="E68" s="118"/>
    </row>
    <row r="69" spans="1:5" x14ac:dyDescent="0.25">
      <c r="A69" s="3">
        <v>42186</v>
      </c>
      <c r="B69" s="73">
        <v>416075.88</v>
      </c>
      <c r="C69" s="134"/>
      <c r="E69" s="118"/>
    </row>
    <row r="70" spans="1:5" x14ac:dyDescent="0.25">
      <c r="A70" s="3">
        <v>42217</v>
      </c>
      <c r="B70" s="73">
        <v>408312.56</v>
      </c>
      <c r="C70" s="134"/>
      <c r="E70" s="118"/>
    </row>
    <row r="71" spans="1:5" x14ac:dyDescent="0.25">
      <c r="A71" s="3">
        <v>42248</v>
      </c>
      <c r="B71" s="73">
        <v>388313.1</v>
      </c>
      <c r="C71" s="134"/>
      <c r="E71" s="118"/>
    </row>
    <row r="72" spans="1:5" x14ac:dyDescent="0.25">
      <c r="A72" s="3">
        <v>42278</v>
      </c>
      <c r="B72" s="73">
        <v>343943.44</v>
      </c>
      <c r="C72" s="134"/>
      <c r="E72" s="118"/>
    </row>
    <row r="73" spans="1:5" x14ac:dyDescent="0.25">
      <c r="A73" s="3">
        <v>42309</v>
      </c>
      <c r="B73" s="73">
        <v>299933.71000000002</v>
      </c>
      <c r="C73" s="134"/>
      <c r="E73" s="118"/>
    </row>
    <row r="74" spans="1:5" x14ac:dyDescent="0.25">
      <c r="A74" s="3">
        <v>42339</v>
      </c>
      <c r="B74" s="73">
        <v>331710.99</v>
      </c>
      <c r="C74" s="134">
        <f>SUM(B63:B74)</f>
        <v>4295634.1399999997</v>
      </c>
      <c r="E74" s="118"/>
    </row>
    <row r="75" spans="1:5" x14ac:dyDescent="0.25">
      <c r="A75" s="3">
        <v>42370</v>
      </c>
      <c r="B75" s="73">
        <v>323380.34000000003</v>
      </c>
      <c r="C75" s="134"/>
      <c r="E75" s="118"/>
    </row>
    <row r="76" spans="1:5" x14ac:dyDescent="0.25">
      <c r="A76" s="3">
        <v>42401</v>
      </c>
      <c r="B76" s="73">
        <v>307303.69</v>
      </c>
      <c r="C76" s="134"/>
      <c r="E76" s="118"/>
    </row>
    <row r="77" spans="1:5" x14ac:dyDescent="0.25">
      <c r="A77" s="3">
        <v>42430</v>
      </c>
      <c r="B77" s="73">
        <v>313904.81</v>
      </c>
      <c r="C77" s="134"/>
      <c r="E77" s="118"/>
    </row>
    <row r="78" spans="1:5" x14ac:dyDescent="0.25">
      <c r="A78" s="3">
        <v>42461</v>
      </c>
      <c r="B78" s="73">
        <v>316565.49</v>
      </c>
      <c r="C78" s="134"/>
      <c r="E78" s="118"/>
    </row>
    <row r="79" spans="1:5" x14ac:dyDescent="0.25">
      <c r="A79" s="3">
        <v>42491</v>
      </c>
      <c r="B79" s="73">
        <v>356910.89</v>
      </c>
      <c r="C79" s="134"/>
      <c r="E79" s="118"/>
    </row>
    <row r="80" spans="1:5" x14ac:dyDescent="0.25">
      <c r="A80" s="3">
        <v>42522</v>
      </c>
      <c r="B80" s="73">
        <v>370634.23</v>
      </c>
      <c r="C80" s="134"/>
      <c r="E80" s="118"/>
    </row>
    <row r="81" spans="1:5" x14ac:dyDescent="0.25">
      <c r="A81" s="3">
        <v>42552</v>
      </c>
      <c r="B81" s="73">
        <v>405805.04</v>
      </c>
      <c r="C81" s="134"/>
      <c r="E81" s="118"/>
    </row>
    <row r="82" spans="1:5" x14ac:dyDescent="0.25">
      <c r="A82" s="3">
        <v>42583</v>
      </c>
      <c r="B82" s="73">
        <v>416261.02</v>
      </c>
      <c r="C82" s="134"/>
      <c r="E82" s="118"/>
    </row>
    <row r="83" spans="1:5" x14ac:dyDescent="0.25">
      <c r="A83" s="3">
        <v>42614</v>
      </c>
      <c r="B83" s="73">
        <v>367656.67</v>
      </c>
      <c r="C83" s="134"/>
      <c r="E83" s="118"/>
    </row>
    <row r="84" spans="1:5" x14ac:dyDescent="0.25">
      <c r="A84" s="3">
        <v>42644</v>
      </c>
      <c r="B84" s="73">
        <v>331558.94</v>
      </c>
      <c r="C84" s="134"/>
      <c r="E84" s="118"/>
    </row>
    <row r="85" spans="1:5" x14ac:dyDescent="0.25">
      <c r="A85" s="3">
        <v>42675</v>
      </c>
      <c r="B85" s="73">
        <v>310639.39</v>
      </c>
      <c r="C85" s="134"/>
      <c r="E85" s="118"/>
    </row>
    <row r="86" spans="1:5" x14ac:dyDescent="0.25">
      <c r="A86" s="3">
        <v>42705</v>
      </c>
      <c r="B86" s="73">
        <v>313662.21999999997</v>
      </c>
      <c r="C86" s="134">
        <f>SUM(B75:B86)</f>
        <v>4134282.7300000004</v>
      </c>
      <c r="E86" s="118"/>
    </row>
    <row r="87" spans="1:5" x14ac:dyDescent="0.25">
      <c r="A87" s="3">
        <v>42736</v>
      </c>
      <c r="B87" s="73">
        <v>308288.36</v>
      </c>
      <c r="C87" s="134"/>
      <c r="E87" s="118"/>
    </row>
    <row r="88" spans="1:5" x14ac:dyDescent="0.25">
      <c r="A88" s="3">
        <v>42767</v>
      </c>
      <c r="B88" s="73">
        <v>278939.56</v>
      </c>
      <c r="C88" s="134"/>
      <c r="E88" s="118"/>
    </row>
    <row r="89" spans="1:5" x14ac:dyDescent="0.25">
      <c r="A89" s="3">
        <v>42795</v>
      </c>
      <c r="B89" s="73">
        <v>313985.06</v>
      </c>
      <c r="C89" s="134"/>
      <c r="E89" s="118"/>
    </row>
    <row r="90" spans="1:5" x14ac:dyDescent="0.25">
      <c r="A90" s="3">
        <v>42826</v>
      </c>
      <c r="B90" s="73">
        <v>312160.38</v>
      </c>
      <c r="C90" s="134"/>
      <c r="E90" s="118"/>
    </row>
    <row r="91" spans="1:5" x14ac:dyDescent="0.25">
      <c r="A91" s="3">
        <v>42856</v>
      </c>
      <c r="B91" s="73">
        <v>337464.62</v>
      </c>
      <c r="C91" s="134"/>
      <c r="E91" s="118"/>
    </row>
    <row r="92" spans="1:5" x14ac:dyDescent="0.25">
      <c r="A92" s="3">
        <v>42887</v>
      </c>
      <c r="B92" s="73">
        <v>359776.48</v>
      </c>
      <c r="C92" s="134"/>
      <c r="E92" s="118"/>
    </row>
    <row r="93" spans="1:5" x14ac:dyDescent="0.25">
      <c r="A93" s="3">
        <v>42917</v>
      </c>
      <c r="B93" s="73">
        <v>384387.97</v>
      </c>
      <c r="C93" s="134"/>
      <c r="E93" s="118"/>
    </row>
    <row r="94" spans="1:5" x14ac:dyDescent="0.25">
      <c r="A94" s="3">
        <v>42948</v>
      </c>
      <c r="B94" s="73">
        <v>383201.9</v>
      </c>
      <c r="C94" s="134"/>
      <c r="E94" s="118"/>
    </row>
    <row r="95" spans="1:5" x14ac:dyDescent="0.25">
      <c r="A95" s="3">
        <v>42979</v>
      </c>
      <c r="B95" s="73">
        <v>363847.08</v>
      </c>
      <c r="C95" s="134"/>
      <c r="E95" s="118"/>
    </row>
    <row r="96" spans="1:5" x14ac:dyDescent="0.25">
      <c r="A96" s="3">
        <v>43009</v>
      </c>
      <c r="B96" s="73">
        <v>345569.91</v>
      </c>
      <c r="C96" s="134"/>
      <c r="E96" s="118"/>
    </row>
    <row r="97" spans="1:6" x14ac:dyDescent="0.25">
      <c r="A97" s="3">
        <v>43040</v>
      </c>
      <c r="B97" s="73">
        <v>307932.48</v>
      </c>
      <c r="C97" s="134"/>
      <c r="E97" s="118"/>
    </row>
    <row r="98" spans="1:6" x14ac:dyDescent="0.25">
      <c r="A98" s="3">
        <v>43070</v>
      </c>
      <c r="B98" s="73">
        <v>313952.57</v>
      </c>
      <c r="C98" s="134">
        <f>SUM(B87:B98)</f>
        <v>4009506.3699999996</v>
      </c>
      <c r="E98" s="118"/>
      <c r="F98" s="122"/>
    </row>
    <row r="99" spans="1:6" x14ac:dyDescent="0.25">
      <c r="A99" s="3">
        <v>43101</v>
      </c>
      <c r="B99" s="73">
        <v>307997.84000000003</v>
      </c>
      <c r="C99" s="134"/>
      <c r="E99" s="118"/>
      <c r="F99" s="122"/>
    </row>
    <row r="100" spans="1:6" x14ac:dyDescent="0.25">
      <c r="A100" s="3">
        <v>43132</v>
      </c>
      <c r="B100" s="73">
        <v>273572.96999999997</v>
      </c>
      <c r="C100" s="134"/>
      <c r="E100" s="118"/>
      <c r="F100" s="122"/>
    </row>
    <row r="101" spans="1:6" x14ac:dyDescent="0.25">
      <c r="A101" s="3">
        <v>43160</v>
      </c>
      <c r="B101" s="73">
        <v>285916.03999999998</v>
      </c>
      <c r="C101" s="134"/>
      <c r="E101" s="118"/>
      <c r="F101" s="122"/>
    </row>
    <row r="102" spans="1:6" x14ac:dyDescent="0.25">
      <c r="A102" s="3">
        <v>43191</v>
      </c>
      <c r="B102" s="73">
        <v>281728.74</v>
      </c>
      <c r="C102" s="134"/>
      <c r="E102" s="118"/>
      <c r="F102" s="122"/>
    </row>
    <row r="103" spans="1:6" x14ac:dyDescent="0.25">
      <c r="A103" s="3">
        <v>43221</v>
      </c>
      <c r="B103" s="73">
        <v>346888.55</v>
      </c>
      <c r="C103" s="134"/>
      <c r="E103" s="118"/>
      <c r="F103" s="122"/>
    </row>
    <row r="104" spans="1:6" x14ac:dyDescent="0.25">
      <c r="A104" s="3">
        <v>43252</v>
      </c>
      <c r="B104" s="73">
        <v>350610.04</v>
      </c>
      <c r="C104" s="134"/>
      <c r="E104" s="118"/>
      <c r="F104" s="122"/>
    </row>
    <row r="105" spans="1:6" x14ac:dyDescent="0.25">
      <c r="A105" s="3">
        <v>43282</v>
      </c>
      <c r="B105" s="73">
        <v>386115.95</v>
      </c>
      <c r="C105" s="134"/>
      <c r="E105" s="118"/>
      <c r="F105" s="122"/>
    </row>
    <row r="106" spans="1:6" x14ac:dyDescent="0.25">
      <c r="A106" s="3">
        <v>43313</v>
      </c>
      <c r="B106" s="73">
        <v>387027.55</v>
      </c>
      <c r="C106" s="134"/>
      <c r="E106" s="118"/>
      <c r="F106" s="122"/>
    </row>
    <row r="107" spans="1:6" x14ac:dyDescent="0.25">
      <c r="A107" s="3">
        <v>43344</v>
      </c>
      <c r="B107" s="73">
        <v>347025.23</v>
      </c>
      <c r="C107" s="134"/>
      <c r="E107" s="118"/>
      <c r="F107" s="122"/>
    </row>
    <row r="108" spans="1:6" x14ac:dyDescent="0.25">
      <c r="A108" s="3">
        <v>43374</v>
      </c>
      <c r="B108" s="73">
        <v>311873.71000000002</v>
      </c>
      <c r="C108" s="134"/>
      <c r="E108" s="118"/>
      <c r="F108" s="122"/>
    </row>
    <row r="109" spans="1:6" x14ac:dyDescent="0.25">
      <c r="A109" s="3">
        <v>43405</v>
      </c>
      <c r="B109" s="73">
        <v>289192.58</v>
      </c>
      <c r="C109" s="134"/>
      <c r="E109" s="118"/>
      <c r="F109" s="122"/>
    </row>
    <row r="110" spans="1:6" x14ac:dyDescent="0.25">
      <c r="A110" s="3">
        <v>43435</v>
      </c>
      <c r="B110" s="73">
        <v>303003.46999999997</v>
      </c>
      <c r="C110" s="134">
        <f>SUM(B99:B110)</f>
        <v>3870952.67</v>
      </c>
      <c r="E110" s="118"/>
    </row>
    <row r="111" spans="1:6" x14ac:dyDescent="0.25">
      <c r="A111" s="3">
        <v>43466</v>
      </c>
      <c r="B111" s="73">
        <v>298139.90000000002</v>
      </c>
      <c r="C111" s="134"/>
      <c r="E111" s="118"/>
    </row>
    <row r="112" spans="1:6" x14ac:dyDescent="0.25">
      <c r="A112" s="3">
        <v>43497</v>
      </c>
      <c r="B112" s="73">
        <v>260608.74</v>
      </c>
      <c r="C112" s="134"/>
      <c r="E112" s="118"/>
    </row>
    <row r="113" spans="1:5" x14ac:dyDescent="0.25">
      <c r="A113" s="3">
        <v>43525</v>
      </c>
      <c r="B113" s="73">
        <v>284174.87</v>
      </c>
      <c r="C113" s="134"/>
      <c r="E113" s="118"/>
    </row>
    <row r="114" spans="1:5" x14ac:dyDescent="0.25">
      <c r="A114" s="3">
        <v>43556</v>
      </c>
      <c r="B114" s="73">
        <v>278876.62</v>
      </c>
      <c r="C114" s="134"/>
      <c r="E114" s="118"/>
    </row>
    <row r="115" spans="1:5" x14ac:dyDescent="0.25">
      <c r="A115" s="3">
        <v>43586</v>
      </c>
      <c r="B115" s="73">
        <v>302662.26</v>
      </c>
      <c r="C115" s="134"/>
      <c r="E115" s="118"/>
    </row>
    <row r="116" spans="1:5" x14ac:dyDescent="0.25">
      <c r="A116" s="3">
        <v>43617</v>
      </c>
      <c r="B116" s="73">
        <v>324669.82</v>
      </c>
      <c r="C116" s="134"/>
      <c r="E116" s="118"/>
    </row>
    <row r="117" spans="1:5" x14ac:dyDescent="0.25">
      <c r="A117" s="3">
        <v>43647</v>
      </c>
      <c r="B117" s="73">
        <v>384048.65</v>
      </c>
      <c r="C117" s="134"/>
      <c r="E117" s="118"/>
    </row>
    <row r="118" spans="1:5" x14ac:dyDescent="0.25">
      <c r="A118" s="3">
        <v>43678</v>
      </c>
      <c r="B118" s="73">
        <v>355258.95</v>
      </c>
      <c r="C118" s="134"/>
      <c r="E118" s="118"/>
    </row>
    <row r="119" spans="1:5" x14ac:dyDescent="0.25">
      <c r="A119" s="3">
        <v>43709</v>
      </c>
      <c r="B119" s="73">
        <v>317478.2</v>
      </c>
      <c r="C119" s="134"/>
      <c r="E119" s="118"/>
    </row>
    <row r="120" spans="1:5" x14ac:dyDescent="0.25">
      <c r="A120" s="3">
        <v>43739</v>
      </c>
      <c r="B120" s="73">
        <v>297520.46999999997</v>
      </c>
      <c r="C120" s="134"/>
      <c r="E120" s="118"/>
    </row>
    <row r="121" spans="1:5" x14ac:dyDescent="0.25">
      <c r="A121" s="3">
        <v>43770</v>
      </c>
      <c r="B121" s="73">
        <v>270258.90000000002</v>
      </c>
      <c r="C121" s="134"/>
      <c r="E121" s="118"/>
    </row>
    <row r="122" spans="1:5" x14ac:dyDescent="0.25">
      <c r="A122" s="3">
        <v>43800</v>
      </c>
      <c r="B122" s="73">
        <v>279122.71999999997</v>
      </c>
      <c r="C122" s="134">
        <f>SUM(B111:B122)</f>
        <v>3652820.1000000006</v>
      </c>
      <c r="E122" s="118"/>
    </row>
    <row r="123" spans="1:5" x14ac:dyDescent="0.25">
      <c r="A123" s="3"/>
      <c r="B123" s="118">
        <f>SUM(B2:B122)</f>
        <v>43583955.899999969</v>
      </c>
      <c r="C123" s="118">
        <f>SUM(C2:C122)</f>
        <v>43583955.900000006</v>
      </c>
      <c r="E123" s="118"/>
    </row>
    <row r="124" spans="1:5" x14ac:dyDescent="0.25">
      <c r="A124" s="3"/>
      <c r="B124" s="118"/>
      <c r="C124" s="134">
        <f>C123-C2</f>
        <v>43176318.270000003</v>
      </c>
      <c r="E124" s="118"/>
    </row>
    <row r="125" spans="1:5" x14ac:dyDescent="0.25">
      <c r="A125" s="3"/>
      <c r="B125" s="118"/>
      <c r="C125" s="134"/>
    </row>
    <row r="127" spans="1:5" x14ac:dyDescent="0.25">
      <c r="C127"/>
    </row>
    <row r="128" spans="1:5" x14ac:dyDescent="0.25">
      <c r="C128"/>
    </row>
    <row r="129" spans="2:3" x14ac:dyDescent="0.25">
      <c r="C129"/>
    </row>
    <row r="130" spans="2:3" x14ac:dyDescent="0.25">
      <c r="C130"/>
    </row>
    <row r="131" spans="2:3" x14ac:dyDescent="0.25">
      <c r="C131"/>
    </row>
    <row r="132" spans="2:3" x14ac:dyDescent="0.25">
      <c r="C132"/>
    </row>
    <row r="133" spans="2:3" x14ac:dyDescent="0.25">
      <c r="C133"/>
    </row>
    <row r="134" spans="2:3" x14ac:dyDescent="0.25">
      <c r="B134" s="82"/>
      <c r="C134" s="134"/>
    </row>
    <row r="135" spans="2:3" x14ac:dyDescent="0.25">
      <c r="B135" s="82"/>
      <c r="C135" s="134"/>
    </row>
    <row r="136" spans="2:3" x14ac:dyDescent="0.25">
      <c r="B136" s="82"/>
      <c r="C136" s="134"/>
    </row>
    <row r="137" spans="2:3" x14ac:dyDescent="0.25">
      <c r="B137" s="82"/>
      <c r="C137" s="134"/>
    </row>
    <row r="138" spans="2:3" x14ac:dyDescent="0.25">
      <c r="B138" s="82"/>
      <c r="C138" s="134"/>
    </row>
    <row r="139" spans="2:3" x14ac:dyDescent="0.25">
      <c r="B139" s="82"/>
      <c r="C139" s="134"/>
    </row>
    <row r="140" spans="2:3" x14ac:dyDescent="0.25">
      <c r="B140" s="82"/>
      <c r="C140" s="134"/>
    </row>
    <row r="141" spans="2:3" x14ac:dyDescent="0.25">
      <c r="B141" s="82"/>
      <c r="C141" s="134"/>
    </row>
    <row r="142" spans="2:3" x14ac:dyDescent="0.25">
      <c r="B142" s="82"/>
      <c r="C142" s="134"/>
    </row>
    <row r="143" spans="2:3" x14ac:dyDescent="0.25">
      <c r="C143" s="134"/>
    </row>
    <row r="144" spans="2:3" x14ac:dyDescent="0.25">
      <c r="C144" s="134"/>
    </row>
  </sheetData>
  <pageMargins left="0.70866141732283472" right="0.70866141732283472" top="0.74803149606299213" bottom="0.74803149606299213" header="0.31496062992125984" footer="0.31496062992125984"/>
  <pageSetup scale="82" orientation="portrait" r:id="rId1"/>
  <rowBreaks count="1" manualBreakCount="1">
    <brk id="6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workbookViewId="0">
      <selection activeCell="J2" sqref="J2"/>
    </sheetView>
  </sheetViews>
  <sheetFormatPr defaultRowHeight="13.2" x14ac:dyDescent="0.25"/>
  <cols>
    <col min="1" max="1" width="20.44140625" bestFit="1" customWidth="1"/>
    <col min="2" max="2" width="18.88671875" bestFit="1" customWidth="1"/>
    <col min="3" max="3" width="18.6640625" bestFit="1" customWidth="1"/>
    <col min="4" max="4" width="22.44140625" bestFit="1" customWidth="1"/>
    <col min="5" max="5" width="10.44140625" bestFit="1" customWidth="1"/>
    <col min="6" max="6" width="20" bestFit="1" customWidth="1"/>
    <col min="7" max="7" width="8.109375" bestFit="1" customWidth="1"/>
    <col min="8" max="8" width="10" bestFit="1" customWidth="1"/>
  </cols>
  <sheetData>
    <row r="1" spans="1:8" x14ac:dyDescent="0.25">
      <c r="A1" t="s">
        <v>179</v>
      </c>
      <c r="B1" t="s">
        <v>3</v>
      </c>
      <c r="C1" t="s">
        <v>4</v>
      </c>
      <c r="D1" t="s">
        <v>5</v>
      </c>
      <c r="E1" t="s">
        <v>117</v>
      </c>
      <c r="F1" t="s">
        <v>6</v>
      </c>
      <c r="G1" t="s">
        <v>118</v>
      </c>
      <c r="H1" t="s">
        <v>119</v>
      </c>
    </row>
    <row r="2" spans="1:8" x14ac:dyDescent="0.25">
      <c r="A2" s="246">
        <v>47472216.966202989</v>
      </c>
      <c r="B2" s="246">
        <v>720</v>
      </c>
      <c r="C2" s="246">
        <v>0</v>
      </c>
      <c r="D2" s="246">
        <v>31</v>
      </c>
      <c r="E2" s="246">
        <v>0</v>
      </c>
      <c r="F2" s="246">
        <v>320</v>
      </c>
      <c r="G2" s="246">
        <v>0</v>
      </c>
      <c r="H2" s="246">
        <v>0</v>
      </c>
    </row>
    <row r="3" spans="1:8" x14ac:dyDescent="0.25">
      <c r="A3" s="246">
        <v>42508653.525144011</v>
      </c>
      <c r="B3" s="246">
        <v>598.29999999999995</v>
      </c>
      <c r="C3" s="246">
        <v>0</v>
      </c>
      <c r="D3" s="246">
        <v>28</v>
      </c>
      <c r="E3" s="246">
        <v>0</v>
      </c>
      <c r="F3" s="246">
        <v>304</v>
      </c>
      <c r="G3" s="246">
        <v>0</v>
      </c>
      <c r="H3" s="246">
        <v>0</v>
      </c>
    </row>
    <row r="4" spans="1:8" x14ac:dyDescent="0.25">
      <c r="A4" s="246">
        <v>42669059.368760794</v>
      </c>
      <c r="B4" s="246">
        <v>422.8</v>
      </c>
      <c r="C4" s="246">
        <v>0</v>
      </c>
      <c r="D4" s="246">
        <v>31</v>
      </c>
      <c r="E4" s="246">
        <v>1</v>
      </c>
      <c r="F4" s="246">
        <v>368</v>
      </c>
      <c r="G4" s="246">
        <v>0</v>
      </c>
      <c r="H4" s="246">
        <v>0</v>
      </c>
    </row>
    <row r="5" spans="1:8" x14ac:dyDescent="0.25">
      <c r="A5" s="246">
        <v>38120390.194950953</v>
      </c>
      <c r="B5" s="246">
        <v>225.1</v>
      </c>
      <c r="C5" s="246">
        <v>0</v>
      </c>
      <c r="D5" s="246">
        <v>30</v>
      </c>
      <c r="E5" s="246">
        <v>1</v>
      </c>
      <c r="F5" s="246">
        <v>320</v>
      </c>
      <c r="G5" s="246">
        <v>0</v>
      </c>
      <c r="H5" s="246">
        <v>0</v>
      </c>
    </row>
    <row r="6" spans="1:8" x14ac:dyDescent="0.25">
      <c r="A6" s="246">
        <v>42875662.668418743</v>
      </c>
      <c r="B6" s="246">
        <v>107.9</v>
      </c>
      <c r="C6" s="246">
        <v>45.7</v>
      </c>
      <c r="D6" s="246">
        <v>31</v>
      </c>
      <c r="E6" s="246">
        <v>1</v>
      </c>
      <c r="F6" s="246">
        <v>320</v>
      </c>
      <c r="G6" s="246">
        <v>0</v>
      </c>
      <c r="H6" s="246">
        <v>0</v>
      </c>
    </row>
    <row r="7" spans="1:8" x14ac:dyDescent="0.25">
      <c r="A7" s="246">
        <v>44648092.905910902</v>
      </c>
      <c r="B7" s="246">
        <v>21.7</v>
      </c>
      <c r="C7" s="246">
        <v>58.7</v>
      </c>
      <c r="D7" s="246">
        <v>30</v>
      </c>
      <c r="E7" s="246">
        <v>0</v>
      </c>
      <c r="F7" s="246">
        <v>352</v>
      </c>
      <c r="G7" s="246">
        <v>0</v>
      </c>
      <c r="H7" s="246">
        <v>0</v>
      </c>
    </row>
    <row r="8" spans="1:8" x14ac:dyDescent="0.25">
      <c r="A8" s="246">
        <v>51549574.136028662</v>
      </c>
      <c r="B8" s="246">
        <v>1.8</v>
      </c>
      <c r="C8" s="246">
        <v>164.9</v>
      </c>
      <c r="D8" s="246">
        <v>31</v>
      </c>
      <c r="E8" s="246">
        <v>0</v>
      </c>
      <c r="F8" s="246">
        <v>336</v>
      </c>
      <c r="G8" s="246">
        <v>0</v>
      </c>
      <c r="H8" s="246">
        <v>0</v>
      </c>
    </row>
    <row r="9" spans="1:8" x14ac:dyDescent="0.25">
      <c r="A9" s="246">
        <v>49500530.616359599</v>
      </c>
      <c r="B9" s="246">
        <v>2.1</v>
      </c>
      <c r="C9" s="246">
        <v>138.80000000000001</v>
      </c>
      <c r="D9" s="246">
        <v>31</v>
      </c>
      <c r="E9" s="246">
        <v>0</v>
      </c>
      <c r="F9" s="246">
        <v>336</v>
      </c>
      <c r="G9" s="246">
        <v>0</v>
      </c>
      <c r="H9" s="246">
        <v>0</v>
      </c>
    </row>
    <row r="10" spans="1:8" x14ac:dyDescent="0.25">
      <c r="A10" s="246">
        <v>41502323.342172094</v>
      </c>
      <c r="B10" s="246">
        <v>78.099999999999994</v>
      </c>
      <c r="C10" s="246">
        <v>31.5</v>
      </c>
      <c r="D10" s="246">
        <v>30</v>
      </c>
      <c r="E10" s="246">
        <v>0</v>
      </c>
      <c r="F10" s="246">
        <v>336</v>
      </c>
      <c r="G10" s="246">
        <v>1</v>
      </c>
      <c r="H10" s="246">
        <v>0</v>
      </c>
    </row>
    <row r="11" spans="1:8" x14ac:dyDescent="0.25">
      <c r="A11" s="246">
        <v>40951220.454775818</v>
      </c>
      <c r="B11" s="246">
        <v>241.6</v>
      </c>
      <c r="C11" s="246">
        <v>0</v>
      </c>
      <c r="D11" s="246">
        <v>31</v>
      </c>
      <c r="E11" s="246">
        <v>0</v>
      </c>
      <c r="F11" s="246">
        <v>320</v>
      </c>
      <c r="G11" s="246">
        <v>1</v>
      </c>
      <c r="H11" s="246">
        <v>0</v>
      </c>
    </row>
    <row r="12" spans="1:8" x14ac:dyDescent="0.25">
      <c r="A12" s="246">
        <v>42054579.336362571</v>
      </c>
      <c r="B12" s="246">
        <v>405.3</v>
      </c>
      <c r="C12" s="246">
        <v>0</v>
      </c>
      <c r="D12" s="246">
        <v>30</v>
      </c>
      <c r="E12" s="246">
        <v>0</v>
      </c>
      <c r="F12" s="246">
        <v>336</v>
      </c>
      <c r="G12" s="246">
        <v>1</v>
      </c>
      <c r="H12" s="246">
        <v>0</v>
      </c>
    </row>
    <row r="13" spans="1:8" x14ac:dyDescent="0.25">
      <c r="A13" s="246">
        <v>48154810.207067154</v>
      </c>
      <c r="B13" s="246">
        <v>676.2</v>
      </c>
      <c r="C13" s="246">
        <v>0</v>
      </c>
      <c r="D13" s="246">
        <v>31</v>
      </c>
      <c r="E13" s="246">
        <v>0</v>
      </c>
      <c r="F13" s="246">
        <v>368</v>
      </c>
      <c r="G13" s="246">
        <v>0</v>
      </c>
      <c r="H13" s="246">
        <v>0</v>
      </c>
    </row>
    <row r="14" spans="1:8" x14ac:dyDescent="0.25">
      <c r="A14" s="246">
        <v>48881674.921605229</v>
      </c>
      <c r="B14" s="246">
        <v>775.3</v>
      </c>
      <c r="C14" s="246">
        <v>0</v>
      </c>
      <c r="D14" s="246">
        <v>31</v>
      </c>
      <c r="E14" s="246">
        <v>0</v>
      </c>
      <c r="F14" s="246">
        <v>336</v>
      </c>
      <c r="G14" s="246">
        <v>0</v>
      </c>
      <c r="H14" s="246">
        <v>0</v>
      </c>
    </row>
    <row r="15" spans="1:8" x14ac:dyDescent="0.25">
      <c r="A15" s="246">
        <v>43771270.850017607</v>
      </c>
      <c r="B15" s="246">
        <v>654.20000000000005</v>
      </c>
      <c r="C15" s="246">
        <v>0</v>
      </c>
      <c r="D15" s="246">
        <v>28</v>
      </c>
      <c r="E15" s="246">
        <v>0</v>
      </c>
      <c r="F15" s="246">
        <v>304</v>
      </c>
      <c r="G15" s="246">
        <v>0</v>
      </c>
      <c r="H15" s="246">
        <v>0</v>
      </c>
    </row>
    <row r="16" spans="1:8" x14ac:dyDescent="0.25">
      <c r="A16" s="246">
        <v>45634046.283321574</v>
      </c>
      <c r="B16" s="246">
        <v>572.79999999999995</v>
      </c>
      <c r="C16" s="246">
        <v>0</v>
      </c>
      <c r="D16" s="246">
        <v>31</v>
      </c>
      <c r="E16" s="246">
        <v>1</v>
      </c>
      <c r="F16" s="246">
        <v>368</v>
      </c>
      <c r="G16" s="246">
        <v>0</v>
      </c>
      <c r="H16" s="246">
        <v>0</v>
      </c>
    </row>
    <row r="17" spans="1:8" x14ac:dyDescent="0.25">
      <c r="A17" s="246">
        <v>40762137.266352326</v>
      </c>
      <c r="B17" s="246">
        <v>332.3</v>
      </c>
      <c r="C17" s="246">
        <v>0</v>
      </c>
      <c r="D17" s="246">
        <v>30</v>
      </c>
      <c r="E17" s="246">
        <v>1</v>
      </c>
      <c r="F17" s="246">
        <v>320</v>
      </c>
      <c r="G17" s="246">
        <v>0</v>
      </c>
      <c r="H17" s="246">
        <v>0</v>
      </c>
    </row>
    <row r="18" spans="1:8" x14ac:dyDescent="0.25">
      <c r="A18" s="246">
        <v>41587769.405215353</v>
      </c>
      <c r="B18" s="246">
        <v>134.1</v>
      </c>
      <c r="C18" s="246">
        <v>13</v>
      </c>
      <c r="D18" s="246">
        <v>31</v>
      </c>
      <c r="E18" s="246">
        <v>1</v>
      </c>
      <c r="F18" s="246">
        <v>336</v>
      </c>
      <c r="G18" s="246">
        <v>0</v>
      </c>
      <c r="H18" s="246">
        <v>0</v>
      </c>
    </row>
    <row r="19" spans="1:8" x14ac:dyDescent="0.25">
      <c r="A19" s="246">
        <v>43738403.419399783</v>
      </c>
      <c r="B19" s="246">
        <v>19</v>
      </c>
      <c r="C19" s="246">
        <v>52.2</v>
      </c>
      <c r="D19" s="246">
        <v>30</v>
      </c>
      <c r="E19" s="246">
        <v>0</v>
      </c>
      <c r="F19" s="246">
        <v>352</v>
      </c>
      <c r="G19" s="246">
        <v>0</v>
      </c>
      <c r="H19" s="246">
        <v>0</v>
      </c>
    </row>
    <row r="20" spans="1:8" x14ac:dyDescent="0.25">
      <c r="A20" s="246">
        <v>51970236.162131719</v>
      </c>
      <c r="B20" s="246">
        <v>0</v>
      </c>
      <c r="C20" s="246">
        <v>198.5</v>
      </c>
      <c r="D20" s="246">
        <v>31</v>
      </c>
      <c r="E20" s="246">
        <v>0</v>
      </c>
      <c r="F20" s="246">
        <v>320</v>
      </c>
      <c r="G20" s="246">
        <v>0</v>
      </c>
      <c r="H20" s="246">
        <v>0</v>
      </c>
    </row>
    <row r="21" spans="1:8" x14ac:dyDescent="0.25">
      <c r="A21" s="246">
        <v>48106657.968837023</v>
      </c>
      <c r="B21" s="246">
        <v>0</v>
      </c>
      <c r="C21" s="246">
        <v>122.2</v>
      </c>
      <c r="D21" s="246">
        <v>31</v>
      </c>
      <c r="E21" s="246">
        <v>0</v>
      </c>
      <c r="F21" s="246">
        <v>352</v>
      </c>
      <c r="G21" s="246">
        <v>0</v>
      </c>
      <c r="H21" s="246">
        <v>0</v>
      </c>
    </row>
    <row r="22" spans="1:8" x14ac:dyDescent="0.25">
      <c r="A22" s="246">
        <v>41798512.781907342</v>
      </c>
      <c r="B22" s="246">
        <v>48.2</v>
      </c>
      <c r="C22" s="246">
        <v>39.700000000000003</v>
      </c>
      <c r="D22" s="246">
        <v>30</v>
      </c>
      <c r="E22" s="246">
        <v>0</v>
      </c>
      <c r="F22" s="246">
        <v>336</v>
      </c>
      <c r="G22" s="246">
        <v>1</v>
      </c>
      <c r="H22" s="246">
        <v>0</v>
      </c>
    </row>
    <row r="23" spans="1:8" x14ac:dyDescent="0.25">
      <c r="A23" s="246">
        <v>41906596.21075777</v>
      </c>
      <c r="B23" s="246">
        <v>235.5</v>
      </c>
      <c r="C23" s="246">
        <v>2.4</v>
      </c>
      <c r="D23" s="246">
        <v>31</v>
      </c>
      <c r="E23" s="246">
        <v>0</v>
      </c>
      <c r="F23" s="246">
        <v>320</v>
      </c>
      <c r="G23" s="246">
        <v>1</v>
      </c>
      <c r="H23" s="246">
        <v>0</v>
      </c>
    </row>
    <row r="24" spans="1:8" x14ac:dyDescent="0.25">
      <c r="A24" s="246">
        <v>42235222.866225161</v>
      </c>
      <c r="B24" s="246">
        <v>341.9</v>
      </c>
      <c r="C24" s="246">
        <v>0</v>
      </c>
      <c r="D24" s="246">
        <v>30</v>
      </c>
      <c r="E24" s="246">
        <v>0</v>
      </c>
      <c r="F24" s="246">
        <v>352</v>
      </c>
      <c r="G24" s="246">
        <v>1</v>
      </c>
      <c r="H24" s="246">
        <v>0</v>
      </c>
    </row>
    <row r="25" spans="1:8" x14ac:dyDescent="0.25">
      <c r="A25" s="246">
        <v>41946848.890500419</v>
      </c>
      <c r="B25" s="246">
        <v>534</v>
      </c>
      <c r="C25" s="246">
        <v>0</v>
      </c>
      <c r="D25" s="246">
        <v>31</v>
      </c>
      <c r="E25" s="246">
        <v>0</v>
      </c>
      <c r="F25" s="246">
        <v>336</v>
      </c>
      <c r="G25" s="246">
        <v>0</v>
      </c>
      <c r="H25" s="246">
        <v>0</v>
      </c>
    </row>
    <row r="26" spans="1:8" x14ac:dyDescent="0.25">
      <c r="A26" s="246">
        <v>46525102.535699487</v>
      </c>
      <c r="B26" s="246">
        <v>611.1</v>
      </c>
      <c r="C26" s="246">
        <v>0</v>
      </c>
      <c r="D26" s="246">
        <v>31</v>
      </c>
      <c r="E26" s="246">
        <v>0</v>
      </c>
      <c r="F26" s="246">
        <v>352</v>
      </c>
      <c r="G26" s="246">
        <v>0</v>
      </c>
      <c r="H26" s="246">
        <v>0</v>
      </c>
    </row>
    <row r="27" spans="1:8" x14ac:dyDescent="0.25">
      <c r="A27" s="246">
        <v>42435872.730341449</v>
      </c>
      <c r="B27" s="246">
        <v>531.70000000000005</v>
      </c>
      <c r="C27" s="246">
        <v>0</v>
      </c>
      <c r="D27" s="246">
        <v>29</v>
      </c>
      <c r="E27" s="246">
        <v>0</v>
      </c>
      <c r="F27" s="246">
        <v>320</v>
      </c>
      <c r="G27" s="246">
        <v>0</v>
      </c>
      <c r="H27" s="246">
        <v>0</v>
      </c>
    </row>
    <row r="28" spans="1:8" x14ac:dyDescent="0.25">
      <c r="A28" s="246">
        <v>42036598.382555865</v>
      </c>
      <c r="B28" s="246">
        <v>349.4</v>
      </c>
      <c r="C28" s="246">
        <v>0.2</v>
      </c>
      <c r="D28" s="246">
        <v>31</v>
      </c>
      <c r="E28" s="246">
        <v>1</v>
      </c>
      <c r="F28" s="246">
        <v>352</v>
      </c>
      <c r="G28" s="246">
        <v>0</v>
      </c>
      <c r="H28" s="246">
        <v>0</v>
      </c>
    </row>
    <row r="29" spans="1:8" x14ac:dyDescent="0.25">
      <c r="A29" s="246">
        <v>40038787.805545285</v>
      </c>
      <c r="B29" s="246">
        <v>321.7</v>
      </c>
      <c r="C29" s="246">
        <v>0</v>
      </c>
      <c r="D29" s="246">
        <v>30</v>
      </c>
      <c r="E29" s="246">
        <v>1</v>
      </c>
      <c r="F29" s="246">
        <v>320</v>
      </c>
      <c r="G29" s="246">
        <v>0</v>
      </c>
      <c r="H29" s="246">
        <v>0</v>
      </c>
    </row>
    <row r="30" spans="1:8" x14ac:dyDescent="0.25">
      <c r="A30" s="246">
        <v>41281262.879913256</v>
      </c>
      <c r="B30" s="246">
        <v>80.7</v>
      </c>
      <c r="C30" s="246">
        <v>36.700000000000003</v>
      </c>
      <c r="D30" s="246">
        <v>31</v>
      </c>
      <c r="E30" s="246">
        <v>1</v>
      </c>
      <c r="F30" s="246">
        <v>352</v>
      </c>
      <c r="G30" s="246">
        <v>0</v>
      </c>
      <c r="H30" s="246">
        <v>0</v>
      </c>
    </row>
    <row r="31" spans="1:8" x14ac:dyDescent="0.25">
      <c r="A31" s="246">
        <v>46514666.945070252</v>
      </c>
      <c r="B31" s="246">
        <v>23.2</v>
      </c>
      <c r="C31" s="246">
        <v>101.6</v>
      </c>
      <c r="D31" s="246">
        <v>30</v>
      </c>
      <c r="E31" s="246">
        <v>0</v>
      </c>
      <c r="F31" s="246">
        <v>336</v>
      </c>
      <c r="G31" s="246">
        <v>0</v>
      </c>
      <c r="H31" s="246">
        <v>0</v>
      </c>
    </row>
    <row r="32" spans="1:8" x14ac:dyDescent="0.25">
      <c r="A32" s="246">
        <v>52570360.149020873</v>
      </c>
      <c r="B32" s="246">
        <v>0</v>
      </c>
      <c r="C32" s="246">
        <v>195.4</v>
      </c>
      <c r="D32" s="246">
        <v>31</v>
      </c>
      <c r="E32" s="246">
        <v>0</v>
      </c>
      <c r="F32" s="246">
        <v>336</v>
      </c>
      <c r="G32" s="246">
        <v>0</v>
      </c>
      <c r="H32" s="246">
        <v>0</v>
      </c>
    </row>
    <row r="33" spans="1:8" x14ac:dyDescent="0.25">
      <c r="A33" s="246">
        <v>47158405.226866052</v>
      </c>
      <c r="B33" s="246">
        <v>2</v>
      </c>
      <c r="C33" s="246">
        <v>112.1</v>
      </c>
      <c r="D33" s="246">
        <v>31</v>
      </c>
      <c r="E33" s="246">
        <v>0</v>
      </c>
      <c r="F33" s="246">
        <v>352</v>
      </c>
      <c r="G33" s="246">
        <v>0</v>
      </c>
      <c r="H33" s="246">
        <v>0</v>
      </c>
    </row>
    <row r="34" spans="1:8" x14ac:dyDescent="0.25">
      <c r="A34" s="246">
        <v>41189732.536530606</v>
      </c>
      <c r="B34" s="246">
        <v>85</v>
      </c>
      <c r="C34" s="246">
        <v>35.6</v>
      </c>
      <c r="D34" s="246">
        <v>30</v>
      </c>
      <c r="E34" s="246">
        <v>0</v>
      </c>
      <c r="F34" s="246">
        <v>304</v>
      </c>
      <c r="G34" s="246">
        <v>1</v>
      </c>
      <c r="H34" s="246">
        <v>0</v>
      </c>
    </row>
    <row r="35" spans="1:8" x14ac:dyDescent="0.25">
      <c r="A35" s="246">
        <v>41413715.172564894</v>
      </c>
      <c r="B35" s="246">
        <v>242.5</v>
      </c>
      <c r="C35" s="246">
        <v>1.1000000000000001</v>
      </c>
      <c r="D35" s="246">
        <v>31</v>
      </c>
      <c r="E35" s="246">
        <v>0</v>
      </c>
      <c r="F35" s="246">
        <v>352</v>
      </c>
      <c r="G35" s="246">
        <v>1</v>
      </c>
      <c r="H35" s="246">
        <v>0</v>
      </c>
    </row>
    <row r="36" spans="1:8" x14ac:dyDescent="0.25">
      <c r="A36" s="246">
        <v>41937564.993160278</v>
      </c>
      <c r="B36" s="246">
        <v>434</v>
      </c>
      <c r="C36" s="246">
        <v>0</v>
      </c>
      <c r="D36" s="246">
        <v>30</v>
      </c>
      <c r="E36" s="246">
        <v>0</v>
      </c>
      <c r="F36" s="246">
        <v>352</v>
      </c>
      <c r="G36" s="246">
        <v>1</v>
      </c>
      <c r="H36" s="246">
        <v>0</v>
      </c>
    </row>
    <row r="37" spans="1:8" x14ac:dyDescent="0.25">
      <c r="A37" s="246">
        <v>43847704.343301974</v>
      </c>
      <c r="B37" s="246">
        <v>533.5</v>
      </c>
      <c r="C37" s="246">
        <v>0</v>
      </c>
      <c r="D37" s="246">
        <v>31</v>
      </c>
      <c r="E37" s="246">
        <v>0</v>
      </c>
      <c r="F37" s="246">
        <v>304</v>
      </c>
      <c r="G37" s="246">
        <v>0</v>
      </c>
      <c r="H37" s="246">
        <v>0</v>
      </c>
    </row>
    <row r="38" spans="1:8" x14ac:dyDescent="0.25">
      <c r="A38" s="246">
        <v>46204975.632565685</v>
      </c>
      <c r="B38" s="246">
        <v>624.4</v>
      </c>
      <c r="C38" s="246">
        <v>0</v>
      </c>
      <c r="D38" s="246">
        <v>31</v>
      </c>
      <c r="E38" s="246">
        <v>0</v>
      </c>
      <c r="F38" s="246">
        <v>352</v>
      </c>
      <c r="G38" s="246">
        <v>0</v>
      </c>
      <c r="H38" s="246">
        <v>0</v>
      </c>
    </row>
    <row r="39" spans="1:8" x14ac:dyDescent="0.25">
      <c r="A39" s="246">
        <v>42220875.744019635</v>
      </c>
      <c r="B39" s="246">
        <v>631.5</v>
      </c>
      <c r="C39" s="246">
        <v>0</v>
      </c>
      <c r="D39" s="246">
        <v>28</v>
      </c>
      <c r="E39" s="246">
        <v>0</v>
      </c>
      <c r="F39" s="246">
        <v>304</v>
      </c>
      <c r="G39" s="246">
        <v>0</v>
      </c>
      <c r="H39" s="246">
        <v>0</v>
      </c>
    </row>
    <row r="40" spans="1:8" x14ac:dyDescent="0.25">
      <c r="A40" s="246">
        <v>43747060.287194811</v>
      </c>
      <c r="B40" s="246">
        <v>554.79999999999995</v>
      </c>
      <c r="C40" s="246">
        <v>0</v>
      </c>
      <c r="D40" s="246">
        <v>31</v>
      </c>
      <c r="E40" s="246">
        <v>1</v>
      </c>
      <c r="F40" s="246">
        <v>320</v>
      </c>
      <c r="G40" s="246">
        <v>0</v>
      </c>
      <c r="H40" s="246">
        <v>0</v>
      </c>
    </row>
    <row r="41" spans="1:8" x14ac:dyDescent="0.25">
      <c r="A41" s="246">
        <v>41050884.019543432</v>
      </c>
      <c r="B41" s="246">
        <v>358.6</v>
      </c>
      <c r="C41" s="246">
        <v>0</v>
      </c>
      <c r="D41" s="246">
        <v>30</v>
      </c>
      <c r="E41" s="246">
        <v>1</v>
      </c>
      <c r="F41" s="246">
        <v>352</v>
      </c>
      <c r="G41" s="246">
        <v>0</v>
      </c>
      <c r="H41" s="246">
        <v>0</v>
      </c>
    </row>
    <row r="42" spans="1:8" x14ac:dyDescent="0.25">
      <c r="A42" s="246">
        <v>41598818.760423541</v>
      </c>
      <c r="B42" s="246">
        <v>109.1</v>
      </c>
      <c r="C42" s="246">
        <v>23.1</v>
      </c>
      <c r="D42" s="246">
        <v>31</v>
      </c>
      <c r="E42" s="246">
        <v>1</v>
      </c>
      <c r="F42" s="246">
        <v>352</v>
      </c>
      <c r="G42" s="246">
        <v>0</v>
      </c>
      <c r="H42" s="246">
        <v>0</v>
      </c>
    </row>
    <row r="43" spans="1:8" x14ac:dyDescent="0.25">
      <c r="A43" s="246">
        <v>44448509.68145439</v>
      </c>
      <c r="B43" s="246">
        <v>33</v>
      </c>
      <c r="C43" s="246">
        <v>59.6</v>
      </c>
      <c r="D43" s="246">
        <v>30</v>
      </c>
      <c r="E43" s="246">
        <v>0</v>
      </c>
      <c r="F43" s="246">
        <v>320</v>
      </c>
      <c r="G43" s="246">
        <v>0</v>
      </c>
      <c r="H43" s="246">
        <v>0</v>
      </c>
    </row>
    <row r="44" spans="1:8" x14ac:dyDescent="0.25">
      <c r="A44" s="246">
        <v>50496677.449903317</v>
      </c>
      <c r="B44" s="246">
        <v>1.3</v>
      </c>
      <c r="C44" s="246">
        <v>120.8</v>
      </c>
      <c r="D44" s="246">
        <v>31</v>
      </c>
      <c r="E44" s="246">
        <v>0</v>
      </c>
      <c r="F44" s="246">
        <v>352</v>
      </c>
      <c r="G44" s="246">
        <v>0</v>
      </c>
      <c r="H44" s="246">
        <v>0</v>
      </c>
    </row>
    <row r="45" spans="1:8" x14ac:dyDescent="0.25">
      <c r="A45" s="246">
        <v>47743400.676583149</v>
      </c>
      <c r="B45" s="246">
        <v>4.4000000000000004</v>
      </c>
      <c r="C45" s="246">
        <v>93.8</v>
      </c>
      <c r="D45" s="246">
        <v>31</v>
      </c>
      <c r="E45" s="246">
        <v>0</v>
      </c>
      <c r="F45" s="246">
        <v>320</v>
      </c>
      <c r="G45" s="246">
        <v>0</v>
      </c>
      <c r="H45" s="246">
        <v>1</v>
      </c>
    </row>
    <row r="46" spans="1:8" x14ac:dyDescent="0.25">
      <c r="A46" s="246">
        <v>42819992.163056076</v>
      </c>
      <c r="B46" s="246">
        <v>83</v>
      </c>
      <c r="C46" s="246">
        <v>28.1</v>
      </c>
      <c r="D46" s="246">
        <v>30</v>
      </c>
      <c r="E46" s="246">
        <v>0</v>
      </c>
      <c r="F46" s="246">
        <v>320</v>
      </c>
      <c r="G46" s="246">
        <v>1</v>
      </c>
      <c r="H46" s="246">
        <v>1</v>
      </c>
    </row>
    <row r="47" spans="1:8" x14ac:dyDescent="0.25">
      <c r="A47" s="246">
        <v>43468622.633799613</v>
      </c>
      <c r="B47" s="246">
        <v>208.5</v>
      </c>
      <c r="C47" s="246">
        <v>0.4</v>
      </c>
      <c r="D47" s="246">
        <v>31</v>
      </c>
      <c r="E47" s="246">
        <v>0</v>
      </c>
      <c r="F47" s="246">
        <v>352</v>
      </c>
      <c r="G47" s="246">
        <v>1</v>
      </c>
      <c r="H47" s="246">
        <v>1</v>
      </c>
    </row>
    <row r="48" spans="1:8" x14ac:dyDescent="0.25">
      <c r="A48" s="246">
        <v>45464562.514413603</v>
      </c>
      <c r="B48" s="246">
        <v>478.2</v>
      </c>
      <c r="C48" s="246">
        <v>0</v>
      </c>
      <c r="D48" s="246">
        <v>30</v>
      </c>
      <c r="E48" s="246">
        <v>0</v>
      </c>
      <c r="F48" s="246">
        <v>320</v>
      </c>
      <c r="G48" s="246">
        <v>1</v>
      </c>
      <c r="H48" s="246">
        <v>1</v>
      </c>
    </row>
    <row r="49" spans="1:8" x14ac:dyDescent="0.25">
      <c r="A49" s="246">
        <v>46385121.026941366</v>
      </c>
      <c r="B49" s="246">
        <v>687.9</v>
      </c>
      <c r="C49" s="246">
        <v>0</v>
      </c>
      <c r="D49" s="246">
        <v>31</v>
      </c>
      <c r="E49" s="246">
        <v>0</v>
      </c>
      <c r="F49" s="246">
        <v>320</v>
      </c>
      <c r="G49" s="246">
        <v>0</v>
      </c>
      <c r="H49" s="246">
        <v>1</v>
      </c>
    </row>
    <row r="50" spans="1:8" x14ac:dyDescent="0.25">
      <c r="A50" s="246">
        <v>51390707.196665987</v>
      </c>
      <c r="B50" s="246">
        <v>825.9</v>
      </c>
      <c r="C50" s="246">
        <v>0</v>
      </c>
      <c r="D50" s="246">
        <v>31</v>
      </c>
      <c r="E50" s="246">
        <v>0</v>
      </c>
      <c r="F50" s="246">
        <v>352</v>
      </c>
      <c r="G50" s="246">
        <v>0</v>
      </c>
      <c r="H50" s="246">
        <v>1</v>
      </c>
    </row>
    <row r="51" spans="1:8" x14ac:dyDescent="0.25">
      <c r="A51" s="246">
        <v>45243862.624583691</v>
      </c>
      <c r="B51" s="246">
        <v>737.1</v>
      </c>
      <c r="C51" s="246">
        <v>0</v>
      </c>
      <c r="D51" s="246">
        <v>28</v>
      </c>
      <c r="E51" s="246">
        <v>0</v>
      </c>
      <c r="F51" s="246">
        <v>304</v>
      </c>
      <c r="G51" s="246">
        <v>0</v>
      </c>
      <c r="H51" s="246">
        <v>1</v>
      </c>
    </row>
    <row r="52" spans="1:8" x14ac:dyDescent="0.25">
      <c r="A52" s="246">
        <v>47597568.497494519</v>
      </c>
      <c r="B52" s="246">
        <v>690.6</v>
      </c>
      <c r="C52" s="246">
        <v>0</v>
      </c>
      <c r="D52" s="246">
        <v>31</v>
      </c>
      <c r="E52" s="246">
        <v>1</v>
      </c>
      <c r="F52" s="246">
        <v>336</v>
      </c>
      <c r="G52" s="246">
        <v>0</v>
      </c>
      <c r="H52" s="246">
        <v>1</v>
      </c>
    </row>
    <row r="53" spans="1:8" x14ac:dyDescent="0.25">
      <c r="A53" s="246">
        <v>42076910.441469923</v>
      </c>
      <c r="B53" s="246">
        <v>356.9</v>
      </c>
      <c r="C53" s="246">
        <v>0</v>
      </c>
      <c r="D53" s="246">
        <v>30</v>
      </c>
      <c r="E53" s="246">
        <v>1</v>
      </c>
      <c r="F53" s="246">
        <v>336</v>
      </c>
      <c r="G53" s="246">
        <v>0</v>
      </c>
      <c r="H53" s="246">
        <v>1</v>
      </c>
    </row>
    <row r="54" spans="1:8" x14ac:dyDescent="0.25">
      <c r="A54" s="246">
        <v>41723387.059021071</v>
      </c>
      <c r="B54" s="246">
        <v>132.1</v>
      </c>
      <c r="C54" s="246">
        <v>11.9</v>
      </c>
      <c r="D54" s="246">
        <v>31</v>
      </c>
      <c r="E54" s="246">
        <v>1</v>
      </c>
      <c r="F54" s="246">
        <v>336</v>
      </c>
      <c r="G54" s="246">
        <v>0</v>
      </c>
      <c r="H54" s="246">
        <v>1</v>
      </c>
    </row>
    <row r="55" spans="1:8" x14ac:dyDescent="0.25">
      <c r="A55" s="246">
        <v>46021476.155939944</v>
      </c>
      <c r="B55" s="246">
        <v>14.1</v>
      </c>
      <c r="C55" s="246">
        <v>68.099999999999994</v>
      </c>
      <c r="D55" s="246">
        <v>30</v>
      </c>
      <c r="E55" s="246">
        <v>0</v>
      </c>
      <c r="F55" s="246">
        <v>336</v>
      </c>
      <c r="G55" s="246">
        <v>0</v>
      </c>
      <c r="H55" s="246">
        <v>1</v>
      </c>
    </row>
    <row r="56" spans="1:8" x14ac:dyDescent="0.25">
      <c r="A56" s="246">
        <v>47575184.551523499</v>
      </c>
      <c r="B56" s="246">
        <v>4</v>
      </c>
      <c r="C56" s="246">
        <v>71</v>
      </c>
      <c r="D56" s="246">
        <v>31</v>
      </c>
      <c r="E56" s="246">
        <v>0</v>
      </c>
      <c r="F56" s="246">
        <v>352</v>
      </c>
      <c r="G56" s="246">
        <v>0</v>
      </c>
      <c r="H56" s="246">
        <v>1</v>
      </c>
    </row>
    <row r="57" spans="1:8" x14ac:dyDescent="0.25">
      <c r="A57" s="246">
        <v>46786892.913119972</v>
      </c>
      <c r="B57" s="246">
        <v>8.8000000000000007</v>
      </c>
      <c r="C57" s="246">
        <v>81.8</v>
      </c>
      <c r="D57" s="246">
        <v>31</v>
      </c>
      <c r="E57" s="246">
        <v>0</v>
      </c>
      <c r="F57" s="246">
        <v>320</v>
      </c>
      <c r="G57" s="246">
        <v>0</v>
      </c>
      <c r="H57" s="246">
        <v>1</v>
      </c>
    </row>
    <row r="58" spans="1:8" x14ac:dyDescent="0.25">
      <c r="A58" s="246">
        <v>43658140.404098302</v>
      </c>
      <c r="B58" s="246">
        <v>69.7</v>
      </c>
      <c r="C58" s="246">
        <v>30.1</v>
      </c>
      <c r="D58" s="246">
        <v>30</v>
      </c>
      <c r="E58" s="246">
        <v>0</v>
      </c>
      <c r="F58" s="246">
        <v>336</v>
      </c>
      <c r="G58" s="246">
        <v>1</v>
      </c>
      <c r="H58" s="246">
        <v>1</v>
      </c>
    </row>
    <row r="59" spans="1:8" x14ac:dyDescent="0.25">
      <c r="A59" s="246">
        <v>43081781.345447332</v>
      </c>
      <c r="B59" s="246">
        <v>224.3</v>
      </c>
      <c r="C59" s="246">
        <v>1.3</v>
      </c>
      <c r="D59" s="246">
        <v>31</v>
      </c>
      <c r="E59" s="246">
        <v>0</v>
      </c>
      <c r="F59" s="246">
        <v>352</v>
      </c>
      <c r="G59" s="246">
        <v>1</v>
      </c>
      <c r="H59" s="246">
        <v>1</v>
      </c>
    </row>
    <row r="60" spans="1:8" x14ac:dyDescent="0.25">
      <c r="A60" s="246">
        <v>45540611.7584197</v>
      </c>
      <c r="B60" s="246">
        <v>482.1</v>
      </c>
      <c r="C60" s="246">
        <v>0</v>
      </c>
      <c r="D60" s="246">
        <v>30</v>
      </c>
      <c r="E60" s="246">
        <v>0</v>
      </c>
      <c r="F60" s="246">
        <v>320</v>
      </c>
      <c r="G60" s="246">
        <v>1</v>
      </c>
      <c r="H60" s="246">
        <v>1</v>
      </c>
    </row>
    <row r="61" spans="1:8" x14ac:dyDescent="0.25">
      <c r="A61" s="246">
        <v>48184853.326542445</v>
      </c>
      <c r="B61" s="246">
        <v>557.29999999999995</v>
      </c>
      <c r="C61" s="246">
        <v>0</v>
      </c>
      <c r="D61" s="246">
        <v>31</v>
      </c>
      <c r="E61" s="246">
        <v>0</v>
      </c>
      <c r="F61" s="246">
        <v>336</v>
      </c>
      <c r="G61" s="246">
        <v>0</v>
      </c>
      <c r="H61" s="246">
        <v>1</v>
      </c>
    </row>
    <row r="62" spans="1:8" x14ac:dyDescent="0.25">
      <c r="A62" s="246">
        <v>50468148.882977873</v>
      </c>
      <c r="B62" s="246">
        <v>792.39999999999975</v>
      </c>
      <c r="C62" s="246">
        <v>0</v>
      </c>
      <c r="D62" s="246">
        <v>31</v>
      </c>
      <c r="E62" s="246">
        <v>0</v>
      </c>
      <c r="F62" s="246">
        <v>336</v>
      </c>
      <c r="G62" s="246">
        <v>0</v>
      </c>
      <c r="H62" s="246">
        <v>1</v>
      </c>
    </row>
    <row r="63" spans="1:8" x14ac:dyDescent="0.25">
      <c r="A63" s="246">
        <v>47402747.270245194</v>
      </c>
      <c r="B63" s="246">
        <v>856.8</v>
      </c>
      <c r="C63" s="246">
        <v>0</v>
      </c>
      <c r="D63" s="246">
        <v>28</v>
      </c>
      <c r="E63" s="246">
        <v>0</v>
      </c>
      <c r="F63" s="246">
        <v>304</v>
      </c>
      <c r="G63" s="246">
        <v>0</v>
      </c>
      <c r="H63" s="246">
        <v>1</v>
      </c>
    </row>
    <row r="64" spans="1:8" x14ac:dyDescent="0.25">
      <c r="A64" s="246">
        <v>46835675.454155654</v>
      </c>
      <c r="B64" s="246">
        <v>615.49999999999989</v>
      </c>
      <c r="C64" s="246">
        <v>0</v>
      </c>
      <c r="D64" s="246">
        <v>31</v>
      </c>
      <c r="E64" s="246">
        <v>1</v>
      </c>
      <c r="F64" s="246">
        <v>352</v>
      </c>
      <c r="G64" s="246">
        <v>0</v>
      </c>
      <c r="H64" s="246">
        <v>1</v>
      </c>
    </row>
    <row r="65" spans="1:8" x14ac:dyDescent="0.25">
      <c r="A65" s="246">
        <v>41528758.758546434</v>
      </c>
      <c r="B65" s="246">
        <v>313.7</v>
      </c>
      <c r="C65" s="246">
        <v>0</v>
      </c>
      <c r="D65" s="246">
        <v>30</v>
      </c>
      <c r="E65" s="246">
        <v>1</v>
      </c>
      <c r="F65" s="246">
        <v>336</v>
      </c>
      <c r="G65" s="246">
        <v>0</v>
      </c>
      <c r="H65" s="246">
        <v>1</v>
      </c>
    </row>
    <row r="66" spans="1:8" x14ac:dyDescent="0.25">
      <c r="A66" s="246">
        <v>43181074.337081581</v>
      </c>
      <c r="B66" s="246">
        <v>89.3</v>
      </c>
      <c r="C66" s="246">
        <v>34.1</v>
      </c>
      <c r="D66" s="246">
        <v>31</v>
      </c>
      <c r="E66" s="246">
        <v>1</v>
      </c>
      <c r="F66" s="246">
        <v>320</v>
      </c>
      <c r="G66" s="246">
        <v>0</v>
      </c>
      <c r="H66" s="246">
        <v>1</v>
      </c>
    </row>
    <row r="67" spans="1:8" x14ac:dyDescent="0.25">
      <c r="A67" s="246">
        <v>44110704.025427677</v>
      </c>
      <c r="B67" s="246">
        <v>33.800000000000004</v>
      </c>
      <c r="C67" s="246">
        <v>32.299999999999997</v>
      </c>
      <c r="D67" s="246">
        <v>30</v>
      </c>
      <c r="E67" s="246">
        <v>0</v>
      </c>
      <c r="F67" s="246">
        <v>352</v>
      </c>
      <c r="G67" s="246">
        <v>0</v>
      </c>
      <c r="H67" s="246">
        <v>1</v>
      </c>
    </row>
    <row r="68" spans="1:8" x14ac:dyDescent="0.25">
      <c r="A68" s="246">
        <v>50407040.424099796</v>
      </c>
      <c r="B68" s="246">
        <v>4</v>
      </c>
      <c r="C68" s="246">
        <v>114.29999999999998</v>
      </c>
      <c r="D68" s="246">
        <v>31</v>
      </c>
      <c r="E68" s="246">
        <v>0</v>
      </c>
      <c r="F68" s="246">
        <v>352</v>
      </c>
      <c r="G68" s="246">
        <v>0</v>
      </c>
      <c r="H68" s="246">
        <v>1</v>
      </c>
    </row>
    <row r="69" spans="1:8" x14ac:dyDescent="0.25">
      <c r="A69" s="246">
        <v>47672475.701872572</v>
      </c>
      <c r="B69" s="246">
        <v>4.4000000000000004</v>
      </c>
      <c r="C69" s="246">
        <v>88.6</v>
      </c>
      <c r="D69" s="246">
        <v>31</v>
      </c>
      <c r="E69" s="246">
        <v>0</v>
      </c>
      <c r="F69" s="246">
        <v>320</v>
      </c>
      <c r="G69" s="246">
        <v>0</v>
      </c>
      <c r="H69" s="246">
        <v>1</v>
      </c>
    </row>
    <row r="70" spans="1:8" x14ac:dyDescent="0.25">
      <c r="A70" s="246">
        <v>46473044.13178461</v>
      </c>
      <c r="B70" s="246">
        <v>31.099999999999994</v>
      </c>
      <c r="C70" s="246">
        <v>81.900000000000006</v>
      </c>
      <c r="D70" s="246">
        <v>30</v>
      </c>
      <c r="E70" s="246">
        <v>0</v>
      </c>
      <c r="F70" s="246">
        <v>336</v>
      </c>
      <c r="G70" s="246">
        <v>1</v>
      </c>
      <c r="H70" s="246">
        <v>1</v>
      </c>
    </row>
    <row r="71" spans="1:8" x14ac:dyDescent="0.25">
      <c r="A71" s="246">
        <v>42161053.898271002</v>
      </c>
      <c r="B71" s="246">
        <v>249.8</v>
      </c>
      <c r="C71" s="246">
        <v>0</v>
      </c>
      <c r="D71" s="246">
        <v>31</v>
      </c>
      <c r="E71" s="246">
        <v>0</v>
      </c>
      <c r="F71" s="246">
        <v>336</v>
      </c>
      <c r="G71" s="246">
        <v>1</v>
      </c>
      <c r="H71" s="246">
        <v>1</v>
      </c>
    </row>
    <row r="72" spans="1:8" x14ac:dyDescent="0.25">
      <c r="A72" s="246">
        <v>42164967.485942058</v>
      </c>
      <c r="B72" s="246">
        <v>345</v>
      </c>
      <c r="C72" s="246">
        <v>0</v>
      </c>
      <c r="D72" s="246">
        <v>30</v>
      </c>
      <c r="E72" s="246">
        <v>0</v>
      </c>
      <c r="F72" s="246">
        <v>336</v>
      </c>
      <c r="G72" s="246">
        <v>1</v>
      </c>
      <c r="H72" s="246">
        <v>1</v>
      </c>
    </row>
    <row r="73" spans="1:8" x14ac:dyDescent="0.25">
      <c r="A73" s="246">
        <v>44119269.509202957</v>
      </c>
      <c r="B73" s="246">
        <v>429.70000000000005</v>
      </c>
      <c r="C73" s="246">
        <v>0</v>
      </c>
      <c r="D73" s="246">
        <v>31</v>
      </c>
      <c r="E73" s="246">
        <v>0</v>
      </c>
      <c r="F73" s="246">
        <v>336</v>
      </c>
      <c r="G73" s="246">
        <v>0</v>
      </c>
      <c r="H73" s="246">
        <v>1</v>
      </c>
    </row>
    <row r="74" spans="1:8" x14ac:dyDescent="0.25">
      <c r="A74" s="246">
        <v>47355443.421284854</v>
      </c>
      <c r="B74" s="246">
        <v>670.4</v>
      </c>
      <c r="C74" s="246">
        <v>0</v>
      </c>
      <c r="D74" s="246">
        <v>31</v>
      </c>
      <c r="E74" s="246">
        <v>0</v>
      </c>
      <c r="F74" s="246">
        <v>336</v>
      </c>
      <c r="G74" s="246">
        <v>0</v>
      </c>
      <c r="H74" s="246">
        <v>1</v>
      </c>
    </row>
    <row r="75" spans="1:8" x14ac:dyDescent="0.25">
      <c r="A75" s="246">
        <v>43608012.041308671</v>
      </c>
      <c r="B75" s="246">
        <v>588.4</v>
      </c>
      <c r="C75" s="246">
        <v>0</v>
      </c>
      <c r="D75" s="246">
        <v>29</v>
      </c>
      <c r="E75" s="246">
        <v>0</v>
      </c>
      <c r="F75" s="246">
        <v>320</v>
      </c>
      <c r="G75" s="246">
        <v>0</v>
      </c>
      <c r="H75" s="246">
        <v>1</v>
      </c>
    </row>
    <row r="76" spans="1:8" x14ac:dyDescent="0.25">
      <c r="A76" s="246">
        <v>43512343.005344182</v>
      </c>
      <c r="B76" s="246">
        <v>476.0999999999998</v>
      </c>
      <c r="C76" s="246">
        <v>0</v>
      </c>
      <c r="D76" s="246">
        <v>31</v>
      </c>
      <c r="E76" s="246">
        <v>1</v>
      </c>
      <c r="F76" s="246">
        <v>352</v>
      </c>
      <c r="G76" s="246">
        <v>0</v>
      </c>
      <c r="H76" s="246">
        <v>1</v>
      </c>
    </row>
    <row r="77" spans="1:8" x14ac:dyDescent="0.25">
      <c r="A77" s="246">
        <v>41578227.672913745</v>
      </c>
      <c r="B77" s="246">
        <v>394.8</v>
      </c>
      <c r="C77" s="246">
        <v>0</v>
      </c>
      <c r="D77" s="246">
        <v>30</v>
      </c>
      <c r="E77" s="246">
        <v>1</v>
      </c>
      <c r="F77" s="246">
        <v>336</v>
      </c>
      <c r="G77" s="246">
        <v>0</v>
      </c>
      <c r="H77" s="246">
        <v>1</v>
      </c>
    </row>
    <row r="78" spans="1:8" x14ac:dyDescent="0.25">
      <c r="A78" s="246">
        <v>42943233.060028739</v>
      </c>
      <c r="B78" s="246">
        <v>142.50000000000003</v>
      </c>
      <c r="C78" s="246">
        <v>36.9</v>
      </c>
      <c r="D78" s="246">
        <v>31</v>
      </c>
      <c r="E78" s="246">
        <v>1</v>
      </c>
      <c r="F78" s="246">
        <v>320</v>
      </c>
      <c r="G78" s="246">
        <v>0</v>
      </c>
      <c r="H78" s="246">
        <v>1</v>
      </c>
    </row>
    <row r="79" spans="1:8" x14ac:dyDescent="0.25">
      <c r="A79" s="246">
        <v>46383418.093289711</v>
      </c>
      <c r="B79" s="246">
        <v>24.200000000000003</v>
      </c>
      <c r="C79" s="246">
        <v>83.7</v>
      </c>
      <c r="D79" s="246">
        <v>30</v>
      </c>
      <c r="E79" s="246">
        <v>0</v>
      </c>
      <c r="F79" s="246">
        <v>352</v>
      </c>
      <c r="G79" s="246">
        <v>0</v>
      </c>
      <c r="H79" s="246">
        <v>1</v>
      </c>
    </row>
    <row r="80" spans="1:8" x14ac:dyDescent="0.25">
      <c r="A80" s="246">
        <v>52573588.196430437</v>
      </c>
      <c r="B80" s="246">
        <v>0</v>
      </c>
      <c r="C80" s="246">
        <v>176.89999999999998</v>
      </c>
      <c r="D80" s="246">
        <v>31</v>
      </c>
      <c r="E80" s="246">
        <v>0</v>
      </c>
      <c r="F80" s="246">
        <v>352</v>
      </c>
      <c r="G80" s="246">
        <v>0</v>
      </c>
      <c r="H80" s="246">
        <v>1</v>
      </c>
    </row>
    <row r="81" spans="1:8" x14ac:dyDescent="0.25">
      <c r="A81" s="246">
        <v>54712952.997396529</v>
      </c>
      <c r="B81" s="246">
        <v>0</v>
      </c>
      <c r="C81" s="246">
        <v>195.4</v>
      </c>
      <c r="D81" s="246">
        <v>31</v>
      </c>
      <c r="E81" s="246">
        <v>0</v>
      </c>
      <c r="F81" s="246">
        <v>320</v>
      </c>
      <c r="G81" s="246">
        <v>0</v>
      </c>
      <c r="H81" s="246">
        <v>1</v>
      </c>
    </row>
    <row r="82" spans="1:8" x14ac:dyDescent="0.25">
      <c r="A82" s="246">
        <v>45256656.292692408</v>
      </c>
      <c r="B82" s="246">
        <v>25.900000000000006</v>
      </c>
      <c r="C82" s="246">
        <v>69.400000000000006</v>
      </c>
      <c r="D82" s="246">
        <v>30</v>
      </c>
      <c r="E82" s="246">
        <v>0</v>
      </c>
      <c r="F82" s="246">
        <v>336</v>
      </c>
      <c r="G82" s="246">
        <v>1</v>
      </c>
      <c r="H82" s="246">
        <v>1</v>
      </c>
    </row>
    <row r="83" spans="1:8" x14ac:dyDescent="0.25">
      <c r="A83" s="246">
        <v>42056044.996841326</v>
      </c>
      <c r="B83" s="246">
        <v>194.20000000000002</v>
      </c>
      <c r="C83" s="246">
        <v>4.0999999999999996</v>
      </c>
      <c r="D83" s="246">
        <v>31</v>
      </c>
      <c r="E83" s="246">
        <v>0</v>
      </c>
      <c r="F83" s="246">
        <v>336</v>
      </c>
      <c r="G83" s="246">
        <v>1</v>
      </c>
      <c r="H83" s="246">
        <v>1</v>
      </c>
    </row>
    <row r="84" spans="1:8" x14ac:dyDescent="0.25">
      <c r="A84" s="246">
        <v>42156032.453320444</v>
      </c>
      <c r="B84" s="246">
        <v>337.80000000000007</v>
      </c>
      <c r="C84" s="246">
        <v>0</v>
      </c>
      <c r="D84" s="246">
        <v>30</v>
      </c>
      <c r="E84" s="246">
        <v>0</v>
      </c>
      <c r="F84" s="246">
        <v>336</v>
      </c>
      <c r="G84" s="246">
        <v>1</v>
      </c>
      <c r="H84" s="246">
        <v>1</v>
      </c>
    </row>
    <row r="85" spans="1:8" x14ac:dyDescent="0.25">
      <c r="A85" s="246">
        <v>46766272.285530873</v>
      </c>
      <c r="B85" s="246">
        <v>607.99999999999989</v>
      </c>
      <c r="C85" s="246">
        <v>0</v>
      </c>
      <c r="D85" s="246">
        <v>31</v>
      </c>
      <c r="E85" s="246">
        <v>0</v>
      </c>
      <c r="F85" s="246">
        <v>336</v>
      </c>
      <c r="G85" s="246">
        <v>0</v>
      </c>
      <c r="H85" s="246">
        <v>1</v>
      </c>
    </row>
    <row r="86" spans="1:8" x14ac:dyDescent="0.25">
      <c r="A86" s="246">
        <v>46462378.697983809</v>
      </c>
      <c r="B86" s="246">
        <v>608.9</v>
      </c>
      <c r="C86" s="246">
        <v>0</v>
      </c>
      <c r="D86" s="246">
        <v>31</v>
      </c>
      <c r="E86" s="246">
        <v>0</v>
      </c>
      <c r="F86" s="246">
        <v>336</v>
      </c>
      <c r="G86" s="246">
        <v>0</v>
      </c>
      <c r="H86" s="246">
        <v>1</v>
      </c>
    </row>
    <row r="87" spans="1:8" x14ac:dyDescent="0.25">
      <c r="A87" s="246">
        <v>40853734.431535572</v>
      </c>
      <c r="B87" s="246">
        <v>510.4</v>
      </c>
      <c r="C87" s="246">
        <v>0</v>
      </c>
      <c r="D87" s="246">
        <v>28</v>
      </c>
      <c r="E87" s="246">
        <v>0</v>
      </c>
      <c r="F87" s="246">
        <v>304</v>
      </c>
      <c r="G87" s="246">
        <v>0</v>
      </c>
      <c r="H87" s="246">
        <v>1</v>
      </c>
    </row>
    <row r="88" spans="1:8" x14ac:dyDescent="0.25">
      <c r="A88" s="246">
        <v>45346170.869116999</v>
      </c>
      <c r="B88" s="246">
        <v>574</v>
      </c>
      <c r="C88" s="246">
        <v>0</v>
      </c>
      <c r="D88" s="246">
        <v>31</v>
      </c>
      <c r="E88" s="246">
        <v>1</v>
      </c>
      <c r="F88" s="246">
        <v>368</v>
      </c>
      <c r="G88" s="246">
        <v>0</v>
      </c>
      <c r="H88" s="246">
        <v>1</v>
      </c>
    </row>
    <row r="89" spans="1:8" x14ac:dyDescent="0.25">
      <c r="A89" s="246">
        <v>39615800.008289859</v>
      </c>
      <c r="B89" s="246">
        <v>257.49999999999994</v>
      </c>
      <c r="C89" s="246">
        <v>0</v>
      </c>
      <c r="D89" s="246">
        <v>30</v>
      </c>
      <c r="E89" s="246">
        <v>1</v>
      </c>
      <c r="F89" s="246">
        <v>304</v>
      </c>
      <c r="G89" s="246">
        <v>0</v>
      </c>
      <c r="H89" s="246">
        <v>1</v>
      </c>
    </row>
    <row r="90" spans="1:8" x14ac:dyDescent="0.25">
      <c r="A90" s="246">
        <v>40545426.099053636</v>
      </c>
      <c r="B90" s="246">
        <v>177</v>
      </c>
      <c r="C90" s="246">
        <v>9</v>
      </c>
      <c r="D90" s="246">
        <v>31</v>
      </c>
      <c r="E90" s="246">
        <v>1</v>
      </c>
      <c r="F90" s="246">
        <v>352</v>
      </c>
      <c r="G90" s="246">
        <v>0</v>
      </c>
      <c r="H90" s="246">
        <v>1</v>
      </c>
    </row>
    <row r="91" spans="1:8" x14ac:dyDescent="0.25">
      <c r="A91" s="246">
        <v>44153544.595142253</v>
      </c>
      <c r="B91" s="246">
        <v>26.699999999999996</v>
      </c>
      <c r="C91" s="246">
        <v>68.2</v>
      </c>
      <c r="D91" s="246">
        <v>30</v>
      </c>
      <c r="E91" s="246">
        <v>0</v>
      </c>
      <c r="F91" s="246">
        <v>352</v>
      </c>
      <c r="G91" s="246">
        <v>0</v>
      </c>
      <c r="H91" s="246">
        <v>1</v>
      </c>
    </row>
    <row r="92" spans="1:8" x14ac:dyDescent="0.25">
      <c r="A92" s="246">
        <v>48339999.984619439</v>
      </c>
      <c r="B92" s="246">
        <v>0</v>
      </c>
      <c r="C92" s="246">
        <v>116.49999999999999</v>
      </c>
      <c r="D92" s="246">
        <v>31</v>
      </c>
      <c r="E92" s="246">
        <v>0</v>
      </c>
      <c r="F92" s="246">
        <v>320</v>
      </c>
      <c r="G92" s="246">
        <v>0</v>
      </c>
      <c r="H92" s="246">
        <v>1</v>
      </c>
    </row>
    <row r="93" spans="1:8" x14ac:dyDescent="0.25">
      <c r="A93" s="246">
        <v>46475634.162889175</v>
      </c>
      <c r="B93" s="246">
        <v>11.6</v>
      </c>
      <c r="C93" s="246">
        <v>75.2</v>
      </c>
      <c r="D93" s="246">
        <v>31</v>
      </c>
      <c r="E93" s="246">
        <v>0</v>
      </c>
      <c r="F93" s="246">
        <v>352</v>
      </c>
      <c r="G93" s="246">
        <v>0</v>
      </c>
      <c r="H93" s="246">
        <v>1</v>
      </c>
    </row>
    <row r="94" spans="1:8" x14ac:dyDescent="0.25">
      <c r="A94" s="246">
        <v>43561662.291493662</v>
      </c>
      <c r="B94" s="246">
        <v>49.1</v>
      </c>
      <c r="C94" s="246">
        <v>71.499999999999986</v>
      </c>
      <c r="D94" s="246">
        <v>30</v>
      </c>
      <c r="E94" s="246">
        <v>0</v>
      </c>
      <c r="F94" s="246">
        <v>320</v>
      </c>
      <c r="G94" s="246">
        <v>1</v>
      </c>
      <c r="H94" s="246">
        <v>1</v>
      </c>
    </row>
    <row r="95" spans="1:8" x14ac:dyDescent="0.25">
      <c r="A95" s="246">
        <v>41020441.180942371</v>
      </c>
      <c r="B95" s="246">
        <v>153.99999999999997</v>
      </c>
      <c r="C95" s="246">
        <v>8.1</v>
      </c>
      <c r="D95" s="246">
        <v>31</v>
      </c>
      <c r="E95" s="246">
        <v>0</v>
      </c>
      <c r="F95" s="246">
        <v>336</v>
      </c>
      <c r="G95" s="246">
        <v>1</v>
      </c>
      <c r="H95" s="246">
        <v>1</v>
      </c>
    </row>
    <row r="96" spans="1:8" x14ac:dyDescent="0.25">
      <c r="A96" s="246">
        <v>43156345.1971559</v>
      </c>
      <c r="B96" s="246">
        <v>414.2</v>
      </c>
      <c r="C96" s="246">
        <v>0</v>
      </c>
      <c r="D96" s="246">
        <v>30</v>
      </c>
      <c r="E96" s="246">
        <v>0</v>
      </c>
      <c r="F96" s="246">
        <v>352</v>
      </c>
      <c r="G96" s="246">
        <v>1</v>
      </c>
      <c r="H96" s="246">
        <v>1</v>
      </c>
    </row>
    <row r="97" spans="1:8" x14ac:dyDescent="0.25">
      <c r="A97" s="246">
        <v>47964984.85781648</v>
      </c>
      <c r="B97" s="246">
        <v>718.49999999999989</v>
      </c>
      <c r="C97" s="246">
        <v>0</v>
      </c>
      <c r="D97" s="246">
        <v>31</v>
      </c>
      <c r="E97" s="246">
        <v>0</v>
      </c>
      <c r="F97" s="246">
        <v>304</v>
      </c>
      <c r="G97" s="246">
        <v>0</v>
      </c>
      <c r="H97" s="246">
        <v>1</v>
      </c>
    </row>
    <row r="98" spans="1:8" x14ac:dyDescent="0.25">
      <c r="A98" s="246">
        <v>48948229.212414093</v>
      </c>
      <c r="B98" s="246">
        <v>732.29999999999984</v>
      </c>
      <c r="C98" s="246">
        <v>0</v>
      </c>
      <c r="D98" s="246">
        <v>31</v>
      </c>
      <c r="E98" s="246">
        <v>0</v>
      </c>
      <c r="F98" s="246">
        <v>352</v>
      </c>
      <c r="G98" s="246">
        <v>0</v>
      </c>
      <c r="H98" s="246">
        <v>1</v>
      </c>
    </row>
    <row r="99" spans="1:8" x14ac:dyDescent="0.25">
      <c r="A99" s="246">
        <v>42260117.680146471</v>
      </c>
      <c r="B99" s="246">
        <v>555.00000000000023</v>
      </c>
      <c r="C99" s="246">
        <v>0</v>
      </c>
      <c r="D99" s="246">
        <v>28</v>
      </c>
      <c r="E99" s="246">
        <v>0</v>
      </c>
      <c r="F99" s="246">
        <v>304</v>
      </c>
      <c r="G99" s="246">
        <v>0</v>
      </c>
      <c r="H99" s="246">
        <v>1</v>
      </c>
    </row>
    <row r="100" spans="1:8" x14ac:dyDescent="0.25">
      <c r="A100" s="246">
        <v>44545299.259667501</v>
      </c>
      <c r="B100" s="246">
        <v>553.99999999999989</v>
      </c>
      <c r="C100" s="246">
        <v>0</v>
      </c>
      <c r="D100" s="246">
        <v>31</v>
      </c>
      <c r="E100" s="246">
        <v>1</v>
      </c>
      <c r="F100" s="246">
        <v>336</v>
      </c>
      <c r="G100" s="246">
        <v>0</v>
      </c>
      <c r="H100" s="246">
        <v>1</v>
      </c>
    </row>
    <row r="101" spans="1:8" x14ac:dyDescent="0.25">
      <c r="A101" s="246">
        <v>42441726.904285304</v>
      </c>
      <c r="B101" s="246">
        <v>437.20000000000005</v>
      </c>
      <c r="C101" s="246">
        <v>0</v>
      </c>
      <c r="D101" s="246">
        <v>30</v>
      </c>
      <c r="E101" s="246">
        <v>1</v>
      </c>
      <c r="F101" s="246">
        <v>336</v>
      </c>
      <c r="G101" s="246">
        <v>0</v>
      </c>
      <c r="H101" s="246">
        <v>1</v>
      </c>
    </row>
    <row r="102" spans="1:8" x14ac:dyDescent="0.25">
      <c r="A102" s="246">
        <v>43166424.101409592</v>
      </c>
      <c r="B102" s="246">
        <v>75.3</v>
      </c>
      <c r="C102" s="246">
        <v>43.4</v>
      </c>
      <c r="D102" s="246">
        <v>31</v>
      </c>
      <c r="E102" s="246">
        <v>1</v>
      </c>
      <c r="F102" s="246">
        <v>352</v>
      </c>
      <c r="G102" s="246">
        <v>0</v>
      </c>
      <c r="H102" s="246">
        <v>1</v>
      </c>
    </row>
    <row r="103" spans="1:8" x14ac:dyDescent="0.25">
      <c r="A103" s="246">
        <v>45644408.15574418</v>
      </c>
      <c r="B103" s="246">
        <v>14.799999999999999</v>
      </c>
      <c r="C103" s="246">
        <v>60.5</v>
      </c>
      <c r="D103" s="246">
        <v>30</v>
      </c>
      <c r="E103" s="246">
        <v>0</v>
      </c>
      <c r="F103" s="246">
        <v>336</v>
      </c>
      <c r="G103" s="246">
        <v>0</v>
      </c>
      <c r="H103" s="246">
        <v>1</v>
      </c>
    </row>
    <row r="104" spans="1:8" x14ac:dyDescent="0.25">
      <c r="A104" s="246">
        <v>52625106.373703048</v>
      </c>
      <c r="B104" s="246">
        <v>0</v>
      </c>
      <c r="C104" s="246">
        <v>167.8</v>
      </c>
      <c r="D104" s="246">
        <v>31</v>
      </c>
      <c r="E104" s="246">
        <v>0</v>
      </c>
      <c r="F104" s="246">
        <v>336</v>
      </c>
      <c r="G104" s="246">
        <v>0</v>
      </c>
      <c r="H104" s="246">
        <v>1</v>
      </c>
    </row>
    <row r="105" spans="1:8" x14ac:dyDescent="0.25">
      <c r="A105" s="246">
        <v>51853068.876182154</v>
      </c>
      <c r="B105" s="246">
        <v>1.2</v>
      </c>
      <c r="C105" s="246">
        <v>162.4</v>
      </c>
      <c r="D105" s="246">
        <v>31</v>
      </c>
      <c r="E105" s="246">
        <v>0</v>
      </c>
      <c r="F105" s="246">
        <v>352</v>
      </c>
      <c r="G105" s="246">
        <v>0</v>
      </c>
      <c r="H105" s="246">
        <v>1</v>
      </c>
    </row>
    <row r="106" spans="1:8" x14ac:dyDescent="0.25">
      <c r="A106" s="246">
        <v>45323391.585683309</v>
      </c>
      <c r="B106" s="246">
        <v>41.399999999999991</v>
      </c>
      <c r="C106" s="246">
        <v>76.399999999999977</v>
      </c>
      <c r="D106" s="246">
        <v>30</v>
      </c>
      <c r="E106" s="246">
        <v>0</v>
      </c>
      <c r="F106" s="246">
        <v>304</v>
      </c>
      <c r="G106" s="246">
        <v>1</v>
      </c>
      <c r="H106" s="246">
        <v>1</v>
      </c>
    </row>
    <row r="107" spans="1:8" x14ac:dyDescent="0.25">
      <c r="A107" s="246">
        <v>42774657.860498592</v>
      </c>
      <c r="B107" s="246">
        <v>289.40000000000003</v>
      </c>
      <c r="C107" s="246">
        <v>8.1999999999999993</v>
      </c>
      <c r="D107" s="246">
        <v>31</v>
      </c>
      <c r="E107" s="246">
        <v>0</v>
      </c>
      <c r="F107" s="246">
        <v>352</v>
      </c>
      <c r="G107" s="246">
        <v>1</v>
      </c>
      <c r="H107" s="246">
        <v>1</v>
      </c>
    </row>
    <row r="108" spans="1:8" x14ac:dyDescent="0.25">
      <c r="A108" s="246">
        <v>44646490.084530048</v>
      </c>
      <c r="B108" s="246">
        <v>494.1</v>
      </c>
      <c r="C108" s="246">
        <v>0</v>
      </c>
      <c r="D108" s="246">
        <v>30</v>
      </c>
      <c r="E108" s="246">
        <v>0</v>
      </c>
      <c r="F108" s="246">
        <v>336</v>
      </c>
      <c r="G108" s="246">
        <v>1</v>
      </c>
      <c r="H108" s="246">
        <v>1</v>
      </c>
    </row>
    <row r="109" spans="1:8" x14ac:dyDescent="0.25">
      <c r="A109" s="246">
        <v>46533264.480226979</v>
      </c>
      <c r="B109" s="246">
        <v>563.60000000000014</v>
      </c>
      <c r="C109" s="246">
        <v>0</v>
      </c>
      <c r="D109" s="246">
        <v>31</v>
      </c>
      <c r="E109" s="246">
        <v>0</v>
      </c>
      <c r="F109" s="246">
        <v>304</v>
      </c>
      <c r="G109" s="246">
        <v>0</v>
      </c>
      <c r="H109" s="246">
        <v>1</v>
      </c>
    </row>
    <row r="110" spans="1:8" x14ac:dyDescent="0.25">
      <c r="A110" s="246">
        <v>49158043.632982403</v>
      </c>
      <c r="B110" s="246">
        <v>764.5</v>
      </c>
      <c r="C110" s="246">
        <v>0</v>
      </c>
      <c r="D110" s="246">
        <v>31</v>
      </c>
      <c r="E110" s="246">
        <v>0</v>
      </c>
      <c r="F110" s="246">
        <v>352</v>
      </c>
      <c r="G110" s="246">
        <v>0</v>
      </c>
      <c r="H110" s="246">
        <v>1</v>
      </c>
    </row>
    <row r="111" spans="1:8" x14ac:dyDescent="0.25">
      <c r="A111" s="246">
        <v>43722123.952821322</v>
      </c>
      <c r="B111" s="246">
        <v>621.70000000000016</v>
      </c>
      <c r="C111" s="246">
        <v>0</v>
      </c>
      <c r="D111" s="246">
        <v>28</v>
      </c>
      <c r="E111" s="246">
        <v>0</v>
      </c>
      <c r="F111" s="246">
        <v>304</v>
      </c>
      <c r="G111" s="246">
        <v>0</v>
      </c>
      <c r="H111" s="246">
        <v>1</v>
      </c>
    </row>
    <row r="112" spans="1:8" x14ac:dyDescent="0.25">
      <c r="A112" s="246">
        <v>45699050.622054629</v>
      </c>
      <c r="B112" s="246">
        <v>593.90000000000009</v>
      </c>
      <c r="C112" s="246">
        <v>0</v>
      </c>
      <c r="D112" s="246">
        <v>31</v>
      </c>
      <c r="E112" s="246">
        <v>1</v>
      </c>
      <c r="F112" s="246">
        <v>336</v>
      </c>
      <c r="G112" s="246">
        <v>0</v>
      </c>
      <c r="H112" s="246">
        <v>1</v>
      </c>
    </row>
    <row r="113" spans="1:8" x14ac:dyDescent="0.25">
      <c r="A113" s="246">
        <v>41634024.240634918</v>
      </c>
      <c r="B113" s="246">
        <v>346.8</v>
      </c>
      <c r="C113" s="246">
        <v>0</v>
      </c>
      <c r="D113" s="246">
        <v>30</v>
      </c>
      <c r="E113" s="246">
        <v>1</v>
      </c>
      <c r="F113" s="246">
        <v>336</v>
      </c>
      <c r="G113" s="246">
        <v>0</v>
      </c>
      <c r="H113" s="246">
        <v>1</v>
      </c>
    </row>
    <row r="114" spans="1:8" x14ac:dyDescent="0.25">
      <c r="A114" s="246">
        <v>41390319.003267393</v>
      </c>
      <c r="B114" s="246">
        <v>180.99999999999997</v>
      </c>
      <c r="C114" s="246">
        <v>0</v>
      </c>
      <c r="D114" s="246">
        <v>31</v>
      </c>
      <c r="E114" s="246">
        <v>1</v>
      </c>
      <c r="F114" s="246">
        <v>352</v>
      </c>
      <c r="G114" s="246">
        <v>0</v>
      </c>
      <c r="H114" s="246">
        <v>1</v>
      </c>
    </row>
    <row r="115" spans="1:8" x14ac:dyDescent="0.25">
      <c r="A115" s="246">
        <v>43174806.158450648</v>
      </c>
      <c r="B115" s="246">
        <v>35.5</v>
      </c>
      <c r="C115" s="246">
        <v>41.300000000000004</v>
      </c>
      <c r="D115" s="246">
        <v>30</v>
      </c>
      <c r="E115" s="246">
        <v>0</v>
      </c>
      <c r="F115" s="246">
        <v>320</v>
      </c>
      <c r="G115" s="246">
        <v>0</v>
      </c>
      <c r="H115" s="246">
        <v>1</v>
      </c>
    </row>
    <row r="116" spans="1:8" x14ac:dyDescent="0.25">
      <c r="A116" s="246">
        <v>53895005.895316854</v>
      </c>
      <c r="B116" s="246">
        <v>0</v>
      </c>
      <c r="C116" s="246">
        <v>166.90000000000003</v>
      </c>
      <c r="D116" s="246">
        <v>31</v>
      </c>
      <c r="E116" s="246">
        <v>0</v>
      </c>
      <c r="F116" s="246">
        <v>352</v>
      </c>
      <c r="G116" s="246">
        <v>0</v>
      </c>
      <c r="H116" s="246">
        <v>1</v>
      </c>
    </row>
    <row r="117" spans="1:8" x14ac:dyDescent="0.25">
      <c r="A117" s="246">
        <v>48797129.488469154</v>
      </c>
      <c r="B117" s="246">
        <v>0.89999999999999991</v>
      </c>
      <c r="C117" s="246">
        <v>103.30000000000003</v>
      </c>
      <c r="D117" s="246">
        <v>31</v>
      </c>
      <c r="E117" s="246">
        <v>0</v>
      </c>
      <c r="F117" s="246">
        <v>336</v>
      </c>
      <c r="G117" s="246">
        <v>0</v>
      </c>
      <c r="H117" s="246">
        <v>1</v>
      </c>
    </row>
    <row r="118" spans="1:8" x14ac:dyDescent="0.25">
      <c r="A118" s="246">
        <v>42707310.458704419</v>
      </c>
      <c r="B118" s="246">
        <v>38.400000000000006</v>
      </c>
      <c r="C118" s="246">
        <v>25.400000000000002</v>
      </c>
      <c r="D118" s="246">
        <v>30</v>
      </c>
      <c r="E118" s="246">
        <v>0</v>
      </c>
      <c r="F118" s="246">
        <v>320</v>
      </c>
      <c r="G118" s="246">
        <v>1</v>
      </c>
      <c r="H118" s="246">
        <v>1</v>
      </c>
    </row>
    <row r="119" spans="1:8" x14ac:dyDescent="0.25">
      <c r="A119" s="246">
        <v>42503291.374341249</v>
      </c>
      <c r="B119" s="246">
        <v>236.5</v>
      </c>
      <c r="C119" s="246">
        <v>5.0999999999999996</v>
      </c>
      <c r="D119" s="246">
        <v>31</v>
      </c>
      <c r="E119" s="246">
        <v>0</v>
      </c>
      <c r="F119" s="246">
        <v>352</v>
      </c>
      <c r="G119" s="246">
        <v>1</v>
      </c>
      <c r="H119" s="246">
        <v>1</v>
      </c>
    </row>
    <row r="120" spans="1:8" x14ac:dyDescent="0.25">
      <c r="A120" s="246">
        <v>45552442.851262197</v>
      </c>
      <c r="B120" s="246">
        <v>513.30000000000007</v>
      </c>
      <c r="C120" s="246">
        <v>0</v>
      </c>
      <c r="D120" s="246">
        <v>30</v>
      </c>
      <c r="E120" s="246">
        <v>0</v>
      </c>
      <c r="F120" s="246">
        <v>320</v>
      </c>
      <c r="G120" s="246">
        <v>1</v>
      </c>
      <c r="H120" s="246">
        <v>1</v>
      </c>
    </row>
    <row r="121" spans="1:8" x14ac:dyDescent="0.25">
      <c r="A121" s="246">
        <v>47684652.312790148</v>
      </c>
      <c r="B121" s="246">
        <v>582.4</v>
      </c>
      <c r="C121" s="246">
        <v>0</v>
      </c>
      <c r="D121" s="246">
        <v>31</v>
      </c>
      <c r="E121" s="246">
        <v>0</v>
      </c>
      <c r="F121" s="246">
        <v>320</v>
      </c>
      <c r="G121" s="246">
        <v>0</v>
      </c>
      <c r="H121" s="246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I24" sqref="A3:I24"/>
    </sheetView>
  </sheetViews>
  <sheetFormatPr defaultRowHeight="13.2" x14ac:dyDescent="0.25"/>
  <cols>
    <col min="1" max="1" width="22.44140625" bestFit="1" customWidth="1"/>
    <col min="2" max="2" width="12.5546875" bestFit="1" customWidth="1"/>
    <col min="3" max="3" width="13.6640625" bestFit="1" customWidth="1"/>
    <col min="4" max="4" width="12.5546875" bestFit="1" customWidth="1"/>
    <col min="5" max="5" width="12.44140625" bestFit="1" customWidth="1"/>
    <col min="6" max="6" width="13.5546875" bestFit="1" customWidth="1"/>
    <col min="7" max="9" width="12.5546875" bestFit="1" customWidth="1"/>
  </cols>
  <sheetData>
    <row r="1" spans="1:9" x14ac:dyDescent="0.25">
      <c r="A1" t="s">
        <v>27</v>
      </c>
    </row>
    <row r="2" spans="1:9" ht="13.8" thickBot="1" x14ac:dyDescent="0.3"/>
    <row r="3" spans="1:9" x14ac:dyDescent="0.25">
      <c r="A3" s="50" t="s">
        <v>28</v>
      </c>
      <c r="B3" s="50"/>
    </row>
    <row r="4" spans="1:9" x14ac:dyDescent="0.25">
      <c r="A4" s="36" t="s">
        <v>29</v>
      </c>
      <c r="B4" s="36">
        <v>0.9646633498530911</v>
      </c>
    </row>
    <row r="5" spans="1:9" x14ac:dyDescent="0.25">
      <c r="A5" s="36" t="s">
        <v>30</v>
      </c>
      <c r="B5" s="36">
        <v>0.93057537854978734</v>
      </c>
    </row>
    <row r="6" spans="1:9" x14ac:dyDescent="0.25">
      <c r="A6" s="36" t="s">
        <v>31</v>
      </c>
      <c r="B6" s="36">
        <v>0.92623633970914909</v>
      </c>
    </row>
    <row r="7" spans="1:9" x14ac:dyDescent="0.25">
      <c r="A7" s="36" t="s">
        <v>32</v>
      </c>
      <c r="B7" s="36">
        <v>927780.30181233957</v>
      </c>
    </row>
    <row r="8" spans="1:9" ht="13.8" thickBot="1" x14ac:dyDescent="0.3">
      <c r="A8" s="48" t="s">
        <v>33</v>
      </c>
      <c r="B8" s="48">
        <v>120</v>
      </c>
    </row>
    <row r="10" spans="1:9" ht="13.8" thickBot="1" x14ac:dyDescent="0.3">
      <c r="A10" t="s">
        <v>34</v>
      </c>
    </row>
    <row r="11" spans="1:9" x14ac:dyDescent="0.25">
      <c r="A11" s="49"/>
      <c r="B11" s="49" t="s">
        <v>38</v>
      </c>
      <c r="C11" s="49" t="s">
        <v>39</v>
      </c>
      <c r="D11" s="49" t="s">
        <v>40</v>
      </c>
      <c r="E11" s="49" t="s">
        <v>41</v>
      </c>
      <c r="F11" s="49" t="s">
        <v>42</v>
      </c>
    </row>
    <row r="12" spans="1:9" x14ac:dyDescent="0.25">
      <c r="A12" s="36" t="s">
        <v>35</v>
      </c>
      <c r="B12" s="36">
        <v>7</v>
      </c>
      <c r="C12" s="36">
        <v>1292249447195234.8</v>
      </c>
      <c r="D12" s="36">
        <v>184607063885033.53</v>
      </c>
      <c r="E12" s="36">
        <v>214.46578671623402</v>
      </c>
      <c r="F12" s="36">
        <v>8.5170666960085204E-62</v>
      </c>
    </row>
    <row r="13" spans="1:9" x14ac:dyDescent="0.25">
      <c r="A13" s="36" t="s">
        <v>36</v>
      </c>
      <c r="B13" s="36">
        <v>112</v>
      </c>
      <c r="C13" s="36">
        <v>96406944304271.547</v>
      </c>
      <c r="D13" s="36">
        <v>860776288430.99597</v>
      </c>
      <c r="E13" s="36"/>
      <c r="F13" s="36"/>
    </row>
    <row r="14" spans="1:9" ht="13.8" thickBot="1" x14ac:dyDescent="0.3">
      <c r="A14" s="48" t="s">
        <v>11</v>
      </c>
      <c r="B14" s="48">
        <v>119</v>
      </c>
      <c r="C14" s="48">
        <v>1388656391499506.3</v>
      </c>
      <c r="D14" s="48"/>
      <c r="E14" s="48"/>
      <c r="F14" s="48"/>
    </row>
    <row r="15" spans="1:9" ht="13.8" thickBot="1" x14ac:dyDescent="0.3"/>
    <row r="16" spans="1:9" x14ac:dyDescent="0.25">
      <c r="A16" s="49"/>
      <c r="B16" s="49" t="s">
        <v>43</v>
      </c>
      <c r="C16" s="49" t="s">
        <v>32</v>
      </c>
      <c r="D16" s="49" t="s">
        <v>44</v>
      </c>
      <c r="E16" s="49" t="s">
        <v>45</v>
      </c>
      <c r="F16" s="49" t="s">
        <v>46</v>
      </c>
      <c r="G16" s="49" t="s">
        <v>47</v>
      </c>
      <c r="H16" s="49" t="s">
        <v>48</v>
      </c>
      <c r="I16" s="49" t="s">
        <v>49</v>
      </c>
    </row>
    <row r="17" spans="1:9" x14ac:dyDescent="0.25">
      <c r="A17" s="36" t="s">
        <v>37</v>
      </c>
      <c r="B17" s="36">
        <v>3541169.9673064006</v>
      </c>
      <c r="C17" s="36">
        <v>3300507.6979733324</v>
      </c>
      <c r="D17" s="36">
        <v>1.0729167423184156</v>
      </c>
      <c r="E17" s="36">
        <v>0.28561477902912258</v>
      </c>
      <c r="F17" s="36">
        <v>-2998362.96024023</v>
      </c>
      <c r="G17" s="36">
        <v>10080702.894853031</v>
      </c>
      <c r="H17" s="36">
        <v>-2998362.96024023</v>
      </c>
      <c r="I17" s="36">
        <v>10080702.894853031</v>
      </c>
    </row>
    <row r="18" spans="1:9" x14ac:dyDescent="0.25">
      <c r="A18" s="36" t="s">
        <v>3</v>
      </c>
      <c r="B18" s="36">
        <v>10055.85442325381</v>
      </c>
      <c r="C18" s="36">
        <v>552.35752943981674</v>
      </c>
      <c r="D18" s="36">
        <v>18.205336013889653</v>
      </c>
      <c r="E18" s="36">
        <v>2.965316645444547E-35</v>
      </c>
      <c r="F18" s="36">
        <v>8961.4287826870495</v>
      </c>
      <c r="G18" s="36">
        <v>11150.28006382057</v>
      </c>
      <c r="H18" s="36">
        <v>8961.4287826870495</v>
      </c>
      <c r="I18" s="36">
        <v>11150.28006382057</v>
      </c>
    </row>
    <row r="19" spans="1:9" x14ac:dyDescent="0.25">
      <c r="A19" s="36" t="s">
        <v>4</v>
      </c>
      <c r="B19" s="36">
        <v>69751.326095660916</v>
      </c>
      <c r="C19" s="36">
        <v>3034.783901078662</v>
      </c>
      <c r="D19" s="36">
        <v>22.983951533046223</v>
      </c>
      <c r="E19" s="36">
        <v>3.2922080856985317E-44</v>
      </c>
      <c r="F19" s="36">
        <v>63738.290809823302</v>
      </c>
      <c r="G19" s="36">
        <v>75764.361381498529</v>
      </c>
      <c r="H19" s="36">
        <v>63738.290809823302</v>
      </c>
      <c r="I19" s="36">
        <v>75764.361381498529</v>
      </c>
    </row>
    <row r="20" spans="1:9" x14ac:dyDescent="0.25">
      <c r="A20" s="36" t="s">
        <v>5</v>
      </c>
      <c r="B20" s="36">
        <v>985024.93092837767</v>
      </c>
      <c r="C20" s="36">
        <v>124471.15102814436</v>
      </c>
      <c r="D20" s="36">
        <v>7.9136805821427023</v>
      </c>
      <c r="E20" s="36">
        <v>1.952235094249321E-12</v>
      </c>
      <c r="F20" s="36">
        <v>738401.30051600083</v>
      </c>
      <c r="G20" s="36">
        <v>1231648.5613407544</v>
      </c>
      <c r="H20" s="36">
        <v>738401.30051600083</v>
      </c>
      <c r="I20" s="36">
        <v>1231648.5613407544</v>
      </c>
    </row>
    <row r="21" spans="1:9" x14ac:dyDescent="0.25">
      <c r="A21" s="36" t="s">
        <v>117</v>
      </c>
      <c r="B21" s="36">
        <v>-1775611.5336005297</v>
      </c>
      <c r="C21" s="36">
        <v>255665.35302581461</v>
      </c>
      <c r="D21" s="36">
        <v>-6.945061239569859</v>
      </c>
      <c r="E21" s="36">
        <v>2.6217221039238543E-10</v>
      </c>
      <c r="F21" s="36">
        <v>-2282179.6581262788</v>
      </c>
      <c r="G21" s="36">
        <v>-1269043.4090747805</v>
      </c>
      <c r="H21" s="36">
        <v>-2282179.6581262788</v>
      </c>
      <c r="I21" s="36">
        <v>-1269043.4090747805</v>
      </c>
    </row>
    <row r="22" spans="1:9" x14ac:dyDescent="0.25">
      <c r="A22" s="36" t="s">
        <v>6</v>
      </c>
      <c r="B22" s="36">
        <v>17447.773027922718</v>
      </c>
      <c r="C22" s="36">
        <v>5862.3592652556772</v>
      </c>
      <c r="D22" s="36">
        <v>2.9762374222491057</v>
      </c>
      <c r="E22" s="36">
        <v>3.5761247230846845E-3</v>
      </c>
      <c r="F22" s="36">
        <v>5832.2596110661671</v>
      </c>
      <c r="G22" s="36">
        <v>29063.286444779267</v>
      </c>
      <c r="H22" s="36">
        <v>5832.2596110661671</v>
      </c>
      <c r="I22" s="36">
        <v>29063.286444779267</v>
      </c>
    </row>
    <row r="23" spans="1:9" x14ac:dyDescent="0.25">
      <c r="A23" s="36" t="s">
        <v>118</v>
      </c>
      <c r="B23" s="36">
        <v>-662486.50671588618</v>
      </c>
      <c r="C23" s="36">
        <v>259855.13854269322</v>
      </c>
      <c r="D23" s="36">
        <v>-2.5494454734711436</v>
      </c>
      <c r="E23" s="36">
        <v>1.2141705360736596E-2</v>
      </c>
      <c r="F23" s="36">
        <v>-1177356.1541751553</v>
      </c>
      <c r="G23" s="36">
        <v>-147616.85925661691</v>
      </c>
      <c r="H23" s="36">
        <v>-1177356.1541751553</v>
      </c>
      <c r="I23" s="36">
        <v>-147616.85925661691</v>
      </c>
    </row>
    <row r="24" spans="1:9" ht="13.8" thickBot="1" x14ac:dyDescent="0.3">
      <c r="A24" s="48" t="s">
        <v>119</v>
      </c>
      <c r="B24" s="48">
        <v>1220919.143460768</v>
      </c>
      <c r="C24" s="48">
        <v>177787.91713214325</v>
      </c>
      <c r="D24" s="48">
        <v>6.8672785145084045</v>
      </c>
      <c r="E24" s="48">
        <v>3.8499092878724702E-10</v>
      </c>
      <c r="F24" s="48">
        <v>868655.17542957561</v>
      </c>
      <c r="G24" s="48">
        <v>1573183.1114919605</v>
      </c>
      <c r="H24" s="48">
        <v>868655.17542957561</v>
      </c>
      <c r="I24" s="48">
        <v>1573183.1114919605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workbookViewId="0"/>
  </sheetViews>
  <sheetFormatPr defaultColWidth="9.33203125" defaultRowHeight="13.2" x14ac:dyDescent="0.25"/>
  <cols>
    <col min="1" max="1" width="11" customWidth="1"/>
    <col min="2" max="2" width="17.6640625" customWidth="1"/>
    <col min="3" max="3" width="13.44140625" bestFit="1" customWidth="1"/>
    <col min="4" max="4" width="13.6640625" bestFit="1" customWidth="1"/>
    <col min="5" max="5" width="16" bestFit="1" customWidth="1"/>
    <col min="6" max="6" width="12.33203125" bestFit="1" customWidth="1"/>
    <col min="7" max="7" width="11" customWidth="1"/>
    <col min="8" max="8" width="11.44140625" customWidth="1"/>
    <col min="9" max="9" width="16" bestFit="1" customWidth="1"/>
  </cols>
  <sheetData>
    <row r="1" spans="1:5" x14ac:dyDescent="0.25">
      <c r="A1" s="21" t="s">
        <v>127</v>
      </c>
      <c r="B1" s="260" t="s">
        <v>128</v>
      </c>
      <c r="C1" s="260"/>
      <c r="D1" s="260"/>
      <c r="E1" s="260"/>
    </row>
    <row r="3" spans="1:5" ht="26.4" x14ac:dyDescent="0.25">
      <c r="A3" s="129"/>
      <c r="B3" s="146" t="s">
        <v>61</v>
      </c>
      <c r="C3" s="146" t="s">
        <v>62</v>
      </c>
    </row>
    <row r="4" spans="1:5" x14ac:dyDescent="0.25">
      <c r="A4" s="129"/>
      <c r="B4" s="129"/>
      <c r="C4" s="129"/>
    </row>
    <row r="5" spans="1:5" x14ac:dyDescent="0.25">
      <c r="A5" s="129">
        <v>2003</v>
      </c>
      <c r="B5" s="147">
        <v>462324178</v>
      </c>
      <c r="C5" s="147">
        <v>460137107</v>
      </c>
    </row>
    <row r="6" spans="1:5" x14ac:dyDescent="0.25">
      <c r="A6" s="129">
        <v>2004</v>
      </c>
      <c r="B6" s="147">
        <v>468337202</v>
      </c>
      <c r="C6" s="147">
        <v>466528212</v>
      </c>
    </row>
    <row r="7" spans="1:5" x14ac:dyDescent="0.25">
      <c r="A7" s="129">
        <v>2005</v>
      </c>
      <c r="B7" s="147">
        <v>495175531</v>
      </c>
      <c r="C7" s="147">
        <v>499420216</v>
      </c>
    </row>
    <row r="8" spans="1:5" x14ac:dyDescent="0.25">
      <c r="A8" s="129">
        <v>2006</v>
      </c>
      <c r="B8" s="147">
        <v>494169384</v>
      </c>
      <c r="C8" s="147">
        <v>499631624</v>
      </c>
    </row>
    <row r="9" spans="1:5" x14ac:dyDescent="0.25">
      <c r="A9" s="129">
        <v>2007</v>
      </c>
      <c r="B9" s="147">
        <v>515246437</v>
      </c>
      <c r="C9" s="147">
        <v>514624685</v>
      </c>
    </row>
    <row r="10" spans="1:5" x14ac:dyDescent="0.25">
      <c r="A10" s="129">
        <v>2008</v>
      </c>
      <c r="B10" s="147">
        <v>511670678</v>
      </c>
      <c r="C10" s="147">
        <v>510595091</v>
      </c>
    </row>
    <row r="11" spans="1:5" x14ac:dyDescent="0.25">
      <c r="A11" s="129">
        <v>2009</v>
      </c>
      <c r="B11" s="147">
        <v>506216453</v>
      </c>
      <c r="C11" s="147">
        <v>508916895</v>
      </c>
    </row>
    <row r="12" spans="1:5" x14ac:dyDescent="0.25">
      <c r="A12" s="129">
        <v>2010</v>
      </c>
      <c r="B12" s="147">
        <v>533307177</v>
      </c>
      <c r="C12" s="147">
        <v>525784615</v>
      </c>
    </row>
    <row r="13" spans="1:5" x14ac:dyDescent="0.25">
      <c r="A13" s="129">
        <v>2011</v>
      </c>
      <c r="B13" s="147">
        <v>532890587</v>
      </c>
      <c r="C13" s="147">
        <v>529162301</v>
      </c>
    </row>
    <row r="14" spans="1:5" x14ac:dyDescent="0.25">
      <c r="A14" s="129">
        <v>2012</v>
      </c>
      <c r="B14" s="147">
        <v>527242916</v>
      </c>
      <c r="C14" s="147">
        <v>532091579</v>
      </c>
    </row>
    <row r="15" spans="1:5" x14ac:dyDescent="0.25">
      <c r="A15" s="129">
        <v>2013</v>
      </c>
      <c r="B15" s="147">
        <v>535407041</v>
      </c>
      <c r="C15" s="147">
        <v>536018141</v>
      </c>
    </row>
    <row r="16" spans="1:5" x14ac:dyDescent="0.25">
      <c r="A16" s="129">
        <v>2014</v>
      </c>
      <c r="B16" s="147">
        <v>547873684</v>
      </c>
      <c r="C16" s="147">
        <v>546950802</v>
      </c>
    </row>
    <row r="17" spans="1:9" x14ac:dyDescent="0.25">
      <c r="A17" s="129">
        <v>2015</v>
      </c>
      <c r="B17" s="129" t="s">
        <v>129</v>
      </c>
      <c r="C17" s="147">
        <v>552501212</v>
      </c>
    </row>
    <row r="18" spans="1:9" x14ac:dyDescent="0.25">
      <c r="A18" s="129">
        <v>2016</v>
      </c>
      <c r="B18" s="129" t="s">
        <v>129</v>
      </c>
      <c r="C18" s="147">
        <v>557440066</v>
      </c>
    </row>
    <row r="21" spans="1:9" x14ac:dyDescent="0.25">
      <c r="A21" s="21" t="s">
        <v>130</v>
      </c>
      <c r="B21" s="260" t="s">
        <v>131</v>
      </c>
      <c r="C21" s="260"/>
      <c r="D21" s="260"/>
      <c r="E21" s="260"/>
    </row>
    <row r="23" spans="1:9" ht="39.6" x14ac:dyDescent="0.25">
      <c r="A23" s="78" t="s">
        <v>99</v>
      </c>
      <c r="B23" s="78" t="s">
        <v>67</v>
      </c>
      <c r="C23" s="78" t="s">
        <v>132</v>
      </c>
      <c r="D23" s="146" t="s">
        <v>133</v>
      </c>
      <c r="E23" s="146" t="s">
        <v>134</v>
      </c>
      <c r="F23" s="78" t="s">
        <v>76</v>
      </c>
      <c r="G23" s="78" t="s">
        <v>71</v>
      </c>
      <c r="H23" s="146" t="s">
        <v>135</v>
      </c>
      <c r="I23" s="78" t="s">
        <v>11</v>
      </c>
    </row>
    <row r="24" spans="1:9" x14ac:dyDescent="0.25">
      <c r="A24" s="78">
        <v>2003</v>
      </c>
      <c r="B24" s="148">
        <v>16144</v>
      </c>
      <c r="C24" s="148">
        <v>1526</v>
      </c>
      <c r="D24" s="148">
        <v>144</v>
      </c>
      <c r="E24" s="148">
        <v>8</v>
      </c>
      <c r="F24" s="147">
        <v>356</v>
      </c>
      <c r="G24" s="147">
        <v>3804</v>
      </c>
      <c r="H24" s="147">
        <v>0</v>
      </c>
      <c r="I24" s="147">
        <f>SUM(B24:H24)</f>
        <v>21982</v>
      </c>
    </row>
    <row r="25" spans="1:9" x14ac:dyDescent="0.25">
      <c r="A25" s="78">
        <v>2004</v>
      </c>
      <c r="B25" s="148">
        <v>16646</v>
      </c>
      <c r="C25" s="148">
        <v>1596</v>
      </c>
      <c r="D25" s="148">
        <v>150</v>
      </c>
      <c r="E25" s="148">
        <v>8</v>
      </c>
      <c r="F25" s="147">
        <v>327</v>
      </c>
      <c r="G25" s="147">
        <v>3945</v>
      </c>
      <c r="H25" s="147">
        <v>0</v>
      </c>
      <c r="I25" s="147">
        <f t="shared" ref="I25:I35" si="0">SUM(B25:H25)</f>
        <v>22672</v>
      </c>
    </row>
    <row r="26" spans="1:9" x14ac:dyDescent="0.25">
      <c r="A26" s="78">
        <v>2005</v>
      </c>
      <c r="B26" s="148">
        <v>17301</v>
      </c>
      <c r="C26" s="148">
        <v>1660</v>
      </c>
      <c r="D26" s="148">
        <v>154</v>
      </c>
      <c r="E26" s="148">
        <v>8</v>
      </c>
      <c r="F26" s="147">
        <v>326</v>
      </c>
      <c r="G26" s="147">
        <v>4083</v>
      </c>
      <c r="H26" s="147">
        <v>1</v>
      </c>
      <c r="I26" s="147">
        <f t="shared" si="0"/>
        <v>23533</v>
      </c>
    </row>
    <row r="27" spans="1:9" x14ac:dyDescent="0.25">
      <c r="A27" s="78">
        <v>2006</v>
      </c>
      <c r="B27" s="148">
        <v>17913</v>
      </c>
      <c r="C27" s="148">
        <v>1572</v>
      </c>
      <c r="D27" s="148">
        <v>150</v>
      </c>
      <c r="E27" s="148">
        <v>9</v>
      </c>
      <c r="F27" s="147">
        <v>366</v>
      </c>
      <c r="G27" s="147">
        <v>4217</v>
      </c>
      <c r="H27" s="147">
        <v>67</v>
      </c>
      <c r="I27" s="147">
        <f t="shared" si="0"/>
        <v>24294</v>
      </c>
    </row>
    <row r="28" spans="1:9" x14ac:dyDescent="0.25">
      <c r="A28" s="78">
        <v>2007</v>
      </c>
      <c r="B28" s="148">
        <v>18284</v>
      </c>
      <c r="C28" s="148">
        <v>1501</v>
      </c>
      <c r="D28" s="148">
        <v>152</v>
      </c>
      <c r="E28" s="148">
        <v>10</v>
      </c>
      <c r="F28" s="147">
        <v>374</v>
      </c>
      <c r="G28" s="147">
        <v>4292</v>
      </c>
      <c r="H28" s="147">
        <v>134</v>
      </c>
      <c r="I28" s="147">
        <f t="shared" si="0"/>
        <v>24747</v>
      </c>
    </row>
    <row r="29" spans="1:9" x14ac:dyDescent="0.25">
      <c r="A29" s="78">
        <v>2008</v>
      </c>
      <c r="B29" s="148">
        <v>18499</v>
      </c>
      <c r="C29" s="148">
        <v>1542</v>
      </c>
      <c r="D29" s="148">
        <v>157</v>
      </c>
      <c r="E29" s="148">
        <v>10</v>
      </c>
      <c r="F29" s="147">
        <v>325</v>
      </c>
      <c r="G29" s="147">
        <v>4312</v>
      </c>
      <c r="H29" s="147">
        <v>136</v>
      </c>
      <c r="I29" s="147">
        <f t="shared" si="0"/>
        <v>24981</v>
      </c>
    </row>
    <row r="30" spans="1:9" x14ac:dyDescent="0.25">
      <c r="A30" s="78">
        <v>2009</v>
      </c>
      <c r="B30" s="148">
        <v>18698</v>
      </c>
      <c r="C30" s="148">
        <v>1548</v>
      </c>
      <c r="D30" s="148">
        <v>161</v>
      </c>
      <c r="E30" s="148">
        <v>10</v>
      </c>
      <c r="F30" s="147">
        <v>316</v>
      </c>
      <c r="G30" s="147">
        <v>4333</v>
      </c>
      <c r="H30" s="147">
        <v>136</v>
      </c>
      <c r="I30" s="147">
        <f t="shared" si="0"/>
        <v>25202</v>
      </c>
    </row>
    <row r="31" spans="1:9" x14ac:dyDescent="0.25">
      <c r="A31" s="78">
        <v>2010</v>
      </c>
      <c r="B31" s="148">
        <v>18867</v>
      </c>
      <c r="C31" s="148">
        <v>1606</v>
      </c>
      <c r="D31" s="148">
        <v>168</v>
      </c>
      <c r="E31" s="148">
        <v>11</v>
      </c>
      <c r="F31" s="147">
        <v>328</v>
      </c>
      <c r="G31" s="147">
        <v>4362</v>
      </c>
      <c r="H31" s="147">
        <v>138</v>
      </c>
      <c r="I31" s="147">
        <f t="shared" si="0"/>
        <v>25480</v>
      </c>
    </row>
    <row r="32" spans="1:9" x14ac:dyDescent="0.25">
      <c r="A32" s="78">
        <v>2011</v>
      </c>
      <c r="B32" s="148">
        <v>19136</v>
      </c>
      <c r="C32" s="148">
        <v>1708</v>
      </c>
      <c r="D32" s="148">
        <v>156</v>
      </c>
      <c r="E32" s="148">
        <v>12</v>
      </c>
      <c r="F32" s="147">
        <v>161</v>
      </c>
      <c r="G32" s="147">
        <v>4387</v>
      </c>
      <c r="H32" s="147">
        <v>144</v>
      </c>
      <c r="I32" s="147">
        <f t="shared" si="0"/>
        <v>25704</v>
      </c>
    </row>
    <row r="33" spans="1:9" x14ac:dyDescent="0.25">
      <c r="A33" s="78">
        <v>2012</v>
      </c>
      <c r="B33" s="148">
        <v>19194</v>
      </c>
      <c r="C33" s="148">
        <v>1710</v>
      </c>
      <c r="D33" s="148">
        <v>200</v>
      </c>
      <c r="E33" s="148">
        <v>12</v>
      </c>
      <c r="F33" s="147">
        <v>153</v>
      </c>
      <c r="G33" s="147">
        <v>4417</v>
      </c>
      <c r="H33" s="147">
        <v>151</v>
      </c>
      <c r="I33" s="147">
        <f t="shared" si="0"/>
        <v>25837</v>
      </c>
    </row>
    <row r="34" spans="1:9" x14ac:dyDescent="0.25">
      <c r="A34" s="78">
        <v>2013</v>
      </c>
      <c r="B34" s="148">
        <v>19511</v>
      </c>
      <c r="C34" s="148">
        <v>1710</v>
      </c>
      <c r="D34" s="148">
        <v>207</v>
      </c>
      <c r="E34" s="148">
        <v>13</v>
      </c>
      <c r="F34" s="147">
        <v>177</v>
      </c>
      <c r="G34" s="147">
        <v>4477</v>
      </c>
      <c r="H34" s="147">
        <v>146</v>
      </c>
      <c r="I34" s="147">
        <f t="shared" si="0"/>
        <v>26241</v>
      </c>
    </row>
    <row r="35" spans="1:9" x14ac:dyDescent="0.25">
      <c r="A35" s="78">
        <v>2014</v>
      </c>
      <c r="B35" s="148">
        <v>19623</v>
      </c>
      <c r="C35" s="148">
        <v>1701</v>
      </c>
      <c r="D35" s="148">
        <v>198</v>
      </c>
      <c r="E35" s="148">
        <v>13</v>
      </c>
      <c r="F35" s="147">
        <v>170</v>
      </c>
      <c r="G35" s="147">
        <v>4477</v>
      </c>
      <c r="H35" s="147">
        <v>147</v>
      </c>
      <c r="I35" s="147">
        <f t="shared" si="0"/>
        <v>26329</v>
      </c>
    </row>
    <row r="36" spans="1:9" x14ac:dyDescent="0.25">
      <c r="A36" s="1"/>
      <c r="B36" s="1"/>
      <c r="C36" s="1"/>
      <c r="D36" s="1"/>
      <c r="E36" s="1"/>
    </row>
    <row r="37" spans="1:9" x14ac:dyDescent="0.25">
      <c r="A37" s="1"/>
      <c r="B37" s="1"/>
      <c r="C37" s="1"/>
      <c r="D37" s="1"/>
      <c r="E37" s="1"/>
    </row>
    <row r="38" spans="1:9" x14ac:dyDescent="0.25">
      <c r="A38" s="21" t="s">
        <v>136</v>
      </c>
      <c r="B38" s="260" t="s">
        <v>137</v>
      </c>
      <c r="C38" s="260"/>
      <c r="D38" s="260"/>
      <c r="E38" s="260"/>
    </row>
    <row r="40" spans="1:9" ht="39.6" x14ac:dyDescent="0.25">
      <c r="A40" s="78" t="s">
        <v>99</v>
      </c>
      <c r="B40" s="78" t="s">
        <v>67</v>
      </c>
      <c r="C40" s="78" t="s">
        <v>132</v>
      </c>
      <c r="D40" s="146" t="s">
        <v>133</v>
      </c>
      <c r="E40" s="146" t="s">
        <v>134</v>
      </c>
      <c r="F40" s="78" t="s">
        <v>76</v>
      </c>
      <c r="G40" s="78" t="s">
        <v>71</v>
      </c>
      <c r="H40" s="146" t="s">
        <v>135</v>
      </c>
      <c r="I40" s="78" t="s">
        <v>11</v>
      </c>
    </row>
    <row r="41" spans="1:9" x14ac:dyDescent="0.25">
      <c r="A41" s="78">
        <v>2004</v>
      </c>
      <c r="B41" s="149">
        <f t="shared" ref="B41:H51" si="1">+B26/B25</f>
        <v>1.0393487925027034</v>
      </c>
      <c r="C41" s="149">
        <f t="shared" si="1"/>
        <v>1.0401002506265664</v>
      </c>
      <c r="D41" s="149">
        <f t="shared" si="1"/>
        <v>1.0266666666666666</v>
      </c>
      <c r="E41" s="149">
        <f t="shared" si="1"/>
        <v>1</v>
      </c>
      <c r="F41" s="149">
        <f t="shared" si="1"/>
        <v>0.99694189602446481</v>
      </c>
      <c r="G41" s="149">
        <f t="shared" si="1"/>
        <v>1.0349809885931558</v>
      </c>
      <c r="H41" s="149">
        <v>0</v>
      </c>
      <c r="I41" s="150">
        <f>+I26/I25</f>
        <v>1.0379763585038815</v>
      </c>
    </row>
    <row r="42" spans="1:9" x14ac:dyDescent="0.25">
      <c r="A42" s="78">
        <v>2005</v>
      </c>
      <c r="B42" s="149">
        <f t="shared" si="1"/>
        <v>1.0353736778220912</v>
      </c>
      <c r="C42" s="149">
        <f t="shared" si="1"/>
        <v>0.94698795180722894</v>
      </c>
      <c r="D42" s="149">
        <f t="shared" si="1"/>
        <v>0.97402597402597402</v>
      </c>
      <c r="E42" s="149">
        <f t="shared" si="1"/>
        <v>1.125</v>
      </c>
      <c r="F42" s="149">
        <f t="shared" si="1"/>
        <v>1.1226993865030674</v>
      </c>
      <c r="G42" s="149">
        <f t="shared" si="1"/>
        <v>1.0328190056331128</v>
      </c>
      <c r="H42" s="147">
        <v>0</v>
      </c>
      <c r="I42" s="150">
        <f t="shared" ref="I42:I51" si="2">+I27/I26</f>
        <v>1.0323375685208005</v>
      </c>
    </row>
    <row r="43" spans="1:9" x14ac:dyDescent="0.25">
      <c r="A43" s="78">
        <v>2006</v>
      </c>
      <c r="B43" s="149">
        <f t="shared" si="1"/>
        <v>1.0207112153184839</v>
      </c>
      <c r="C43" s="149">
        <f t="shared" si="1"/>
        <v>0.9548346055979644</v>
      </c>
      <c r="D43" s="149">
        <f t="shared" si="1"/>
        <v>1.0133333333333334</v>
      </c>
      <c r="E43" s="149">
        <f t="shared" si="1"/>
        <v>1.1111111111111112</v>
      </c>
      <c r="F43" s="149">
        <f t="shared" si="1"/>
        <v>1.0218579234972678</v>
      </c>
      <c r="G43" s="149">
        <f t="shared" si="1"/>
        <v>1.0177851553236898</v>
      </c>
      <c r="H43" s="150">
        <v>0</v>
      </c>
      <c r="I43" s="150">
        <f t="shared" si="2"/>
        <v>1.0186465794023216</v>
      </c>
    </row>
    <row r="44" spans="1:9" x14ac:dyDescent="0.25">
      <c r="A44" s="78">
        <v>2007</v>
      </c>
      <c r="B44" s="149">
        <f t="shared" si="1"/>
        <v>1.0117589148982717</v>
      </c>
      <c r="C44" s="149">
        <f t="shared" si="1"/>
        <v>1.0273151232511659</v>
      </c>
      <c r="D44" s="149">
        <f t="shared" si="1"/>
        <v>1.0328947368421053</v>
      </c>
      <c r="E44" s="149">
        <f t="shared" si="1"/>
        <v>1</v>
      </c>
      <c r="F44" s="149">
        <f t="shared" si="1"/>
        <v>0.86898395721925137</v>
      </c>
      <c r="G44" s="149">
        <f t="shared" si="1"/>
        <v>1.0046598322460392</v>
      </c>
      <c r="H44" s="150">
        <f>+H29/H28</f>
        <v>1.0149253731343284</v>
      </c>
      <c r="I44" s="150">
        <f t="shared" si="2"/>
        <v>1.0094556915989816</v>
      </c>
    </row>
    <row r="45" spans="1:9" x14ac:dyDescent="0.25">
      <c r="A45" s="78">
        <v>2008</v>
      </c>
      <c r="B45" s="149">
        <f t="shared" si="1"/>
        <v>1.0107573382344992</v>
      </c>
      <c r="C45" s="149">
        <f t="shared" si="1"/>
        <v>1.0038910505836576</v>
      </c>
      <c r="D45" s="149">
        <f t="shared" si="1"/>
        <v>1.0254777070063694</v>
      </c>
      <c r="E45" s="149">
        <f t="shared" si="1"/>
        <v>1</v>
      </c>
      <c r="F45" s="149">
        <f t="shared" si="1"/>
        <v>0.97230769230769232</v>
      </c>
      <c r="G45" s="149">
        <f t="shared" si="1"/>
        <v>1.0048701298701299</v>
      </c>
      <c r="H45" s="150">
        <f t="shared" si="1"/>
        <v>1</v>
      </c>
      <c r="I45" s="150">
        <f t="shared" si="2"/>
        <v>1.0088467235098675</v>
      </c>
    </row>
    <row r="46" spans="1:9" x14ac:dyDescent="0.25">
      <c r="A46" s="78">
        <v>2009</v>
      </c>
      <c r="B46" s="149">
        <f t="shared" si="1"/>
        <v>1.0090383998288588</v>
      </c>
      <c r="C46" s="149">
        <f t="shared" si="1"/>
        <v>1.0374677002583979</v>
      </c>
      <c r="D46" s="149">
        <f t="shared" si="1"/>
        <v>1.0434782608695652</v>
      </c>
      <c r="E46" s="149">
        <f t="shared" si="1"/>
        <v>1.1000000000000001</v>
      </c>
      <c r="F46" s="149">
        <f t="shared" si="1"/>
        <v>1.0379746835443038</v>
      </c>
      <c r="G46" s="149">
        <f t="shared" si="1"/>
        <v>1.0066928225248095</v>
      </c>
      <c r="H46" s="150">
        <f t="shared" si="1"/>
        <v>1.0147058823529411</v>
      </c>
      <c r="I46" s="150">
        <f t="shared" si="2"/>
        <v>1.0110308705658282</v>
      </c>
    </row>
    <row r="47" spans="1:9" x14ac:dyDescent="0.25">
      <c r="A47" s="78">
        <v>2010</v>
      </c>
      <c r="B47" s="149">
        <f t="shared" si="1"/>
        <v>1.0142576986272327</v>
      </c>
      <c r="C47" s="149">
        <f t="shared" si="1"/>
        <v>1.0635118306351183</v>
      </c>
      <c r="D47" s="149">
        <f t="shared" si="1"/>
        <v>0.9285714285714286</v>
      </c>
      <c r="E47" s="149">
        <f t="shared" si="1"/>
        <v>1.0909090909090908</v>
      </c>
      <c r="F47" s="149">
        <f t="shared" si="1"/>
        <v>0.49085365853658536</v>
      </c>
      <c r="G47" s="149">
        <f t="shared" si="1"/>
        <v>1.0057313159101329</v>
      </c>
      <c r="H47" s="150">
        <f t="shared" si="1"/>
        <v>1.0434782608695652</v>
      </c>
      <c r="I47" s="150">
        <f t="shared" si="2"/>
        <v>1.0087912087912088</v>
      </c>
    </row>
    <row r="48" spans="1:9" x14ac:dyDescent="0.25">
      <c r="A48" s="78">
        <v>2011</v>
      </c>
      <c r="B48" s="149">
        <f t="shared" si="1"/>
        <v>1.0030309364548495</v>
      </c>
      <c r="C48" s="149">
        <f t="shared" si="1"/>
        <v>1.0011709601873535</v>
      </c>
      <c r="D48" s="149">
        <f t="shared" si="1"/>
        <v>1.2820512820512822</v>
      </c>
      <c r="E48" s="149">
        <f t="shared" si="1"/>
        <v>1</v>
      </c>
      <c r="F48" s="149">
        <f t="shared" si="1"/>
        <v>0.9503105590062112</v>
      </c>
      <c r="G48" s="149">
        <f t="shared" si="1"/>
        <v>1.0068383861408707</v>
      </c>
      <c r="H48" s="150">
        <f t="shared" si="1"/>
        <v>1.0486111111111112</v>
      </c>
      <c r="I48" s="150">
        <f t="shared" si="2"/>
        <v>1.0051742919389979</v>
      </c>
    </row>
    <row r="49" spans="1:9" x14ac:dyDescent="0.25">
      <c r="A49" s="78">
        <v>2012</v>
      </c>
      <c r="B49" s="149">
        <f t="shared" si="1"/>
        <v>1.0165155777847243</v>
      </c>
      <c r="C49" s="149">
        <f t="shared" si="1"/>
        <v>1</v>
      </c>
      <c r="D49" s="149">
        <f t="shared" si="1"/>
        <v>1.0349999999999999</v>
      </c>
      <c r="E49" s="149">
        <f t="shared" si="1"/>
        <v>1.0833333333333333</v>
      </c>
      <c r="F49" s="149">
        <f t="shared" si="1"/>
        <v>1.1568627450980393</v>
      </c>
      <c r="G49" s="149">
        <f t="shared" si="1"/>
        <v>1.013583880461852</v>
      </c>
      <c r="H49" s="150">
        <f t="shared" si="1"/>
        <v>0.9668874172185431</v>
      </c>
      <c r="I49" s="150">
        <f t="shared" si="2"/>
        <v>1.015636490304602</v>
      </c>
    </row>
    <row r="50" spans="1:9" x14ac:dyDescent="0.25">
      <c r="A50" s="78">
        <v>2013</v>
      </c>
      <c r="B50" s="149">
        <f t="shared" si="1"/>
        <v>1.0057403515965353</v>
      </c>
      <c r="C50" s="149">
        <f t="shared" si="1"/>
        <v>0.99473684210526314</v>
      </c>
      <c r="D50" s="149">
        <f t="shared" si="1"/>
        <v>0.95652173913043481</v>
      </c>
      <c r="E50" s="149">
        <f t="shared" si="1"/>
        <v>1</v>
      </c>
      <c r="F50" s="149">
        <f t="shared" si="1"/>
        <v>0.96045197740112997</v>
      </c>
      <c r="G50" s="149">
        <f t="shared" si="1"/>
        <v>1</v>
      </c>
      <c r="H50" s="150">
        <f t="shared" si="1"/>
        <v>1.0068493150684932</v>
      </c>
      <c r="I50" s="150">
        <f t="shared" si="2"/>
        <v>1.0033535307343471</v>
      </c>
    </row>
    <row r="51" spans="1:9" x14ac:dyDescent="0.25">
      <c r="A51" s="78">
        <v>2014</v>
      </c>
      <c r="B51" s="149">
        <f t="shared" si="1"/>
        <v>0</v>
      </c>
      <c r="C51" s="149">
        <f t="shared" si="1"/>
        <v>0</v>
      </c>
      <c r="D51" s="149">
        <f t="shared" si="1"/>
        <v>0</v>
      </c>
      <c r="E51" s="149">
        <f t="shared" si="1"/>
        <v>0</v>
      </c>
      <c r="F51" s="149">
        <f t="shared" si="1"/>
        <v>0</v>
      </c>
      <c r="G51" s="149">
        <f t="shared" si="1"/>
        <v>0</v>
      </c>
      <c r="H51" s="150">
        <f t="shared" si="1"/>
        <v>0</v>
      </c>
      <c r="I51" s="150">
        <f t="shared" si="2"/>
        <v>0</v>
      </c>
    </row>
    <row r="54" spans="1:9" x14ac:dyDescent="0.25">
      <c r="A54" s="21" t="s">
        <v>138</v>
      </c>
      <c r="B54" s="260" t="s">
        <v>139</v>
      </c>
      <c r="C54" s="260"/>
      <c r="D54" s="260"/>
      <c r="E54" s="260"/>
    </row>
    <row r="56" spans="1:9" ht="39.6" x14ac:dyDescent="0.25">
      <c r="A56" s="78" t="s">
        <v>99</v>
      </c>
      <c r="B56" s="78" t="s">
        <v>67</v>
      </c>
      <c r="C56" s="78" t="s">
        <v>132</v>
      </c>
      <c r="D56" s="146" t="s">
        <v>133</v>
      </c>
      <c r="E56" s="146" t="s">
        <v>134</v>
      </c>
      <c r="F56" s="78" t="s">
        <v>76</v>
      </c>
      <c r="G56" s="78" t="s">
        <v>71</v>
      </c>
      <c r="H56" s="146" t="s">
        <v>135</v>
      </c>
      <c r="I56" s="78" t="s">
        <v>11</v>
      </c>
    </row>
    <row r="57" spans="1:9" x14ac:dyDescent="0.25">
      <c r="A57" s="31">
        <v>2015</v>
      </c>
      <c r="B57" s="151">
        <v>19788.072112379785</v>
      </c>
      <c r="C57" s="151">
        <v>1698.6730477105082</v>
      </c>
      <c r="D57" s="151">
        <v>214.37726250911015</v>
      </c>
      <c r="E57" s="151">
        <v>13.529836634907774</v>
      </c>
      <c r="F57" s="151">
        <v>173.11044382291075</v>
      </c>
      <c r="G57" s="151">
        <v>4507.4084484440209</v>
      </c>
      <c r="H57" s="151">
        <v>148.63171035408885</v>
      </c>
      <c r="I57" s="151">
        <v>26543.802861855336</v>
      </c>
    </row>
    <row r="58" spans="1:9" x14ac:dyDescent="0.25">
      <c r="A58" s="31">
        <v>2016</v>
      </c>
      <c r="B58" s="152">
        <v>19954.532840276337</v>
      </c>
      <c r="C58" s="152">
        <v>1696.3492786702566</v>
      </c>
      <c r="D58" s="152">
        <v>232.10914485302993</v>
      </c>
      <c r="E58" s="152">
        <v>13.941849152116717</v>
      </c>
      <c r="F58" s="152">
        <v>176.27779859155964</v>
      </c>
      <c r="G58" s="152">
        <v>4538.0234355828761</v>
      </c>
      <c r="H58" s="152">
        <v>149.81273106457181</v>
      </c>
      <c r="I58" s="152">
        <v>26761.04707819075</v>
      </c>
    </row>
    <row r="61" spans="1:9" x14ac:dyDescent="0.25">
      <c r="A61" s="21" t="s">
        <v>140</v>
      </c>
      <c r="B61" s="260" t="s">
        <v>141</v>
      </c>
      <c r="C61" s="260"/>
      <c r="D61" s="260"/>
      <c r="E61" s="260"/>
    </row>
    <row r="63" spans="1:9" ht="39.6" x14ac:dyDescent="0.25">
      <c r="A63" s="78" t="s">
        <v>99</v>
      </c>
      <c r="B63" s="78" t="s">
        <v>67</v>
      </c>
      <c r="C63" s="78" t="s">
        <v>132</v>
      </c>
      <c r="D63" s="146" t="s">
        <v>133</v>
      </c>
      <c r="E63" s="146" t="s">
        <v>134</v>
      </c>
      <c r="F63" s="78" t="s">
        <v>76</v>
      </c>
      <c r="G63" s="78" t="s">
        <v>71</v>
      </c>
      <c r="H63" s="146" t="s">
        <v>135</v>
      </c>
      <c r="I63" s="86"/>
    </row>
    <row r="64" spans="1:9" x14ac:dyDescent="0.25">
      <c r="A64" s="129">
        <v>2003</v>
      </c>
      <c r="B64" s="130">
        <v>11568.743616823709</v>
      </c>
      <c r="C64" s="130">
        <v>35323.852267365684</v>
      </c>
      <c r="D64" s="130">
        <v>666241.36188153329</v>
      </c>
      <c r="E64" s="130">
        <v>11718160.29125</v>
      </c>
      <c r="F64" s="130">
        <v>807.12970464135037</v>
      </c>
      <c r="G64" s="130">
        <v>620.21762061259358</v>
      </c>
      <c r="H64" s="130"/>
    </row>
    <row r="65" spans="1:8" x14ac:dyDescent="0.25">
      <c r="A65" s="129">
        <v>2004</v>
      </c>
      <c r="B65" s="130">
        <v>11269.026134206504</v>
      </c>
      <c r="C65" s="130">
        <v>32925.033966165407</v>
      </c>
      <c r="D65" s="130">
        <v>670178.73020000034</v>
      </c>
      <c r="E65" s="130">
        <v>11959473.506249998</v>
      </c>
      <c r="F65" s="130">
        <v>870.38257274119394</v>
      </c>
      <c r="G65" s="130">
        <v>620.53410646387817</v>
      </c>
      <c r="H65" s="130"/>
    </row>
    <row r="66" spans="1:8" x14ac:dyDescent="0.25">
      <c r="A66" s="129">
        <v>2005</v>
      </c>
      <c r="B66" s="130">
        <v>11794.205781746798</v>
      </c>
      <c r="C66" s="130">
        <v>32168.754415662686</v>
      </c>
      <c r="D66" s="130">
        <v>707383.30844155839</v>
      </c>
      <c r="E66" s="130">
        <v>11829695.171250001</v>
      </c>
      <c r="F66" s="130">
        <v>988.3040245775727</v>
      </c>
      <c r="G66" s="130">
        <v>603.85180749448944</v>
      </c>
      <c r="H66" s="130">
        <v>1409.7300000000002</v>
      </c>
    </row>
    <row r="67" spans="1:8" x14ac:dyDescent="0.25">
      <c r="A67" s="129">
        <v>2006</v>
      </c>
      <c r="B67" s="130">
        <v>11626.077567537614</v>
      </c>
      <c r="C67" s="130">
        <v>32814.592796691068</v>
      </c>
      <c r="D67" s="130">
        <v>742899.97039999976</v>
      </c>
      <c r="E67" s="130">
        <v>9959003.8100000005</v>
      </c>
      <c r="F67" s="130">
        <v>1004.1424076607386</v>
      </c>
      <c r="G67" s="130">
        <v>623.63805763073674</v>
      </c>
      <c r="H67" s="130">
        <v>12886.749774436088</v>
      </c>
    </row>
    <row r="68" spans="1:8" x14ac:dyDescent="0.25">
      <c r="A68" s="129">
        <v>2007</v>
      </c>
      <c r="B68" s="130">
        <v>11793.91185873064</v>
      </c>
      <c r="C68" s="130">
        <v>35772.652739507015</v>
      </c>
      <c r="D68" s="130">
        <v>757897.32633663388</v>
      </c>
      <c r="E68" s="130">
        <v>9822215.4929999989</v>
      </c>
      <c r="F68" s="130">
        <v>1267.7830522088354</v>
      </c>
      <c r="G68" s="130">
        <v>617.44724222299863</v>
      </c>
      <c r="H68" s="130">
        <v>6391.9930337078631</v>
      </c>
    </row>
    <row r="69" spans="1:8" x14ac:dyDescent="0.25">
      <c r="A69" s="129">
        <v>2008</v>
      </c>
      <c r="B69" s="130">
        <v>11674.260056317087</v>
      </c>
      <c r="C69" s="130">
        <v>35647.118936853309</v>
      </c>
      <c r="D69" s="130">
        <v>738614.6842038217</v>
      </c>
      <c r="E69" s="130">
        <v>9357734.6779999994</v>
      </c>
      <c r="F69" s="130">
        <v>1410.4519076923077</v>
      </c>
      <c r="G69" s="130">
        <v>619.31084541342909</v>
      </c>
      <c r="H69" s="130">
        <v>6308.2156617647015</v>
      </c>
    </row>
    <row r="70" spans="1:8" x14ac:dyDescent="0.25">
      <c r="A70" s="129">
        <v>2009</v>
      </c>
      <c r="B70" s="130">
        <v>11376.581655058022</v>
      </c>
      <c r="C70" s="130">
        <v>35174.711132581324</v>
      </c>
      <c r="D70" s="130">
        <v>747870.80060081067</v>
      </c>
      <c r="E70" s="130">
        <v>8843012.1568179168</v>
      </c>
      <c r="F70" s="130">
        <v>1681.7052297939783</v>
      </c>
      <c r="G70" s="130">
        <v>614.96208886324314</v>
      </c>
      <c r="H70" s="130">
        <v>6686.3280882352901</v>
      </c>
    </row>
    <row r="71" spans="1:8" x14ac:dyDescent="0.25">
      <c r="A71" s="129">
        <v>2010</v>
      </c>
      <c r="B71" s="130">
        <v>11580.479125182848</v>
      </c>
      <c r="C71" s="130">
        <v>36094.708325958411</v>
      </c>
      <c r="D71" s="130">
        <v>689431.41536268208</v>
      </c>
      <c r="E71" s="130">
        <v>9776788.7318800148</v>
      </c>
      <c r="F71" s="130">
        <v>1744.446656488549</v>
      </c>
      <c r="G71" s="130">
        <v>620.95668004127026</v>
      </c>
      <c r="H71" s="130">
        <v>6661.6471999999958</v>
      </c>
    </row>
    <row r="72" spans="1:8" x14ac:dyDescent="0.25">
      <c r="A72" s="129">
        <v>2011</v>
      </c>
      <c r="B72" s="130">
        <v>11093.869434000781</v>
      </c>
      <c r="C72" s="130">
        <v>34709.309664710905</v>
      </c>
      <c r="D72" s="130">
        <v>741525.52864023217</v>
      </c>
      <c r="E72" s="130">
        <v>9296934.3472140115</v>
      </c>
      <c r="F72" s="130">
        <v>2702.4534161490683</v>
      </c>
      <c r="G72" s="130">
        <v>625.30248461363124</v>
      </c>
      <c r="H72" s="130">
        <v>6192.395833333333</v>
      </c>
    </row>
    <row r="73" spans="1:8" x14ac:dyDescent="0.25">
      <c r="A73" s="129">
        <v>2012</v>
      </c>
      <c r="B73" s="130">
        <v>11363.735502128393</v>
      </c>
      <c r="C73" s="130">
        <v>34660.150735278512</v>
      </c>
      <c r="D73" s="130">
        <v>571186.16823065025</v>
      </c>
      <c r="E73" s="130">
        <v>9005677.284859525</v>
      </c>
      <c r="F73" s="130">
        <v>2872.1957516339871</v>
      </c>
      <c r="G73" s="130">
        <v>625.39358840842203</v>
      </c>
      <c r="H73" s="130">
        <v>5912.250596026488</v>
      </c>
    </row>
    <row r="74" spans="1:8" x14ac:dyDescent="0.25">
      <c r="A74" s="129">
        <v>2013</v>
      </c>
      <c r="B74" s="130">
        <v>10894.776970510969</v>
      </c>
      <c r="C74" s="130">
        <v>34653.438448728797</v>
      </c>
      <c r="D74" s="130">
        <v>568415.39512963733</v>
      </c>
      <c r="E74" s="130">
        <v>9109972.0771238022</v>
      </c>
      <c r="F74" s="130">
        <v>2507.5729350282486</v>
      </c>
      <c r="G74" s="130">
        <v>618.55064998883188</v>
      </c>
      <c r="H74" s="130">
        <v>6166.1972602739725</v>
      </c>
    </row>
    <row r="75" spans="1:8" x14ac:dyDescent="0.25">
      <c r="A75" s="129">
        <v>2014</v>
      </c>
      <c r="B75" s="130">
        <v>10625.25347517001</v>
      </c>
      <c r="C75" s="130">
        <v>31725.670439386417</v>
      </c>
      <c r="D75" s="130">
        <v>653722.21071626409</v>
      </c>
      <c r="E75" s="130">
        <v>9441106.1262757517</v>
      </c>
      <c r="F75" s="130">
        <v>2636.934197617647</v>
      </c>
      <c r="G75" s="130">
        <v>621.53294616930975</v>
      </c>
      <c r="H75" s="130">
        <v>6259.3991590939913</v>
      </c>
    </row>
    <row r="78" spans="1:8" x14ac:dyDescent="0.25">
      <c r="A78" s="21" t="s">
        <v>142</v>
      </c>
      <c r="B78" s="260" t="s">
        <v>143</v>
      </c>
      <c r="C78" s="260"/>
      <c r="D78" s="260"/>
      <c r="E78" s="260"/>
    </row>
    <row r="80" spans="1:8" x14ac:dyDescent="0.25">
      <c r="A80" s="129"/>
      <c r="B80" s="78" t="s">
        <v>67</v>
      </c>
      <c r="C80" s="78" t="s">
        <v>68</v>
      </c>
      <c r="D80" s="78" t="s">
        <v>80</v>
      </c>
      <c r="E80" s="78" t="s">
        <v>81</v>
      </c>
      <c r="F80" s="78" t="s">
        <v>76</v>
      </c>
      <c r="G80" s="78" t="s">
        <v>71</v>
      </c>
      <c r="H80" s="78" t="s">
        <v>69</v>
      </c>
    </row>
    <row r="81" spans="1:8" x14ac:dyDescent="0.25">
      <c r="A81" s="129">
        <v>2004</v>
      </c>
      <c r="B81" s="153">
        <v>0.97409247775347496</v>
      </c>
      <c r="C81" s="153">
        <v>0.93209069376002196</v>
      </c>
      <c r="D81" s="153">
        <v>1.0059098226915055</v>
      </c>
      <c r="E81" s="153">
        <v>1.0205930972953312</v>
      </c>
      <c r="F81" s="153">
        <v>1.0783676622680491</v>
      </c>
      <c r="G81" s="153">
        <v>1.0005102819409935</v>
      </c>
      <c r="H81" s="153"/>
    </row>
    <row r="82" spans="1:8" x14ac:dyDescent="0.25">
      <c r="A82" s="129">
        <v>2005</v>
      </c>
      <c r="B82" s="153">
        <v>1.0466038184032727</v>
      </c>
      <c r="C82" s="153">
        <v>0.97703025754567507</v>
      </c>
      <c r="D82" s="153">
        <v>1.0555144121486146</v>
      </c>
      <c r="E82" s="153">
        <v>0.98914849094885526</v>
      </c>
      <c r="F82" s="153">
        <v>1.1354823218311867</v>
      </c>
      <c r="G82" s="153">
        <v>0.97311622552956345</v>
      </c>
      <c r="H82" s="153"/>
    </row>
    <row r="83" spans="1:8" x14ac:dyDescent="0.25">
      <c r="A83" s="129">
        <v>2006</v>
      </c>
      <c r="B83" s="153">
        <v>0.98574484646779814</v>
      </c>
      <c r="C83" s="153">
        <v>1.0200765740781661</v>
      </c>
      <c r="D83" s="153">
        <v>1.050208510060392</v>
      </c>
      <c r="E83" s="153">
        <v>0.84186478737031301</v>
      </c>
      <c r="F83" s="153">
        <v>1.0160258206880577</v>
      </c>
      <c r="G83" s="153">
        <v>1.0327667316561404</v>
      </c>
      <c r="H83" s="153"/>
    </row>
    <row r="84" spans="1:8" x14ac:dyDescent="0.25">
      <c r="A84" s="129">
        <v>2007</v>
      </c>
      <c r="B84" s="153">
        <v>1.0144360202499985</v>
      </c>
      <c r="C84" s="153">
        <v>1.0901446487891275</v>
      </c>
      <c r="D84" s="153">
        <v>1.0201875845122985</v>
      </c>
      <c r="E84" s="153">
        <v>0.98626485945686149</v>
      </c>
      <c r="F84" s="153">
        <v>1.2625530428122014</v>
      </c>
      <c r="G84" s="153">
        <v>0.99007306348291568</v>
      </c>
      <c r="H84" s="153"/>
    </row>
    <row r="85" spans="1:8" x14ac:dyDescent="0.25">
      <c r="A85" s="129">
        <v>2008</v>
      </c>
      <c r="B85" s="153">
        <v>0.98985478237867452</v>
      </c>
      <c r="C85" s="153">
        <v>0.99649078854822892</v>
      </c>
      <c r="D85" s="153">
        <v>0.974557711892168</v>
      </c>
      <c r="E85" s="153">
        <v>0.95271119684443684</v>
      </c>
      <c r="F85" s="153">
        <v>1.1125341242217293</v>
      </c>
      <c r="G85" s="153">
        <v>1.0030182387465543</v>
      </c>
      <c r="H85" s="153">
        <v>0.98689338810268323</v>
      </c>
    </row>
    <row r="86" spans="1:8" x14ac:dyDescent="0.25">
      <c r="A86" s="129">
        <v>2009</v>
      </c>
      <c r="B86" s="153">
        <v>0.97450130459463358</v>
      </c>
      <c r="C86" s="153">
        <v>0.98674765820180799</v>
      </c>
      <c r="D86" s="153">
        <v>1.0125317253974804</v>
      </c>
      <c r="E86" s="153">
        <v>0.94499496524600202</v>
      </c>
      <c r="F86" s="153">
        <v>1.1923166047862477</v>
      </c>
      <c r="G86" s="153">
        <v>0.99297807137983696</v>
      </c>
      <c r="H86" s="153">
        <v>1.0599396797358087</v>
      </c>
    </row>
    <row r="87" spans="1:8" x14ac:dyDescent="0.25">
      <c r="A87" s="129">
        <v>2010</v>
      </c>
      <c r="B87" s="153">
        <v>1.0179225602476272</v>
      </c>
      <c r="C87" s="153">
        <v>1.0261550745906458</v>
      </c>
      <c r="D87" s="153">
        <v>0.92185898260611243</v>
      </c>
      <c r="E87" s="153">
        <v>1.1055948537108096</v>
      </c>
      <c r="F87" s="153">
        <v>1.0373082188144571</v>
      </c>
      <c r="G87" s="153">
        <v>1.0097479036294874</v>
      </c>
      <c r="H87" s="153">
        <v>0.99630875303909772</v>
      </c>
    </row>
    <row r="88" spans="1:8" x14ac:dyDescent="0.25">
      <c r="A88" s="129">
        <v>2011</v>
      </c>
      <c r="B88" s="153">
        <v>0.95798017630169641</v>
      </c>
      <c r="C88" s="153">
        <v>0.9616176795574447</v>
      </c>
      <c r="D88" s="153">
        <v>1.0755609798403885</v>
      </c>
      <c r="E88" s="153">
        <v>0.95091901872633278</v>
      </c>
      <c r="F88" s="153">
        <v>1.5491751531049514</v>
      </c>
      <c r="G88" s="153">
        <v>1.0069985632042353</v>
      </c>
      <c r="H88" s="153">
        <v>0.92955925875710399</v>
      </c>
    </row>
    <row r="89" spans="1:8" x14ac:dyDescent="0.25">
      <c r="A89" s="129">
        <v>2012</v>
      </c>
      <c r="B89" s="153">
        <v>1.0243256935493148</v>
      </c>
      <c r="C89" s="153">
        <v>0.99858369613491982</v>
      </c>
      <c r="D89" s="153">
        <v>0.7702852378906756</v>
      </c>
      <c r="E89" s="153">
        <v>0.96867170924555723</v>
      </c>
      <c r="F89" s="153">
        <v>1.06281045751634</v>
      </c>
      <c r="G89" s="153">
        <v>1.0001456955586017</v>
      </c>
      <c r="H89" s="153">
        <v>0.95475979817071155</v>
      </c>
    </row>
    <row r="90" spans="1:8" x14ac:dyDescent="0.25">
      <c r="A90" s="129">
        <v>2013</v>
      </c>
      <c r="B90" s="153">
        <v>0.95873200924734747</v>
      </c>
      <c r="C90" s="153">
        <v>0.99980633994926971</v>
      </c>
      <c r="D90" s="153">
        <v>0.99514908928975665</v>
      </c>
      <c r="E90" s="153">
        <v>1.0115810048445351</v>
      </c>
      <c r="F90" s="153">
        <v>0.87305084745762707</v>
      </c>
      <c r="G90" s="153">
        <v>0.98905818904059295</v>
      </c>
      <c r="H90" s="153">
        <v>1.0429526218692688</v>
      </c>
    </row>
    <row r="91" spans="1:8" x14ac:dyDescent="0.25">
      <c r="A91" s="129">
        <v>2014</v>
      </c>
      <c r="B91" s="153">
        <v>0.9752612195669097</v>
      </c>
      <c r="C91" s="153">
        <v>0.91551291472348018</v>
      </c>
      <c r="D91" s="153">
        <v>1.1500782989299068</v>
      </c>
      <c r="E91" s="153">
        <v>1.0363485251489921</v>
      </c>
      <c r="F91" s="153">
        <v>1.0515882352941177</v>
      </c>
      <c r="G91" s="153">
        <v>1.0048214259907926</v>
      </c>
      <c r="H91" s="153">
        <v>1.0151149719812691</v>
      </c>
    </row>
    <row r="92" spans="1:8" x14ac:dyDescent="0.25">
      <c r="A92" s="129"/>
      <c r="B92" s="153"/>
      <c r="C92" s="153"/>
      <c r="D92" s="153"/>
      <c r="E92" s="153"/>
      <c r="F92" s="153"/>
      <c r="G92" s="153"/>
      <c r="H92" s="153"/>
    </row>
    <row r="93" spans="1:8" x14ac:dyDescent="0.25">
      <c r="A93" s="129" t="s">
        <v>17</v>
      </c>
      <c r="B93" s="153">
        <v>0.99229588684515213</v>
      </c>
      <c r="C93" s="153">
        <v>0.99028096615249062</v>
      </c>
      <c r="D93" s="153">
        <v>0.99827698581006308</v>
      </c>
      <c r="E93" s="153">
        <v>0.98054923253305526</v>
      </c>
      <c r="F93" s="153">
        <v>1</v>
      </c>
      <c r="G93" s="153">
        <v>1.0001926097137768</v>
      </c>
      <c r="H93" s="153">
        <v>0.99700991935250738</v>
      </c>
    </row>
    <row r="96" spans="1:8" x14ac:dyDescent="0.25">
      <c r="A96" s="169" t="s">
        <v>144</v>
      </c>
      <c r="B96" s="260" t="s">
        <v>145</v>
      </c>
      <c r="C96" s="260"/>
      <c r="D96" s="260"/>
      <c r="E96" s="260"/>
    </row>
    <row r="98" spans="1:9" x14ac:dyDescent="0.25">
      <c r="A98" s="129"/>
      <c r="B98" s="78" t="s">
        <v>67</v>
      </c>
      <c r="C98" s="78" t="s">
        <v>68</v>
      </c>
      <c r="D98" s="78" t="s">
        <v>80</v>
      </c>
      <c r="E98" s="78" t="s">
        <v>81</v>
      </c>
      <c r="F98" s="78" t="s">
        <v>76</v>
      </c>
      <c r="G98" s="78" t="s">
        <v>71</v>
      </c>
      <c r="H98" s="78" t="s">
        <v>69</v>
      </c>
    </row>
    <row r="99" spans="1:9" x14ac:dyDescent="0.25">
      <c r="A99" s="130">
        <v>2015</v>
      </c>
      <c r="B99" s="130">
        <v>10543.39532009836</v>
      </c>
      <c r="C99" s="130">
        <v>31417.327574551091</v>
      </c>
      <c r="D99" s="130">
        <v>652595.838070923</v>
      </c>
      <c r="E99" s="130">
        <v>9257469.3663828149</v>
      </c>
      <c r="F99" s="130">
        <v>2636.934197617647</v>
      </c>
      <c r="G99" s="130">
        <v>621.65265945217425</v>
      </c>
      <c r="H99" s="130">
        <v>6240.6830508034527</v>
      </c>
    </row>
    <row r="100" spans="1:9" x14ac:dyDescent="0.25">
      <c r="A100" s="130">
        <v>2016</v>
      </c>
      <c r="B100" s="130">
        <v>10462.167809516028</v>
      </c>
      <c r="C100" s="130">
        <v>31111.98150445574</v>
      </c>
      <c r="D100" s="130">
        <v>651471.40618163301</v>
      </c>
      <c r="E100" s="130">
        <v>9077404.482404938</v>
      </c>
      <c r="F100" s="130">
        <v>2636.934197617647</v>
      </c>
      <c r="G100" s="130">
        <v>621.77239579297986</v>
      </c>
      <c r="H100" s="130">
        <v>6222.0229051861097</v>
      </c>
    </row>
    <row r="103" spans="1:9" x14ac:dyDescent="0.25">
      <c r="A103" s="21" t="s">
        <v>146</v>
      </c>
      <c r="B103" s="260" t="s">
        <v>147</v>
      </c>
      <c r="C103" s="260"/>
      <c r="D103" s="260"/>
      <c r="E103" s="260"/>
    </row>
    <row r="105" spans="1:9" x14ac:dyDescent="0.25">
      <c r="A105" s="130"/>
      <c r="B105" s="154" t="s">
        <v>67</v>
      </c>
      <c r="C105" s="154" t="s">
        <v>68</v>
      </c>
      <c r="D105" s="154" t="s">
        <v>80</v>
      </c>
      <c r="E105" s="154" t="s">
        <v>81</v>
      </c>
      <c r="F105" s="154" t="s">
        <v>76</v>
      </c>
      <c r="G105" s="154" t="s">
        <v>71</v>
      </c>
      <c r="H105" s="154" t="s">
        <v>69</v>
      </c>
      <c r="I105" s="154" t="s">
        <v>11</v>
      </c>
    </row>
    <row r="106" spans="1:9" x14ac:dyDescent="0.25">
      <c r="A106" s="155">
        <v>2015</v>
      </c>
      <c r="B106" s="130">
        <v>208633466.90343389</v>
      </c>
      <c r="C106" s="130">
        <v>53367767.581982091</v>
      </c>
      <c r="D106" s="130">
        <v>139901709.290483</v>
      </c>
      <c r="E106" s="130">
        <v>125252048.17982267</v>
      </c>
      <c r="F106" s="130">
        <v>456480.8492814019</v>
      </c>
      <c r="G106" s="130">
        <v>2802042.449212424</v>
      </c>
      <c r="H106" s="130">
        <v>927563.39561869029</v>
      </c>
      <c r="I106" s="130">
        <v>531341078.64983422</v>
      </c>
    </row>
    <row r="107" spans="1:9" x14ac:dyDescent="0.25">
      <c r="A107" s="155">
        <v>2016</v>
      </c>
      <c r="B107" s="130">
        <v>208767671.13546953</v>
      </c>
      <c r="C107" s="130">
        <v>52776787.383085862</v>
      </c>
      <c r="D107" s="130">
        <v>151212470.98501974</v>
      </c>
      <c r="E107" s="130">
        <v>126555803.98643777</v>
      </c>
      <c r="F107" s="130">
        <v>464832.95538683952</v>
      </c>
      <c r="G107" s="130">
        <v>2821617.7037070543</v>
      </c>
      <c r="H107" s="130">
        <v>932138.24417225237</v>
      </c>
      <c r="I107" s="130">
        <v>543531322.39327908</v>
      </c>
    </row>
    <row r="110" spans="1:9" x14ac:dyDescent="0.25">
      <c r="A110" s="21" t="s">
        <v>148</v>
      </c>
      <c r="B110" s="260" t="s">
        <v>149</v>
      </c>
      <c r="C110" s="260"/>
      <c r="D110" s="260"/>
      <c r="E110" s="260"/>
    </row>
    <row r="112" spans="1:9" x14ac:dyDescent="0.25">
      <c r="A112" s="129"/>
      <c r="B112" s="156">
        <v>0.8</v>
      </c>
      <c r="C112" s="156">
        <v>0.8</v>
      </c>
      <c r="D112" s="156">
        <v>0.6</v>
      </c>
      <c r="E112" s="156">
        <v>0.15140000000000001</v>
      </c>
      <c r="F112" s="156">
        <v>0</v>
      </c>
      <c r="G112" s="156">
        <v>0</v>
      </c>
      <c r="H112" s="156">
        <v>0</v>
      </c>
      <c r="I112" s="78"/>
    </row>
    <row r="113" spans="1:9" x14ac:dyDescent="0.25">
      <c r="A113" s="129"/>
      <c r="B113" s="129"/>
      <c r="C113" s="129"/>
      <c r="D113" s="129"/>
      <c r="E113" s="129"/>
      <c r="F113" s="129"/>
      <c r="G113" s="129"/>
      <c r="H113" s="129"/>
      <c r="I113" s="129"/>
    </row>
    <row r="114" spans="1:9" x14ac:dyDescent="0.25">
      <c r="A114" s="129"/>
      <c r="B114" s="78" t="s">
        <v>67</v>
      </c>
      <c r="C114" s="78" t="s">
        <v>68</v>
      </c>
      <c r="D114" s="78" t="s">
        <v>80</v>
      </c>
      <c r="E114" s="78" t="s">
        <v>81</v>
      </c>
      <c r="F114" s="78" t="s">
        <v>76</v>
      </c>
      <c r="G114" s="78" t="s">
        <v>71</v>
      </c>
      <c r="H114" s="78" t="s">
        <v>69</v>
      </c>
      <c r="I114" s="78" t="s">
        <v>25</v>
      </c>
    </row>
    <row r="115" spans="1:9" x14ac:dyDescent="0.25">
      <c r="A115" s="129">
        <v>2015</v>
      </c>
      <c r="B115" s="130">
        <v>166906773.52274713</v>
      </c>
      <c r="C115" s="130">
        <v>42694214.065585673</v>
      </c>
      <c r="D115" s="130">
        <v>83941025.574289799</v>
      </c>
      <c r="E115" s="130">
        <v>18963160.094425153</v>
      </c>
      <c r="F115" s="130">
        <v>0</v>
      </c>
      <c r="G115" s="130">
        <v>0</v>
      </c>
      <c r="H115" s="130">
        <v>0</v>
      </c>
      <c r="I115" s="130">
        <v>312505173.25704771</v>
      </c>
    </row>
    <row r="116" spans="1:9" x14ac:dyDescent="0.25">
      <c r="A116" s="129">
        <v>2016</v>
      </c>
      <c r="B116" s="130">
        <v>167014136.90837562</v>
      </c>
      <c r="C116" s="130">
        <v>42221429.906468689</v>
      </c>
      <c r="D116" s="130">
        <v>90727482.591011837</v>
      </c>
      <c r="E116" s="130">
        <v>19160548.72354668</v>
      </c>
      <c r="F116" s="130">
        <v>0</v>
      </c>
      <c r="G116" s="130">
        <v>0</v>
      </c>
      <c r="H116" s="130">
        <v>0</v>
      </c>
      <c r="I116" s="130">
        <v>319123598.12940282</v>
      </c>
    </row>
    <row r="119" spans="1:9" x14ac:dyDescent="0.25">
      <c r="A119" s="21" t="s">
        <v>150</v>
      </c>
      <c r="B119" s="260" t="s">
        <v>151</v>
      </c>
      <c r="C119" s="260"/>
      <c r="D119" s="260"/>
      <c r="E119" s="260"/>
    </row>
    <row r="121" spans="1:9" x14ac:dyDescent="0.25">
      <c r="A121" s="129"/>
      <c r="B121" s="78" t="s">
        <v>67</v>
      </c>
      <c r="C121" s="78" t="s">
        <v>68</v>
      </c>
      <c r="D121" s="78" t="s">
        <v>80</v>
      </c>
      <c r="E121" s="78" t="s">
        <v>81</v>
      </c>
      <c r="F121" s="78" t="s">
        <v>76</v>
      </c>
      <c r="G121" s="78" t="s">
        <v>71</v>
      </c>
      <c r="H121" s="78" t="s">
        <v>69</v>
      </c>
      <c r="I121" s="78" t="s">
        <v>25</v>
      </c>
    </row>
    <row r="122" spans="1:9" x14ac:dyDescent="0.25">
      <c r="A122" s="129">
        <v>2015</v>
      </c>
      <c r="B122" s="130">
        <v>203658189.94987321</v>
      </c>
      <c r="C122" s="130">
        <v>52095107.792282514</v>
      </c>
      <c r="D122" s="130">
        <v>137399534.92581531</v>
      </c>
      <c r="E122" s="130">
        <v>124686780.68711893</v>
      </c>
      <c r="F122" s="130">
        <v>456480.8492814019</v>
      </c>
      <c r="G122" s="130">
        <v>2802042.449212424</v>
      </c>
      <c r="H122" s="130">
        <v>927563.39561869029</v>
      </c>
      <c r="I122" s="130">
        <v>522025700.0492025</v>
      </c>
    </row>
    <row r="123" spans="1:9" x14ac:dyDescent="0.25">
      <c r="A123" s="129">
        <v>2016</v>
      </c>
      <c r="B123" s="130">
        <v>199954837.80577099</v>
      </c>
      <c r="C123" s="130">
        <v>50548889.603921287</v>
      </c>
      <c r="D123" s="130">
        <v>146425054.79799148</v>
      </c>
      <c r="E123" s="130">
        <v>125544759.49923474</v>
      </c>
      <c r="F123" s="130">
        <v>464832.95538683952</v>
      </c>
      <c r="G123" s="130">
        <v>2821617.7037070543</v>
      </c>
      <c r="H123" s="130">
        <v>932138.24417225237</v>
      </c>
      <c r="I123" s="130">
        <v>526692130.61018467</v>
      </c>
    </row>
    <row r="126" spans="1:9" x14ac:dyDescent="0.25">
      <c r="A126" s="21" t="s">
        <v>167</v>
      </c>
      <c r="B126" s="260" t="s">
        <v>155</v>
      </c>
      <c r="C126" s="260"/>
      <c r="D126" s="260"/>
      <c r="E126" s="80" t="s">
        <v>168</v>
      </c>
    </row>
    <row r="127" spans="1:9" ht="13.8" thickBot="1" x14ac:dyDescent="0.3"/>
    <row r="128" spans="1:9" x14ac:dyDescent="0.25">
      <c r="A128" s="261" t="s">
        <v>85</v>
      </c>
      <c r="B128" s="262"/>
      <c r="C128" s="262"/>
      <c r="D128" s="262"/>
      <c r="E128" s="262"/>
      <c r="F128" s="263"/>
    </row>
    <row r="129" spans="1:6" ht="13.8" thickBot="1" x14ac:dyDescent="0.3">
      <c r="A129" s="264">
        <f>22.48*1000000</f>
        <v>22480000</v>
      </c>
      <c r="B129" s="265"/>
      <c r="C129" s="265"/>
      <c r="D129" s="265"/>
      <c r="E129" s="265"/>
      <c r="F129" s="266"/>
    </row>
    <row r="130" spans="1:6" ht="13.8" thickBot="1" x14ac:dyDescent="0.3"/>
    <row r="131" spans="1:6" x14ac:dyDescent="0.25">
      <c r="A131" s="267" t="s">
        <v>98</v>
      </c>
      <c r="B131" s="268"/>
      <c r="C131" s="268"/>
      <c r="D131" s="268"/>
      <c r="E131" s="268"/>
      <c r="F131" s="269"/>
    </row>
    <row r="132" spans="1:6" ht="13.8" thickBot="1" x14ac:dyDescent="0.3">
      <c r="A132" s="270"/>
      <c r="B132" s="271"/>
      <c r="C132" s="271"/>
      <c r="D132" s="271"/>
      <c r="E132" s="271"/>
      <c r="F132" s="272"/>
    </row>
    <row r="133" spans="1:6" x14ac:dyDescent="0.25">
      <c r="A133" s="163" t="s">
        <v>152</v>
      </c>
      <c r="B133" s="144">
        <v>2011</v>
      </c>
      <c r="C133" s="144">
        <v>2012</v>
      </c>
      <c r="D133" s="144">
        <v>2013</v>
      </c>
      <c r="E133" s="144">
        <v>2014</v>
      </c>
      <c r="F133" s="145" t="s">
        <v>11</v>
      </c>
    </row>
    <row r="134" spans="1:6" x14ac:dyDescent="0.25">
      <c r="A134" s="94" t="s">
        <v>101</v>
      </c>
      <c r="B134" s="157">
        <v>9.1309845076240251E-2</v>
      </c>
      <c r="C134" s="158">
        <v>9.1236335435408489E-2</v>
      </c>
      <c r="D134" s="158">
        <v>9.1191470525673377E-2</v>
      </c>
      <c r="E134" s="158">
        <v>9.0082926312591086E-2</v>
      </c>
      <c r="F134" s="159">
        <f>SUM(B134:E134)</f>
        <v>0.36382057734991319</v>
      </c>
    </row>
    <row r="135" spans="1:6" x14ac:dyDescent="0.25">
      <c r="A135" s="94" t="s">
        <v>102</v>
      </c>
      <c r="B135" s="158"/>
      <c r="C135" s="158">
        <f>(100%-F134)/6</f>
        <v>0.10602990377501446</v>
      </c>
      <c r="D135" s="158">
        <f>C135</f>
        <v>0.10602990377501446</v>
      </c>
      <c r="E135" s="158">
        <f>D135</f>
        <v>0.10602990377501446</v>
      </c>
      <c r="F135" s="159">
        <f>SUM(B135:E135)</f>
        <v>0.31808971132504338</v>
      </c>
    </row>
    <row r="136" spans="1:6" x14ac:dyDescent="0.25">
      <c r="A136" s="94" t="s">
        <v>103</v>
      </c>
      <c r="B136" s="158"/>
      <c r="C136" s="158"/>
      <c r="D136" s="160">
        <f>(100%-SUM(B134:E135))/3</f>
        <v>0.10602990377501449</v>
      </c>
      <c r="E136" s="158">
        <f>+D136</f>
        <v>0.10602990377501449</v>
      </c>
      <c r="F136" s="159">
        <f>SUM(B136:E136)</f>
        <v>0.21205980755002898</v>
      </c>
    </row>
    <row r="137" spans="1:6" ht="13.8" thickBot="1" x14ac:dyDescent="0.3">
      <c r="A137" s="94" t="s">
        <v>104</v>
      </c>
      <c r="B137" s="158"/>
      <c r="C137" s="158"/>
      <c r="D137" s="158"/>
      <c r="E137" s="158">
        <f>+E136</f>
        <v>0.10602990377501449</v>
      </c>
      <c r="F137" s="159">
        <f>SUM(B137:E137)</f>
        <v>0.10602990377501449</v>
      </c>
    </row>
    <row r="138" spans="1:6" ht="13.8" thickBot="1" x14ac:dyDescent="0.3">
      <c r="A138" s="95" t="s">
        <v>105</v>
      </c>
      <c r="B138" s="161">
        <f>SUM(B134:B137)</f>
        <v>9.1309845076240251E-2</v>
      </c>
      <c r="C138" s="161">
        <f>SUM(C134:C137)</f>
        <v>0.19726623921042297</v>
      </c>
      <c r="D138" s="161">
        <f>SUM(D134:D137)</f>
        <v>0.30325127807570235</v>
      </c>
      <c r="E138" s="161">
        <f>SUM(E134:E137)</f>
        <v>0.40817263763763451</v>
      </c>
      <c r="F138" s="162">
        <f>SUM(F134:F137)</f>
        <v>1</v>
      </c>
    </row>
    <row r="139" spans="1:6" x14ac:dyDescent="0.25">
      <c r="A139" s="164" t="s">
        <v>153</v>
      </c>
      <c r="B139" s="90"/>
      <c r="C139" s="90"/>
      <c r="D139" s="90"/>
      <c r="E139" s="90"/>
      <c r="F139" s="92"/>
    </row>
    <row r="140" spans="1:6" x14ac:dyDescent="0.25">
      <c r="A140" s="94" t="s">
        <v>101</v>
      </c>
      <c r="B140" s="91">
        <v>1893374</v>
      </c>
      <c r="C140" s="91">
        <v>1893374</v>
      </c>
      <c r="D140" s="91">
        <v>1893374</v>
      </c>
      <c r="E140" s="91">
        <f>1.8*1000000</f>
        <v>1800000</v>
      </c>
      <c r="F140" s="93">
        <f>SUM(B140:E140)</f>
        <v>7480122</v>
      </c>
    </row>
    <row r="141" spans="1:6" x14ac:dyDescent="0.25">
      <c r="A141" s="94" t="s">
        <v>102</v>
      </c>
      <c r="B141" s="116"/>
      <c r="C141" s="91">
        <v>2111280</v>
      </c>
      <c r="D141" s="91">
        <f>+C141</f>
        <v>2111280</v>
      </c>
      <c r="E141" s="91">
        <f>+D141</f>
        <v>2111280</v>
      </c>
      <c r="F141" s="93">
        <f>SUM(B141:E141)</f>
        <v>6333840</v>
      </c>
    </row>
    <row r="142" spans="1:6" x14ac:dyDescent="0.25">
      <c r="A142" s="94" t="s">
        <v>103</v>
      </c>
      <c r="B142" s="91"/>
      <c r="C142" s="91"/>
      <c r="D142" s="91">
        <v>1235579</v>
      </c>
      <c r="E142" s="91">
        <f>+D142-50869</f>
        <v>1184710</v>
      </c>
      <c r="F142" s="93">
        <f>SUM(B142:E142)</f>
        <v>2420289</v>
      </c>
    </row>
    <row r="143" spans="1:6" ht="13.8" thickBot="1" x14ac:dyDescent="0.3">
      <c r="A143" s="94" t="s">
        <v>104</v>
      </c>
      <c r="B143" s="91"/>
      <c r="C143" s="91"/>
      <c r="D143" s="91"/>
      <c r="E143" s="91">
        <v>2247532</v>
      </c>
      <c r="F143" s="93">
        <f>SUM(B143:E143)</f>
        <v>2247532</v>
      </c>
    </row>
    <row r="144" spans="1:6" ht="13.8" thickBot="1" x14ac:dyDescent="0.3">
      <c r="A144" s="95" t="s">
        <v>105</v>
      </c>
      <c r="B144" s="96">
        <f>SUM(B140:B143)</f>
        <v>1893374</v>
      </c>
      <c r="C144" s="96">
        <f>SUM(C140:C143)</f>
        <v>4004654</v>
      </c>
      <c r="D144" s="96">
        <f>SUM(D140:D143)</f>
        <v>5240233</v>
      </c>
      <c r="E144" s="96">
        <f>SUM(E140:E143)</f>
        <v>7343522</v>
      </c>
      <c r="F144" s="97">
        <f>SUM(B144:E144)</f>
        <v>18481783</v>
      </c>
    </row>
    <row r="147" spans="1:6" x14ac:dyDescent="0.25">
      <c r="A147" s="171" t="s">
        <v>154</v>
      </c>
      <c r="B147" s="273" t="s">
        <v>156</v>
      </c>
      <c r="C147" s="273"/>
      <c r="D147" s="273"/>
      <c r="E147" s="172"/>
      <c r="F147" s="172"/>
    </row>
    <row r="148" spans="1:6" ht="13.8" thickBot="1" x14ac:dyDescent="0.3">
      <c r="A148" s="171"/>
      <c r="B148" s="173"/>
      <c r="C148" s="173"/>
      <c r="D148" s="173"/>
      <c r="E148" s="172"/>
      <c r="F148" s="172"/>
    </row>
    <row r="149" spans="1:6" ht="14.4" x14ac:dyDescent="0.3">
      <c r="A149" s="174" t="s">
        <v>158</v>
      </c>
      <c r="B149" s="175"/>
      <c r="C149" s="175"/>
      <c r="D149" s="175"/>
      <c r="E149" s="176" t="s">
        <v>8</v>
      </c>
      <c r="F149" s="177" t="s">
        <v>70</v>
      </c>
    </row>
    <row r="150" spans="1:6" x14ac:dyDescent="0.25">
      <c r="A150" s="178" t="s">
        <v>159</v>
      </c>
      <c r="B150" s="179"/>
      <c r="C150" s="179"/>
      <c r="D150" s="179"/>
      <c r="E150" s="180" t="e">
        <f>+Summary!#REF!/1000</f>
        <v>#REF!</v>
      </c>
      <c r="F150" s="181" t="e">
        <f>+Summary!#REF!/1000</f>
        <v>#REF!</v>
      </c>
    </row>
    <row r="151" spans="1:6" x14ac:dyDescent="0.25">
      <c r="A151" s="256" t="s">
        <v>160</v>
      </c>
      <c r="B151" s="257"/>
      <c r="C151" s="179"/>
      <c r="D151" s="179"/>
      <c r="E151" s="180"/>
      <c r="F151" s="181"/>
    </row>
    <row r="152" spans="1:6" x14ac:dyDescent="0.25">
      <c r="A152" s="178"/>
      <c r="B152" s="179" t="s">
        <v>161</v>
      </c>
      <c r="C152" s="179"/>
      <c r="D152" s="179"/>
      <c r="E152" s="180">
        <f>+F152*1.056</f>
        <v>5471.6073216575815</v>
      </c>
      <c r="F152" s="181">
        <v>5181.4463273272549</v>
      </c>
    </row>
    <row r="153" spans="1:6" x14ac:dyDescent="0.25">
      <c r="A153" s="178"/>
      <c r="B153" s="179" t="s">
        <v>162</v>
      </c>
      <c r="C153" s="179"/>
      <c r="D153" s="179"/>
      <c r="E153" s="180">
        <f>+F153*1.056</f>
        <v>7754.7169920000006</v>
      </c>
      <c r="F153" s="181">
        <v>7343.482</v>
      </c>
    </row>
    <row r="154" spans="1:6" x14ac:dyDescent="0.25">
      <c r="A154" s="182"/>
      <c r="B154" s="183" t="s">
        <v>163</v>
      </c>
      <c r="C154" s="183"/>
      <c r="D154" s="183"/>
      <c r="E154" s="184">
        <f>SUM(E152:E153)</f>
        <v>13226.324313657582</v>
      </c>
      <c r="F154" s="185">
        <f>SUM(F152:F153)</f>
        <v>12524.928327327256</v>
      </c>
    </row>
    <row r="155" spans="1:6" x14ac:dyDescent="0.25">
      <c r="A155" s="178" t="s">
        <v>164</v>
      </c>
      <c r="B155" s="179"/>
      <c r="C155" s="179"/>
      <c r="D155" s="179"/>
      <c r="E155" s="180">
        <f>+F155*1.056</f>
        <v>3111.6798239999998</v>
      </c>
      <c r="F155" s="181">
        <v>2946.6664999999998</v>
      </c>
    </row>
    <row r="156" spans="1:6" x14ac:dyDescent="0.25">
      <c r="A156" s="178"/>
      <c r="B156" s="179" t="s">
        <v>11</v>
      </c>
      <c r="C156" s="186"/>
      <c r="D156" s="186"/>
      <c r="E156" s="180">
        <f>+E154+E155</f>
        <v>16338.004137657583</v>
      </c>
      <c r="F156" s="181">
        <f>SUM(F154:F155)</f>
        <v>15471.594827327255</v>
      </c>
    </row>
    <row r="157" spans="1:6" ht="13.8" thickBot="1" x14ac:dyDescent="0.3">
      <c r="A157" s="187" t="s">
        <v>165</v>
      </c>
      <c r="B157" s="188"/>
      <c r="C157" s="189"/>
      <c r="D157" s="189"/>
      <c r="E157" s="190" t="e">
        <f>+E150-E156</f>
        <v>#REF!</v>
      </c>
      <c r="F157" s="191" t="e">
        <f>+F150-F156</f>
        <v>#REF!</v>
      </c>
    </row>
    <row r="158" spans="1:6" x14ac:dyDescent="0.25">
      <c r="A158" s="172"/>
      <c r="B158" s="172"/>
      <c r="C158" s="172"/>
      <c r="D158" s="172"/>
      <c r="E158" s="172"/>
      <c r="F158" s="172"/>
    </row>
    <row r="159" spans="1:6" x14ac:dyDescent="0.25">
      <c r="A159" s="192" t="s">
        <v>171</v>
      </c>
      <c r="B159" s="172"/>
      <c r="C159" s="172"/>
      <c r="D159" s="172"/>
      <c r="E159" s="193"/>
      <c r="F159" s="193"/>
    </row>
    <row r="160" spans="1:6" ht="13.8" thickBot="1" x14ac:dyDescent="0.3">
      <c r="A160" s="172"/>
      <c r="B160" s="172"/>
      <c r="C160" s="172"/>
      <c r="D160" s="172"/>
      <c r="E160" s="193"/>
      <c r="F160" s="193"/>
    </row>
    <row r="161" spans="1:6" ht="14.4" x14ac:dyDescent="0.3">
      <c r="A161" s="174" t="s">
        <v>166</v>
      </c>
      <c r="B161" s="175"/>
      <c r="C161" s="194" t="s">
        <v>169</v>
      </c>
      <c r="D161" s="195" t="s">
        <v>170</v>
      </c>
      <c r="E161" s="172"/>
      <c r="F161" s="172"/>
    </row>
    <row r="162" spans="1:6" x14ac:dyDescent="0.25">
      <c r="A162" s="256" t="s">
        <v>121</v>
      </c>
      <c r="B162" s="257"/>
      <c r="C162" s="196">
        <v>853241.42130607553</v>
      </c>
      <c r="D162" s="197"/>
      <c r="E162" s="172"/>
      <c r="F162" s="172"/>
    </row>
    <row r="163" spans="1:6" x14ac:dyDescent="0.25">
      <c r="A163" s="256" t="s">
        <v>122</v>
      </c>
      <c r="B163" s="257"/>
      <c r="C163" s="196">
        <v>92450.372735016397</v>
      </c>
      <c r="D163" s="197"/>
      <c r="E163" s="172"/>
      <c r="F163" s="172"/>
    </row>
    <row r="164" spans="1:6" x14ac:dyDescent="0.25">
      <c r="A164" s="256" t="s">
        <v>123</v>
      </c>
      <c r="B164" s="257"/>
      <c r="C164" s="196">
        <v>1074160.2937178696</v>
      </c>
      <c r="D164" s="181">
        <f>+C164*'Rate Class Load Model'!B28</f>
        <v>3031.4279361648469</v>
      </c>
      <c r="E164" s="172"/>
      <c r="F164" s="172"/>
    </row>
    <row r="165" spans="1:6" x14ac:dyDescent="0.25">
      <c r="A165" s="258" t="s">
        <v>124</v>
      </c>
      <c r="B165" s="259"/>
      <c r="C165" s="198">
        <v>926814.74557437142</v>
      </c>
      <c r="D165" s="199">
        <f>+C165*'Rate Class Load Model'!C28</f>
        <v>2473.2033373810959</v>
      </c>
      <c r="E165" s="172"/>
      <c r="F165" s="172"/>
    </row>
    <row r="166" spans="1:6" ht="13.8" thickBot="1" x14ac:dyDescent="0.3">
      <c r="A166" s="200" t="s">
        <v>125</v>
      </c>
      <c r="B166" s="189"/>
      <c r="C166" s="201">
        <f>SUM(C162:C165)</f>
        <v>2946666.833333333</v>
      </c>
      <c r="D166" s="202">
        <f>SUM(D162:D165)</f>
        <v>5504.6312735459433</v>
      </c>
      <c r="E166" s="172"/>
      <c r="F166" s="172"/>
    </row>
    <row r="169" spans="1:6" x14ac:dyDescent="0.25">
      <c r="A169" s="192" t="s">
        <v>172</v>
      </c>
      <c r="B169" s="172"/>
      <c r="C169" s="172"/>
      <c r="D169" s="172"/>
    </row>
    <row r="170" spans="1:6" ht="13.8" thickBot="1" x14ac:dyDescent="0.3">
      <c r="A170" s="172"/>
      <c r="B170" s="172"/>
      <c r="C170" s="172"/>
      <c r="D170" s="172"/>
    </row>
    <row r="171" spans="1:6" ht="14.4" x14ac:dyDescent="0.3">
      <c r="A171" s="174" t="s">
        <v>166</v>
      </c>
      <c r="B171" s="175"/>
      <c r="C171" s="194" t="s">
        <v>169</v>
      </c>
      <c r="D171" s="195" t="s">
        <v>170</v>
      </c>
    </row>
    <row r="172" spans="1:6" x14ac:dyDescent="0.25">
      <c r="A172" s="256" t="s">
        <v>121</v>
      </c>
      <c r="B172" s="257"/>
      <c r="C172" s="196">
        <v>1279862.0595687253</v>
      </c>
      <c r="D172" s="197"/>
    </row>
    <row r="173" spans="1:6" x14ac:dyDescent="0.25">
      <c r="A173" s="256" t="s">
        <v>122</v>
      </c>
      <c r="B173" s="257"/>
      <c r="C173" s="196">
        <v>138675.55125888481</v>
      </c>
      <c r="D173" s="197"/>
    </row>
    <row r="174" spans="1:6" x14ac:dyDescent="0.25">
      <c r="A174" s="256" t="s">
        <v>123</v>
      </c>
      <c r="B174" s="257"/>
      <c r="C174" s="196">
        <v>1611240.3494433004</v>
      </c>
      <c r="D174" s="181">
        <f>+C174*'Rate Class Load Model'!B28</f>
        <v>4547.1416470560007</v>
      </c>
    </row>
    <row r="175" spans="1:6" x14ac:dyDescent="0.25">
      <c r="A175" s="258" t="s">
        <v>124</v>
      </c>
      <c r="B175" s="259"/>
      <c r="C175" s="198">
        <v>1390222.0397290888</v>
      </c>
      <c r="D175" s="199">
        <f>+C175*'Rate Class Load Model'!C28</f>
        <v>3709.804796241056</v>
      </c>
    </row>
    <row r="176" spans="1:6" ht="13.8" thickBot="1" x14ac:dyDescent="0.3">
      <c r="A176" s="200" t="s">
        <v>125</v>
      </c>
      <c r="B176" s="189"/>
      <c r="C176" s="201">
        <f>SUM(C172:C175)</f>
        <v>4419999.9999999991</v>
      </c>
      <c r="D176" s="202">
        <f>SUM(D172:D175)</f>
        <v>8256.9464432970562</v>
      </c>
    </row>
    <row r="177" spans="1:6" x14ac:dyDescent="0.25">
      <c r="A177" s="172"/>
      <c r="B177" s="172"/>
      <c r="C177" s="172"/>
      <c r="D177" s="172"/>
    </row>
    <row r="179" spans="1:6" x14ac:dyDescent="0.25">
      <c r="A179" s="80" t="s">
        <v>173</v>
      </c>
    </row>
    <row r="181" spans="1:6" ht="26.4" x14ac:dyDescent="0.25">
      <c r="A181" s="129"/>
      <c r="B181" s="146" t="s">
        <v>80</v>
      </c>
      <c r="C181" s="146" t="s">
        <v>81</v>
      </c>
      <c r="D181" s="146" t="s">
        <v>76</v>
      </c>
      <c r="E181" s="146" t="s">
        <v>71</v>
      </c>
      <c r="F181" s="146" t="s">
        <v>11</v>
      </c>
    </row>
    <row r="182" spans="1:6" x14ac:dyDescent="0.25">
      <c r="A182" s="129">
        <v>2003</v>
      </c>
      <c r="B182" s="130">
        <v>292864.41000000003</v>
      </c>
      <c r="C182" s="130">
        <v>235859</v>
      </c>
      <c r="D182" s="130">
        <v>1090.8200000000006</v>
      </c>
      <c r="E182" s="130">
        <v>6764</v>
      </c>
      <c r="F182" s="130">
        <v>536578.23</v>
      </c>
    </row>
    <row r="183" spans="1:6" x14ac:dyDescent="0.25">
      <c r="A183" s="129">
        <v>2004</v>
      </c>
      <c r="B183" s="130">
        <v>298046.73</v>
      </c>
      <c r="C183" s="130">
        <v>236202.55</v>
      </c>
      <c r="D183" s="130">
        <v>1155.1400000000012</v>
      </c>
      <c r="E183" s="130">
        <v>6796</v>
      </c>
      <c r="F183" s="130">
        <v>542200.42000000004</v>
      </c>
    </row>
    <row r="184" spans="1:6" x14ac:dyDescent="0.25">
      <c r="A184" s="129">
        <v>2005</v>
      </c>
      <c r="B184" s="130">
        <v>276911.94999999995</v>
      </c>
      <c r="C184" s="130">
        <v>235749.59</v>
      </c>
      <c r="D184" s="130">
        <v>806.75000000000068</v>
      </c>
      <c r="E184" s="130">
        <v>6855.37</v>
      </c>
      <c r="F184" s="130">
        <v>520323.65999999992</v>
      </c>
    </row>
    <row r="185" spans="1:6" x14ac:dyDescent="0.25">
      <c r="A185" s="129">
        <v>2006</v>
      </c>
      <c r="B185" s="130">
        <v>299829.52599999995</v>
      </c>
      <c r="C185" s="130">
        <v>250935.3768</v>
      </c>
      <c r="D185" s="130">
        <v>643.70999999999981</v>
      </c>
      <c r="E185" s="130">
        <v>7431.4600000000009</v>
      </c>
      <c r="F185" s="130">
        <v>558840.07279999985</v>
      </c>
    </row>
    <row r="186" spans="1:6" x14ac:dyDescent="0.25">
      <c r="A186" s="129">
        <v>2007</v>
      </c>
      <c r="B186" s="130">
        <v>322163.37</v>
      </c>
      <c r="C186" s="130">
        <v>282975.62</v>
      </c>
      <c r="D186" s="130">
        <v>635.96999999999991</v>
      </c>
      <c r="E186" s="130">
        <v>7477.1900000000014</v>
      </c>
      <c r="F186" s="130">
        <v>613252.14999999991</v>
      </c>
    </row>
    <row r="187" spans="1:6" x14ac:dyDescent="0.25">
      <c r="A187" s="129">
        <v>2008</v>
      </c>
      <c r="B187" s="130">
        <v>322746.80000000005</v>
      </c>
      <c r="C187" s="130">
        <v>265624.51</v>
      </c>
      <c r="D187" s="130">
        <v>627.91999999999996</v>
      </c>
      <c r="E187" s="130">
        <v>7513.5100000000011</v>
      </c>
      <c r="F187" s="130">
        <v>596512.74000000011</v>
      </c>
    </row>
    <row r="188" spans="1:6" x14ac:dyDescent="0.25">
      <c r="A188" s="129">
        <v>2009</v>
      </c>
      <c r="B188" s="130">
        <v>330063.74999999994</v>
      </c>
      <c r="C188" s="130">
        <v>257988.3</v>
      </c>
      <c r="D188" s="130">
        <v>615.68000000000006</v>
      </c>
      <c r="E188" s="130">
        <v>7542.3500000000013</v>
      </c>
      <c r="F188" s="130">
        <v>596210.07999999996</v>
      </c>
    </row>
    <row r="189" spans="1:6" x14ac:dyDescent="0.25">
      <c r="A189" s="129">
        <v>2010</v>
      </c>
      <c r="B189" s="130">
        <v>320892.79120000004</v>
      </c>
      <c r="C189" s="130">
        <v>285634.91000000003</v>
      </c>
      <c r="D189" s="130">
        <v>585.82999999999993</v>
      </c>
      <c r="E189" s="130">
        <v>7569.3000000000011</v>
      </c>
      <c r="F189" s="130">
        <v>614682.83120000002</v>
      </c>
    </row>
    <row r="190" spans="1:6" x14ac:dyDescent="0.25">
      <c r="A190" s="129">
        <v>2011</v>
      </c>
      <c r="B190" s="130">
        <v>318710.76</v>
      </c>
      <c r="C190" s="130">
        <v>294618.27999999997</v>
      </c>
      <c r="D190" s="130">
        <v>530.20999999999992</v>
      </c>
      <c r="E190" s="130">
        <v>7634.1600000000008</v>
      </c>
      <c r="F190" s="130">
        <v>621493.41</v>
      </c>
    </row>
    <row r="191" spans="1:6" x14ac:dyDescent="0.25">
      <c r="A191" s="129">
        <v>2012</v>
      </c>
      <c r="B191" s="130">
        <v>313359.68</v>
      </c>
      <c r="C191" s="130">
        <v>289208.77999999997</v>
      </c>
      <c r="D191" s="130">
        <v>649.59999999999991</v>
      </c>
      <c r="E191" s="130">
        <v>7680.7800000000007</v>
      </c>
      <c r="F191" s="130">
        <v>610898.84</v>
      </c>
    </row>
    <row r="192" spans="1:6" x14ac:dyDescent="0.25">
      <c r="A192" s="129">
        <v>2013</v>
      </c>
      <c r="B192" s="130">
        <v>321135.30999999994</v>
      </c>
      <c r="C192" s="130">
        <v>296491.61</v>
      </c>
      <c r="D192" s="130">
        <v>675.93</v>
      </c>
      <c r="E192" s="130">
        <v>7730.8799999999992</v>
      </c>
      <c r="F192" s="130">
        <v>626033.73</v>
      </c>
    </row>
    <row r="193" spans="1:6" x14ac:dyDescent="0.25">
      <c r="A193" s="129">
        <v>2014</v>
      </c>
      <c r="B193" s="130">
        <v>362945.97000000003</v>
      </c>
      <c r="C193" s="130">
        <v>307814.96999999991</v>
      </c>
      <c r="D193" s="130">
        <v>703.32722429187197</v>
      </c>
      <c r="E193" s="130">
        <v>7764.2099999999982</v>
      </c>
      <c r="F193" s="130">
        <v>679228.47722429177</v>
      </c>
    </row>
    <row r="194" spans="1:6" x14ac:dyDescent="0.25">
      <c r="A194" s="104"/>
      <c r="B194" s="168"/>
      <c r="C194" s="168"/>
      <c r="D194" s="168"/>
      <c r="E194" s="168"/>
      <c r="F194" s="168"/>
    </row>
    <row r="195" spans="1:6" x14ac:dyDescent="0.25">
      <c r="A195" s="104"/>
      <c r="B195" s="168"/>
      <c r="C195" s="168"/>
      <c r="D195" s="168"/>
      <c r="E195" s="168"/>
      <c r="F195" s="168"/>
    </row>
    <row r="198" spans="1:6" x14ac:dyDescent="0.25">
      <c r="A198" s="80" t="s">
        <v>174</v>
      </c>
    </row>
    <row r="200" spans="1:6" ht="26.4" x14ac:dyDescent="0.25">
      <c r="A200" s="78"/>
      <c r="B200" s="146" t="s">
        <v>80</v>
      </c>
      <c r="C200" s="146" t="s">
        <v>81</v>
      </c>
      <c r="D200" s="146" t="s">
        <v>76</v>
      </c>
      <c r="E200" s="146" t="s">
        <v>71</v>
      </c>
    </row>
    <row r="201" spans="1:6" x14ac:dyDescent="0.25">
      <c r="A201" s="129">
        <v>2003</v>
      </c>
      <c r="B201" s="167">
        <v>3.0632546782708003E-3</v>
      </c>
      <c r="C201" s="167">
        <v>2.5159559407985413E-3</v>
      </c>
      <c r="D201" s="167">
        <v>3.8016327134603959E-3</v>
      </c>
      <c r="E201" s="167">
        <v>2.8673194308979667E-3</v>
      </c>
    </row>
    <row r="202" spans="1:6" x14ac:dyDescent="0.25">
      <c r="A202" s="129">
        <v>2004</v>
      </c>
      <c r="B202" s="167">
        <v>2.9648481971473939E-3</v>
      </c>
      <c r="C202" s="167">
        <v>2.4687808150225111E-3</v>
      </c>
      <c r="D202" s="167">
        <v>4.0648193603833628E-3</v>
      </c>
      <c r="E202" s="167">
        <v>2.7761357958507515E-3</v>
      </c>
    </row>
    <row r="203" spans="1:6" x14ac:dyDescent="0.25">
      <c r="A203" s="129">
        <v>2005</v>
      </c>
      <c r="B203" s="167">
        <v>2.5419451151823444E-3</v>
      </c>
      <c r="C203" s="167">
        <v>2.4910784532824232E-3</v>
      </c>
      <c r="D203" s="167">
        <v>2.5078260960389081E-3</v>
      </c>
      <c r="E203" s="167">
        <v>2.7804887939309594E-3</v>
      </c>
    </row>
    <row r="204" spans="1:6" x14ac:dyDescent="0.25">
      <c r="A204" s="129">
        <v>2006</v>
      </c>
      <c r="B204" s="167">
        <v>2.6906226764155305E-3</v>
      </c>
      <c r="C204" s="167">
        <v>2.799648344881328E-3</v>
      </c>
      <c r="D204" s="167">
        <v>1.7539110559936324E-3</v>
      </c>
      <c r="E204" s="167">
        <v>2.826112393811388E-3</v>
      </c>
    </row>
    <row r="205" spans="1:6" x14ac:dyDescent="0.25">
      <c r="A205" s="129">
        <v>2007</v>
      </c>
      <c r="B205" s="167">
        <v>2.805777005927304E-3</v>
      </c>
      <c r="C205" s="167">
        <v>2.8809754805488468E-3</v>
      </c>
      <c r="D205" s="167">
        <v>1.3430775247611506E-3</v>
      </c>
      <c r="E205" s="167">
        <v>2.821820891015782E-3</v>
      </c>
    </row>
    <row r="206" spans="1:6" x14ac:dyDescent="0.25">
      <c r="A206" s="129">
        <v>2008</v>
      </c>
      <c r="B206" s="167">
        <v>2.783199611211022E-3</v>
      </c>
      <c r="C206" s="167">
        <v>2.8385556883171979E-3</v>
      </c>
      <c r="D206" s="167">
        <v>1.369817381170164E-3</v>
      </c>
      <c r="E206" s="167">
        <v>2.8138814265463645E-3</v>
      </c>
    </row>
    <row r="207" spans="1:6" x14ac:dyDescent="0.25">
      <c r="A207" s="129">
        <v>2009</v>
      </c>
      <c r="B207" s="167">
        <v>2.7497690255652856E-3</v>
      </c>
      <c r="C207" s="167">
        <v>2.9174255946385003E-3</v>
      </c>
      <c r="D207" s="167">
        <v>1.1603948901009844E-3</v>
      </c>
      <c r="E207" s="167">
        <v>2.8308689645672692E-3</v>
      </c>
    </row>
    <row r="208" spans="1:6" x14ac:dyDescent="0.25">
      <c r="A208" s="129">
        <v>2010</v>
      </c>
      <c r="B208" s="167">
        <v>2.7705092856704608E-3</v>
      </c>
      <c r="C208" s="167">
        <v>2.6559651345771443E-3</v>
      </c>
      <c r="D208" s="167">
        <v>1.0254219505516373E-3</v>
      </c>
      <c r="E208" s="167">
        <v>2.7948502179165687E-3</v>
      </c>
    </row>
    <row r="209" spans="1:5" x14ac:dyDescent="0.25">
      <c r="A209" s="129">
        <v>2011</v>
      </c>
      <c r="B209" s="167">
        <v>2.7551548981112808E-3</v>
      </c>
      <c r="C209" s="167">
        <v>2.6408192654055499E-3</v>
      </c>
      <c r="D209" s="167">
        <v>1.2186074305611417E-3</v>
      </c>
      <c r="E209" s="167">
        <v>2.7829376035742176E-3</v>
      </c>
    </row>
    <row r="210" spans="1:5" x14ac:dyDescent="0.25">
      <c r="A210" s="129">
        <v>2012</v>
      </c>
      <c r="B210" s="167">
        <v>2.743060821751749E-3</v>
      </c>
      <c r="C210" s="167">
        <v>2.6761709202244195E-3</v>
      </c>
      <c r="D210" s="167">
        <v>1.4782250240331033E-3</v>
      </c>
      <c r="E210" s="167">
        <v>2.7805102607278897E-3</v>
      </c>
    </row>
    <row r="211" spans="1:5" x14ac:dyDescent="0.25">
      <c r="A211" s="129">
        <v>2013</v>
      </c>
      <c r="B211" s="167">
        <v>2.7293038198321915E-3</v>
      </c>
      <c r="C211" s="167">
        <v>2.5035254477176793E-3</v>
      </c>
      <c r="D211" s="167">
        <v>1.5229122574969144E-3</v>
      </c>
      <c r="E211" s="167">
        <v>2.7916860097411309E-3</v>
      </c>
    </row>
    <row r="212" spans="1:5" x14ac:dyDescent="0.25">
      <c r="A212" s="129">
        <v>2014</v>
      </c>
      <c r="B212" s="167">
        <v>2.8039863470678919E-3</v>
      </c>
      <c r="C212" s="167">
        <v>2.4831058707269573E-3</v>
      </c>
      <c r="D212" s="167">
        <v>1.5689504008710455E-3</v>
      </c>
      <c r="E212" s="167">
        <v>2.7902686800812039E-3</v>
      </c>
    </row>
    <row r="213" spans="1:5" x14ac:dyDescent="0.25">
      <c r="A213" s="129"/>
      <c r="B213" s="129"/>
      <c r="C213" s="129"/>
      <c r="D213" s="129"/>
      <c r="E213" s="129"/>
    </row>
    <row r="214" spans="1:5" x14ac:dyDescent="0.25">
      <c r="A214" s="78" t="s">
        <v>16</v>
      </c>
      <c r="B214" s="167">
        <v>2.7962406994237674E-3</v>
      </c>
      <c r="C214" s="167">
        <v>2.6960481815083114E-3</v>
      </c>
      <c r="D214" s="167">
        <v>2.1283626215575294E-3</v>
      </c>
      <c r="E214" s="167">
        <v>2.8139347393171315E-3</v>
      </c>
    </row>
  </sheetData>
  <mergeCells count="24">
    <mergeCell ref="B119:E119"/>
    <mergeCell ref="B147:D147"/>
    <mergeCell ref="A151:B151"/>
    <mergeCell ref="B1:E1"/>
    <mergeCell ref="B21:E21"/>
    <mergeCell ref="B38:E38"/>
    <mergeCell ref="B54:E54"/>
    <mergeCell ref="B61:E61"/>
    <mergeCell ref="A172:B172"/>
    <mergeCell ref="A173:B173"/>
    <mergeCell ref="A174:B174"/>
    <mergeCell ref="A175:B175"/>
    <mergeCell ref="B78:E78"/>
    <mergeCell ref="A162:B162"/>
    <mergeCell ref="A163:B163"/>
    <mergeCell ref="A164:B164"/>
    <mergeCell ref="A165:B165"/>
    <mergeCell ref="B126:D126"/>
    <mergeCell ref="A128:F128"/>
    <mergeCell ref="A129:F129"/>
    <mergeCell ref="A131:F132"/>
    <mergeCell ref="B96:E96"/>
    <mergeCell ref="B103:E103"/>
    <mergeCell ref="B110:E110"/>
  </mergeCells>
  <pageMargins left="0.7" right="0.7" top="0.75" bottom="0.75" header="0.3" footer="0.3"/>
  <pageSetup orientation="portrait" r:id="rId1"/>
  <ignoredErrors>
    <ignoredError sqref="E154" formula="1"/>
    <ignoredError sqref="I24:I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3"/>
  <sheetViews>
    <sheetView view="pageBreakPreview" zoomScaleNormal="100" zoomScaleSheetLayoutView="100" workbookViewId="0"/>
  </sheetViews>
  <sheetFormatPr defaultColWidth="9.33203125" defaultRowHeight="13.2" x14ac:dyDescent="0.25"/>
  <cols>
    <col min="2" max="2" width="14" bestFit="1" customWidth="1"/>
    <col min="3" max="4" width="12.6640625" bestFit="1" customWidth="1"/>
    <col min="5" max="5" width="10.6640625" style="32" bestFit="1" customWidth="1"/>
    <col min="6" max="6" width="13.5546875" bestFit="1" customWidth="1"/>
    <col min="7" max="7" width="10.33203125" bestFit="1" customWidth="1"/>
    <col min="8" max="8" width="11.33203125" bestFit="1" customWidth="1"/>
  </cols>
  <sheetData>
    <row r="2" spans="1:5" ht="39.6" x14ac:dyDescent="0.25">
      <c r="A2" s="119" t="s">
        <v>83</v>
      </c>
      <c r="B2" s="120" t="s">
        <v>0</v>
      </c>
      <c r="C2" s="121" t="s">
        <v>113</v>
      </c>
      <c r="D2" s="121"/>
      <c r="E2" s="107" t="s">
        <v>1</v>
      </c>
    </row>
    <row r="3" spans="1:5" x14ac:dyDescent="0.25">
      <c r="A3" s="75">
        <v>37622</v>
      </c>
      <c r="B3" s="70">
        <v>42639100</v>
      </c>
    </row>
    <row r="4" spans="1:5" x14ac:dyDescent="0.25">
      <c r="A4" s="75">
        <v>37653</v>
      </c>
      <c r="B4" s="70">
        <v>38371356</v>
      </c>
    </row>
    <row r="5" spans="1:5" x14ac:dyDescent="0.25">
      <c r="A5" s="75">
        <v>37681</v>
      </c>
      <c r="B5" s="70">
        <v>39445493</v>
      </c>
    </row>
    <row r="6" spans="1:5" x14ac:dyDescent="0.25">
      <c r="A6" s="75">
        <v>37712</v>
      </c>
      <c r="B6" s="70">
        <v>36194811</v>
      </c>
    </row>
    <row r="7" spans="1:5" x14ac:dyDescent="0.25">
      <c r="A7" s="75">
        <v>37742</v>
      </c>
      <c r="B7" s="70">
        <v>35263889</v>
      </c>
    </row>
    <row r="8" spans="1:5" x14ac:dyDescent="0.25">
      <c r="A8" s="75">
        <v>37773</v>
      </c>
      <c r="B8" s="70">
        <v>37162377</v>
      </c>
    </row>
    <row r="9" spans="1:5" x14ac:dyDescent="0.25">
      <c r="A9" s="75">
        <v>37803</v>
      </c>
      <c r="B9" s="70">
        <v>41364810</v>
      </c>
    </row>
    <row r="10" spans="1:5" x14ac:dyDescent="0.25">
      <c r="A10" s="75">
        <v>37834</v>
      </c>
      <c r="B10" s="70">
        <v>39569947</v>
      </c>
    </row>
    <row r="11" spans="1:5" x14ac:dyDescent="0.25">
      <c r="A11" s="75">
        <v>37865</v>
      </c>
      <c r="B11" s="70">
        <v>35904689</v>
      </c>
    </row>
    <row r="12" spans="1:5" x14ac:dyDescent="0.25">
      <c r="A12" s="75">
        <v>37895</v>
      </c>
      <c r="B12" s="70">
        <v>37187656</v>
      </c>
    </row>
    <row r="13" spans="1:5" x14ac:dyDescent="0.25">
      <c r="A13" s="75">
        <v>37926</v>
      </c>
      <c r="B13" s="70">
        <v>37804408</v>
      </c>
    </row>
    <row r="14" spans="1:5" x14ac:dyDescent="0.25">
      <c r="A14" s="75">
        <v>37956</v>
      </c>
      <c r="B14" s="70">
        <v>41415642</v>
      </c>
    </row>
    <row r="15" spans="1:5" x14ac:dyDescent="0.25">
      <c r="A15" s="75">
        <v>37987</v>
      </c>
      <c r="B15" s="70">
        <v>45022818</v>
      </c>
    </row>
    <row r="16" spans="1:5" x14ac:dyDescent="0.25">
      <c r="A16" s="75">
        <v>38018</v>
      </c>
      <c r="B16" s="70">
        <v>39507480</v>
      </c>
    </row>
    <row r="17" spans="1:2" x14ac:dyDescent="0.25">
      <c r="A17" s="75">
        <v>38047</v>
      </c>
      <c r="B17" s="70">
        <v>39890301</v>
      </c>
    </row>
    <row r="18" spans="1:2" x14ac:dyDescent="0.25">
      <c r="A18" s="75">
        <v>38078</v>
      </c>
      <c r="B18" s="70">
        <v>35800315</v>
      </c>
    </row>
    <row r="19" spans="1:2" x14ac:dyDescent="0.25">
      <c r="A19" s="75">
        <v>38108</v>
      </c>
      <c r="B19" s="70">
        <v>35700884</v>
      </c>
    </row>
    <row r="20" spans="1:2" x14ac:dyDescent="0.25">
      <c r="A20" s="75">
        <v>38139</v>
      </c>
      <c r="B20" s="70">
        <v>37251140</v>
      </c>
    </row>
    <row r="21" spans="1:2" x14ac:dyDescent="0.25">
      <c r="A21" s="75">
        <v>38169</v>
      </c>
      <c r="B21" s="70">
        <v>39626471</v>
      </c>
    </row>
    <row r="22" spans="1:2" x14ac:dyDescent="0.25">
      <c r="A22" s="75">
        <v>38200</v>
      </c>
      <c r="B22" s="70">
        <v>39062020</v>
      </c>
    </row>
    <row r="23" spans="1:2" x14ac:dyDescent="0.25">
      <c r="A23" s="75">
        <v>38231</v>
      </c>
      <c r="B23" s="70">
        <v>37869958</v>
      </c>
    </row>
    <row r="24" spans="1:2" x14ac:dyDescent="0.25">
      <c r="A24" s="75">
        <v>38261</v>
      </c>
      <c r="B24" s="70">
        <v>37190707</v>
      </c>
    </row>
    <row r="25" spans="1:2" x14ac:dyDescent="0.25">
      <c r="A25" s="75">
        <v>38292</v>
      </c>
      <c r="B25" s="70">
        <v>38683114</v>
      </c>
    </row>
    <row r="26" spans="1:2" x14ac:dyDescent="0.25">
      <c r="A26" s="75">
        <v>38322</v>
      </c>
      <c r="B26" s="70">
        <v>42731994</v>
      </c>
    </row>
    <row r="27" spans="1:2" x14ac:dyDescent="0.25">
      <c r="A27" s="75">
        <v>38353</v>
      </c>
      <c r="B27" s="70">
        <v>44769310</v>
      </c>
    </row>
    <row r="28" spans="1:2" x14ac:dyDescent="0.25">
      <c r="A28" s="75">
        <v>38384</v>
      </c>
      <c r="B28" s="70">
        <v>38587380</v>
      </c>
    </row>
    <row r="29" spans="1:2" x14ac:dyDescent="0.25">
      <c r="A29" s="75">
        <v>38412</v>
      </c>
      <c r="B29" s="70">
        <v>40808220</v>
      </c>
    </row>
    <row r="30" spans="1:2" x14ac:dyDescent="0.25">
      <c r="A30" s="75">
        <v>38443</v>
      </c>
      <c r="B30" s="70">
        <v>36419080</v>
      </c>
    </row>
    <row r="31" spans="1:2" x14ac:dyDescent="0.25">
      <c r="A31" s="75">
        <v>38473</v>
      </c>
      <c r="B31" s="70">
        <v>36941580</v>
      </c>
    </row>
    <row r="32" spans="1:2" x14ac:dyDescent="0.25">
      <c r="A32" s="75">
        <v>38504</v>
      </c>
      <c r="B32" s="70">
        <v>44668720</v>
      </c>
    </row>
    <row r="33" spans="1:2" x14ac:dyDescent="0.25">
      <c r="A33" s="75">
        <v>38534</v>
      </c>
      <c r="B33" s="70">
        <v>46174960</v>
      </c>
    </row>
    <row r="34" spans="1:2" x14ac:dyDescent="0.25">
      <c r="A34" s="75">
        <v>38565</v>
      </c>
      <c r="B34" s="70">
        <v>44768680</v>
      </c>
    </row>
    <row r="35" spans="1:2" x14ac:dyDescent="0.25">
      <c r="A35" s="75">
        <v>38596</v>
      </c>
      <c r="B35" s="70">
        <v>39535820</v>
      </c>
    </row>
    <row r="36" spans="1:2" x14ac:dyDescent="0.25">
      <c r="A36" s="75">
        <v>38626</v>
      </c>
      <c r="B36" s="70">
        <v>38746230</v>
      </c>
    </row>
    <row r="37" spans="1:2" x14ac:dyDescent="0.25">
      <c r="A37" s="75">
        <v>38657</v>
      </c>
      <c r="B37" s="70">
        <v>39948612</v>
      </c>
    </row>
    <row r="38" spans="1:2" x14ac:dyDescent="0.25">
      <c r="A38" s="75">
        <v>38687</v>
      </c>
      <c r="B38" s="70">
        <v>43806939</v>
      </c>
    </row>
    <row r="39" spans="1:2" x14ac:dyDescent="0.25">
      <c r="A39" s="75">
        <v>38718</v>
      </c>
      <c r="B39" s="71">
        <v>42694686</v>
      </c>
    </row>
    <row r="40" spans="1:2" x14ac:dyDescent="0.25">
      <c r="A40" s="75">
        <v>38749</v>
      </c>
      <c r="B40" s="71">
        <v>39473284</v>
      </c>
    </row>
    <row r="41" spans="1:2" x14ac:dyDescent="0.25">
      <c r="A41" s="75">
        <v>38777</v>
      </c>
      <c r="B41" s="71">
        <v>41133492</v>
      </c>
    </row>
    <row r="42" spans="1:2" x14ac:dyDescent="0.25">
      <c r="A42" s="75">
        <v>38808</v>
      </c>
      <c r="B42" s="71">
        <v>36883395</v>
      </c>
    </row>
    <row r="43" spans="1:2" x14ac:dyDescent="0.25">
      <c r="A43" s="75">
        <v>38838</v>
      </c>
      <c r="B43" s="71">
        <v>39614104</v>
      </c>
    </row>
    <row r="44" spans="1:2" x14ac:dyDescent="0.25">
      <c r="A44" s="75">
        <v>38869</v>
      </c>
      <c r="B44" s="71">
        <v>42375007</v>
      </c>
    </row>
    <row r="45" spans="1:2" x14ac:dyDescent="0.25">
      <c r="A45" s="75">
        <v>38899</v>
      </c>
      <c r="B45" s="71">
        <v>47257890</v>
      </c>
    </row>
    <row r="46" spans="1:2" x14ac:dyDescent="0.25">
      <c r="A46" s="75">
        <v>38930</v>
      </c>
      <c r="B46" s="71">
        <v>44158704</v>
      </c>
    </row>
    <row r="47" spans="1:2" x14ac:dyDescent="0.25">
      <c r="A47" s="75">
        <v>38961</v>
      </c>
      <c r="B47" s="71">
        <v>37845912</v>
      </c>
    </row>
    <row r="48" spans="1:2" x14ac:dyDescent="0.25">
      <c r="A48" s="75">
        <v>38991</v>
      </c>
      <c r="B48" s="71">
        <v>39300023</v>
      </c>
    </row>
    <row r="49" spans="1:2" x14ac:dyDescent="0.25">
      <c r="A49" s="75">
        <v>39022</v>
      </c>
      <c r="B49" s="71">
        <v>39294756</v>
      </c>
    </row>
    <row r="50" spans="1:2" x14ac:dyDescent="0.25">
      <c r="A50" s="75">
        <v>39052</v>
      </c>
      <c r="B50" s="71">
        <v>43135016</v>
      </c>
    </row>
    <row r="51" spans="1:2" x14ac:dyDescent="0.25">
      <c r="A51" s="75">
        <v>39083</v>
      </c>
      <c r="B51" s="71">
        <v>44818889</v>
      </c>
    </row>
    <row r="52" spans="1:2" x14ac:dyDescent="0.25">
      <c r="A52" s="75">
        <v>39114</v>
      </c>
      <c r="B52" s="71">
        <v>42357383</v>
      </c>
    </row>
    <row r="53" spans="1:2" x14ac:dyDescent="0.25">
      <c r="A53" s="75">
        <v>39142</v>
      </c>
      <c r="B53" s="71">
        <v>42654800</v>
      </c>
    </row>
    <row r="54" spans="1:2" x14ac:dyDescent="0.25">
      <c r="A54" s="75">
        <v>39173</v>
      </c>
      <c r="B54" s="71">
        <v>39684175</v>
      </c>
    </row>
    <row r="55" spans="1:2" x14ac:dyDescent="0.25">
      <c r="A55" s="75">
        <v>39203</v>
      </c>
      <c r="B55" s="71">
        <v>39887811</v>
      </c>
    </row>
    <row r="56" spans="1:2" x14ac:dyDescent="0.25">
      <c r="A56" s="75">
        <v>39234</v>
      </c>
      <c r="B56" s="71">
        <v>44759145</v>
      </c>
    </row>
    <row r="57" spans="1:2" x14ac:dyDescent="0.25">
      <c r="A57" s="75">
        <v>39264</v>
      </c>
      <c r="B57" s="71">
        <v>44321710</v>
      </c>
    </row>
    <row r="58" spans="1:2" x14ac:dyDescent="0.25">
      <c r="A58" s="75">
        <v>39295</v>
      </c>
      <c r="B58" s="71">
        <v>46460240</v>
      </c>
    </row>
    <row r="59" spans="1:2" x14ac:dyDescent="0.25">
      <c r="A59" s="75">
        <v>39326</v>
      </c>
      <c r="B59" s="71">
        <v>40259250</v>
      </c>
    </row>
    <row r="60" spans="1:2" x14ac:dyDescent="0.25">
      <c r="A60" s="75">
        <v>39356</v>
      </c>
      <c r="B60" s="71">
        <v>39936050</v>
      </c>
    </row>
    <row r="61" spans="1:2" x14ac:dyDescent="0.25">
      <c r="A61" s="75">
        <v>39387</v>
      </c>
      <c r="B61" s="71">
        <v>41297990</v>
      </c>
    </row>
    <row r="62" spans="1:2" x14ac:dyDescent="0.25">
      <c r="A62" s="75">
        <v>39417</v>
      </c>
      <c r="B62" s="71">
        <v>45949230</v>
      </c>
    </row>
    <row r="63" spans="1:2" x14ac:dyDescent="0.25">
      <c r="A63" s="75">
        <v>39448</v>
      </c>
      <c r="B63" s="72">
        <v>45263815</v>
      </c>
    </row>
    <row r="64" spans="1:2" x14ac:dyDescent="0.25">
      <c r="A64" s="75">
        <v>39479</v>
      </c>
      <c r="B64" s="72">
        <v>42751053</v>
      </c>
    </row>
    <row r="65" spans="1:2" x14ac:dyDescent="0.25">
      <c r="A65" s="75">
        <v>39508</v>
      </c>
      <c r="B65" s="72">
        <v>43037645</v>
      </c>
    </row>
    <row r="66" spans="1:2" x14ac:dyDescent="0.25">
      <c r="A66" s="75">
        <v>39539</v>
      </c>
      <c r="B66" s="72">
        <v>38303184</v>
      </c>
    </row>
    <row r="67" spans="1:2" x14ac:dyDescent="0.25">
      <c r="A67" s="75">
        <v>39569</v>
      </c>
      <c r="B67" s="72">
        <v>38265516</v>
      </c>
    </row>
    <row r="68" spans="1:2" x14ac:dyDescent="0.25">
      <c r="A68" s="75">
        <v>39600</v>
      </c>
      <c r="B68" s="72">
        <v>42475230</v>
      </c>
    </row>
    <row r="69" spans="1:2" x14ac:dyDescent="0.25">
      <c r="A69" s="75">
        <v>39630</v>
      </c>
      <c r="B69" s="72">
        <v>46396350</v>
      </c>
    </row>
    <row r="70" spans="1:2" x14ac:dyDescent="0.25">
      <c r="A70" s="75">
        <v>39661</v>
      </c>
      <c r="B70" s="72">
        <v>43186600</v>
      </c>
    </row>
    <row r="71" spans="1:2" x14ac:dyDescent="0.25">
      <c r="A71" s="75">
        <v>39692</v>
      </c>
      <c r="B71" s="72">
        <v>40740620</v>
      </c>
    </row>
    <row r="72" spans="1:2" x14ac:dyDescent="0.25">
      <c r="A72" s="75">
        <v>39722</v>
      </c>
      <c r="B72" s="72">
        <v>40655700</v>
      </c>
    </row>
    <row r="73" spans="1:2" x14ac:dyDescent="0.25">
      <c r="A73" s="75">
        <v>39753</v>
      </c>
      <c r="B73" s="72">
        <v>40859730</v>
      </c>
    </row>
    <row r="74" spans="1:2" x14ac:dyDescent="0.25">
      <c r="A74" s="75">
        <v>39783</v>
      </c>
      <c r="B74" s="72">
        <v>45852000</v>
      </c>
    </row>
    <row r="75" spans="1:2" x14ac:dyDescent="0.25">
      <c r="A75" s="75">
        <v>39814</v>
      </c>
      <c r="B75" s="71">
        <v>47628012</v>
      </c>
    </row>
    <row r="76" spans="1:2" x14ac:dyDescent="0.25">
      <c r="A76" s="75">
        <v>39845</v>
      </c>
      <c r="B76" s="71">
        <v>41115814</v>
      </c>
    </row>
    <row r="77" spans="1:2" x14ac:dyDescent="0.25">
      <c r="A77" s="75">
        <v>39873</v>
      </c>
      <c r="B77" s="71">
        <v>42459987</v>
      </c>
    </row>
    <row r="78" spans="1:2" x14ac:dyDescent="0.25">
      <c r="A78" s="75">
        <v>39904</v>
      </c>
      <c r="B78" s="71">
        <v>38614683</v>
      </c>
    </row>
    <row r="79" spans="1:2" x14ac:dyDescent="0.25">
      <c r="A79" s="75">
        <v>39934</v>
      </c>
      <c r="B79" s="71">
        <v>38130005</v>
      </c>
    </row>
    <row r="80" spans="1:2" x14ac:dyDescent="0.25">
      <c r="A80" s="75">
        <v>39965</v>
      </c>
      <c r="B80" s="71">
        <v>40405210</v>
      </c>
    </row>
    <row r="81" spans="1:9" x14ac:dyDescent="0.25">
      <c r="A81" s="75">
        <v>39995</v>
      </c>
      <c r="B81" s="71">
        <v>41289748</v>
      </c>
    </row>
    <row r="82" spans="1:9" x14ac:dyDescent="0.25">
      <c r="A82" s="75">
        <v>40026</v>
      </c>
      <c r="B82" s="71">
        <v>44991000</v>
      </c>
    </row>
    <row r="83" spans="1:9" x14ac:dyDescent="0.25">
      <c r="A83" s="75">
        <v>40057</v>
      </c>
      <c r="B83" s="71">
        <v>39783750</v>
      </c>
    </row>
    <row r="84" spans="1:9" x14ac:dyDescent="0.25">
      <c r="A84" s="75">
        <v>40087</v>
      </c>
      <c r="B84" s="71">
        <v>40181000</v>
      </c>
    </row>
    <row r="85" spans="1:9" x14ac:dyDescent="0.25">
      <c r="A85" s="75">
        <v>40118</v>
      </c>
      <c r="B85" s="71">
        <v>39698200</v>
      </c>
      <c r="C85" s="82"/>
    </row>
    <row r="86" spans="1:9" x14ac:dyDescent="0.25">
      <c r="A86" s="75">
        <v>40148</v>
      </c>
      <c r="B86" s="71">
        <v>45503000</v>
      </c>
      <c r="C86" s="82">
        <f>+WMP!B2*E86</f>
        <v>0</v>
      </c>
      <c r="D86" s="82"/>
      <c r="F86" s="82"/>
      <c r="G86" s="82"/>
      <c r="H86" s="82"/>
      <c r="I86" s="82"/>
    </row>
    <row r="87" spans="1:9" x14ac:dyDescent="0.25">
      <c r="A87" s="75">
        <v>40179</v>
      </c>
      <c r="B87" s="71">
        <v>46477661.538461544</v>
      </c>
      <c r="C87" s="118">
        <f>+WMP!B3*E87</f>
        <v>408795.56513611629</v>
      </c>
      <c r="D87" s="82"/>
      <c r="E87" s="32">
        <v>1.0690300571367626</v>
      </c>
      <c r="F87" s="82"/>
      <c r="G87" s="82"/>
      <c r="H87" s="82"/>
      <c r="I87" s="82"/>
    </row>
    <row r="88" spans="1:9" x14ac:dyDescent="0.25">
      <c r="A88" s="75">
        <v>40210</v>
      </c>
      <c r="B88" s="71">
        <v>41573169.230769232</v>
      </c>
      <c r="C88" s="118">
        <f>+WMP!B4*E88</f>
        <v>360780.90327296266</v>
      </c>
      <c r="D88" s="82"/>
      <c r="E88" s="32">
        <v>1.0690300571367626</v>
      </c>
      <c r="F88" s="82"/>
    </row>
    <row r="89" spans="1:9" x14ac:dyDescent="0.25">
      <c r="A89" s="75">
        <v>40238</v>
      </c>
      <c r="B89" s="71">
        <v>41694323.07692308</v>
      </c>
      <c r="C89" s="118">
        <f>+WMP!B5*E89</f>
        <v>411089.37223941408</v>
      </c>
      <c r="D89" s="82"/>
      <c r="E89" s="32">
        <v>1.0690300571367626</v>
      </c>
      <c r="F89" s="82"/>
    </row>
    <row r="90" spans="1:9" x14ac:dyDescent="0.25">
      <c r="A90" s="75">
        <v>40269</v>
      </c>
      <c r="B90" s="71">
        <v>37170715.384615384</v>
      </c>
      <c r="C90" s="118">
        <f>+WMP!B6*E90</f>
        <v>397084.36224078422</v>
      </c>
      <c r="D90" s="82"/>
      <c r="E90" s="32">
        <v>1.0690300571367626</v>
      </c>
      <c r="F90" s="82"/>
    </row>
    <row r="91" spans="1:9" x14ac:dyDescent="0.25">
      <c r="A91" s="75">
        <v>40299</v>
      </c>
      <c r="B91" s="71">
        <v>41877784.615384616</v>
      </c>
      <c r="C91" s="118">
        <f>+WMP!B7*E91</f>
        <v>456344.07644285553</v>
      </c>
      <c r="D91" s="82"/>
      <c r="E91" s="32">
        <v>1.0690300571367626</v>
      </c>
      <c r="F91" s="82"/>
    </row>
    <row r="92" spans="1:9" x14ac:dyDescent="0.25">
      <c r="A92" s="75">
        <v>40330</v>
      </c>
      <c r="B92" s="71">
        <v>43649361.538461536</v>
      </c>
      <c r="C92" s="118">
        <f>+WMP!B8*E92</f>
        <v>468253.86236160132</v>
      </c>
      <c r="D92" s="82"/>
      <c r="E92" s="32">
        <v>1.0690300571367626</v>
      </c>
      <c r="F92" s="82"/>
    </row>
    <row r="93" spans="1:9" x14ac:dyDescent="0.25">
      <c r="A93" s="75">
        <v>40360</v>
      </c>
      <c r="B93" s="71">
        <v>50523061.538461536</v>
      </c>
      <c r="C93" s="118">
        <f>+WMP!B9*E93</f>
        <v>507091.56398287136</v>
      </c>
      <c r="D93" s="82"/>
      <c r="E93" s="32">
        <v>1.0690300571367626</v>
      </c>
      <c r="F93" s="82"/>
    </row>
    <row r="94" spans="1:9" x14ac:dyDescent="0.25">
      <c r="A94" s="75">
        <v>40391</v>
      </c>
      <c r="B94" s="71">
        <v>48496438.461538464</v>
      </c>
      <c r="C94" s="118">
        <f>+WMP!B10*E94</f>
        <v>495727.59274039784</v>
      </c>
      <c r="D94" s="82"/>
      <c r="E94" s="32">
        <v>1.0690300571367626</v>
      </c>
      <c r="F94" s="82"/>
    </row>
    <row r="95" spans="1:9" x14ac:dyDescent="0.25">
      <c r="A95" s="75">
        <v>40422</v>
      </c>
      <c r="B95" s="71">
        <v>40569069.230769232</v>
      </c>
      <c r="C95" s="118">
        <f>+WMP!B11*E95</f>
        <v>435946.02082563465</v>
      </c>
      <c r="D95" s="82"/>
      <c r="E95" s="32">
        <v>1.0690300571367626</v>
      </c>
      <c r="F95" s="82"/>
    </row>
    <row r="96" spans="1:9" x14ac:dyDescent="0.25">
      <c r="A96" s="75">
        <v>40452</v>
      </c>
      <c r="B96" s="71">
        <v>40047369.230769232</v>
      </c>
      <c r="C96" s="118">
        <f>+WMP!B12*E96</f>
        <v>417599.60493286839</v>
      </c>
      <c r="D96" s="82"/>
      <c r="E96" s="32">
        <v>1.0690300571367626</v>
      </c>
      <c r="F96" s="82"/>
    </row>
    <row r="97" spans="1:6" x14ac:dyDescent="0.25">
      <c r="A97" s="75">
        <v>40483</v>
      </c>
      <c r="B97" s="71">
        <v>41183369.230769232</v>
      </c>
      <c r="C97" s="118">
        <f>+WMP!B13*E97</f>
        <v>396014.95802312746</v>
      </c>
      <c r="D97" s="82"/>
      <c r="E97" s="32">
        <v>1.0690300571367626</v>
      </c>
      <c r="F97" s="82"/>
    </row>
    <row r="98" spans="1:6" x14ac:dyDescent="0.25">
      <c r="A98" s="75">
        <v>40513</v>
      </c>
      <c r="B98" s="71">
        <v>47278253.846153848</v>
      </c>
      <c r="C98" s="118">
        <f>+WMP!B14*E98</f>
        <v>412417.68484660878</v>
      </c>
      <c r="D98" s="82"/>
      <c r="E98" s="32">
        <v>1.0690300571367626</v>
      </c>
      <c r="F98" s="82"/>
    </row>
    <row r="99" spans="1:6" x14ac:dyDescent="0.25">
      <c r="A99" s="75">
        <v>40544</v>
      </c>
      <c r="B99" s="71">
        <v>47976584.615384616</v>
      </c>
      <c r="C99" s="118">
        <f>+WMP!B15*E99</f>
        <v>409866.33526348241</v>
      </c>
      <c r="D99" s="82"/>
      <c r="E99" s="32">
        <v>1.0714655516012965</v>
      </c>
      <c r="F99" s="82"/>
    </row>
    <row r="100" spans="1:6" x14ac:dyDescent="0.25">
      <c r="A100" s="75">
        <v>40575</v>
      </c>
      <c r="B100" s="71">
        <v>42881461.538461544</v>
      </c>
      <c r="C100" s="118">
        <f>+WMP!B16*E100</f>
        <v>363500.04570849787</v>
      </c>
      <c r="D100" s="82"/>
      <c r="E100" s="32">
        <v>1.0714655516012965</v>
      </c>
      <c r="F100" s="82"/>
    </row>
    <row r="101" spans="1:6" x14ac:dyDescent="0.25">
      <c r="A101" s="75">
        <v>40603</v>
      </c>
      <c r="B101" s="71">
        <v>44667184.615384616</v>
      </c>
      <c r="C101" s="118">
        <f>+WMP!B17*E101</f>
        <v>409467.10719895572</v>
      </c>
      <c r="D101" s="82"/>
      <c r="E101" s="32">
        <v>1.0714655516012965</v>
      </c>
      <c r="F101" s="82"/>
    </row>
    <row r="102" spans="1:6" x14ac:dyDescent="0.25">
      <c r="A102" s="75">
        <v>40634</v>
      </c>
      <c r="B102" s="71">
        <v>39775423.07692308</v>
      </c>
      <c r="C102" s="118">
        <f>+WMP!B18*E102</f>
        <v>398234.33380081045</v>
      </c>
      <c r="D102" s="82"/>
      <c r="E102" s="32">
        <v>1.0714655516012965</v>
      </c>
      <c r="F102" s="82"/>
    </row>
    <row r="103" spans="1:6" x14ac:dyDescent="0.25">
      <c r="A103" s="75">
        <v>40664</v>
      </c>
      <c r="B103" s="71">
        <v>40526946.153846152</v>
      </c>
      <c r="C103" s="118">
        <f>+WMP!B19*E103</f>
        <v>441258.10085033061</v>
      </c>
      <c r="D103" s="82"/>
      <c r="E103" s="32">
        <v>1.0714655516012965</v>
      </c>
      <c r="F103" s="82"/>
    </row>
    <row r="104" spans="1:6" x14ac:dyDescent="0.25">
      <c r="A104" s="75">
        <v>40695</v>
      </c>
      <c r="B104" s="71">
        <v>42633200.000000007</v>
      </c>
      <c r="C104" s="118">
        <f>+WMP!B20*E104</f>
        <v>454552.97399046569</v>
      </c>
      <c r="D104" s="82"/>
      <c r="E104" s="32">
        <v>1.0714655516012965</v>
      </c>
      <c r="F104" s="82"/>
    </row>
    <row r="105" spans="1:6" x14ac:dyDescent="0.25">
      <c r="A105" s="75">
        <v>40725</v>
      </c>
      <c r="B105" s="71">
        <v>50774907.692307696</v>
      </c>
      <c r="C105" s="118">
        <f>+WMP!B21*E105</f>
        <v>513592.72952427861</v>
      </c>
      <c r="D105" s="82"/>
      <c r="E105" s="32">
        <v>1.0714655516012965</v>
      </c>
      <c r="F105" s="82"/>
    </row>
    <row r="106" spans="1:6" x14ac:dyDescent="0.25">
      <c r="A106" s="75">
        <v>40756</v>
      </c>
      <c r="B106" s="71">
        <v>46905930.769230768</v>
      </c>
      <c r="C106" s="118">
        <f>+WMP!B22*E106</f>
        <v>487906.16441607528</v>
      </c>
      <c r="D106" s="82"/>
      <c r="E106" s="32">
        <v>1.0714655516012965</v>
      </c>
      <c r="F106" s="82"/>
    </row>
    <row r="107" spans="1:6" x14ac:dyDescent="0.25">
      <c r="A107" s="75">
        <v>40787</v>
      </c>
      <c r="B107" s="71">
        <v>40614553.846153848</v>
      </c>
      <c r="C107" s="118">
        <f>+WMP!B23*E107</f>
        <v>440052.60567287955</v>
      </c>
      <c r="D107" s="82"/>
      <c r="E107" s="32">
        <v>1.0714655516012965</v>
      </c>
      <c r="F107" s="82"/>
    </row>
    <row r="108" spans="1:6" x14ac:dyDescent="0.25">
      <c r="A108" s="75">
        <v>40817</v>
      </c>
      <c r="B108" s="71">
        <v>40718976.92307692</v>
      </c>
      <c r="C108" s="118">
        <f>+WMP!B24*E108</f>
        <v>412627.66270979168</v>
      </c>
      <c r="D108" s="82"/>
      <c r="E108" s="32">
        <v>1.0714655516012965</v>
      </c>
      <c r="F108" s="82"/>
    </row>
    <row r="109" spans="1:6" x14ac:dyDescent="0.25">
      <c r="A109" s="75">
        <v>40848</v>
      </c>
      <c r="B109" s="71">
        <v>41046292.307692297</v>
      </c>
      <c r="C109" s="118">
        <f>+WMP!B25*E109</f>
        <v>382853.63867137313</v>
      </c>
      <c r="D109" s="82"/>
      <c r="E109" s="32">
        <v>1.0714655516012965</v>
      </c>
      <c r="F109" s="82"/>
    </row>
    <row r="110" spans="1:6" x14ac:dyDescent="0.25">
      <c r="A110" s="75">
        <v>40878</v>
      </c>
      <c r="B110" s="71">
        <v>40718976.92307692</v>
      </c>
      <c r="C110" s="118">
        <f>+WMP!B26*E110</f>
        <v>390709.75267158</v>
      </c>
      <c r="D110" s="82"/>
      <c r="E110" s="32">
        <v>1.0714655516012965</v>
      </c>
      <c r="F110" s="82"/>
    </row>
    <row r="111" spans="1:6" x14ac:dyDescent="0.25">
      <c r="A111" s="75">
        <v>40909</v>
      </c>
      <c r="B111" s="71">
        <v>45302407.692307696</v>
      </c>
      <c r="C111" s="118">
        <f>+WMP!B27*E111</f>
        <v>385215.52071866905</v>
      </c>
      <c r="D111" s="82"/>
      <c r="E111" s="32">
        <v>1.0580200379017084</v>
      </c>
      <c r="F111" s="82"/>
    </row>
    <row r="112" spans="1:6" x14ac:dyDescent="0.25">
      <c r="A112" s="75">
        <v>40940</v>
      </c>
      <c r="B112" s="71">
        <v>41258776.923076928</v>
      </c>
      <c r="C112" s="118">
        <f>+WMP!B28*E112</f>
        <v>339299.37667020387</v>
      </c>
      <c r="D112" s="82"/>
      <c r="E112" s="32">
        <v>1.0580200379017084</v>
      </c>
      <c r="F112" s="82"/>
    </row>
    <row r="113" spans="1:6" x14ac:dyDescent="0.25">
      <c r="A113" s="75">
        <v>40969</v>
      </c>
      <c r="B113" s="71">
        <v>40820361.538461544</v>
      </c>
      <c r="C113" s="118">
        <f>+WMP!B29*E113</f>
        <v>378123.30557880283</v>
      </c>
      <c r="D113" s="82"/>
      <c r="E113" s="32">
        <v>1.0580200379017084</v>
      </c>
      <c r="F113" s="82"/>
    </row>
    <row r="114" spans="1:6" x14ac:dyDescent="0.25">
      <c r="A114" s="75">
        <v>41000</v>
      </c>
      <c r="B114" s="71">
        <v>38841930.769230776</v>
      </c>
      <c r="C114" s="118">
        <f>+WMP!B30*E114</f>
        <v>358426.38987779547</v>
      </c>
      <c r="D114" s="82"/>
      <c r="E114" s="32">
        <v>1.0580200379017084</v>
      </c>
      <c r="F114" s="82"/>
    </row>
    <row r="115" spans="1:6" x14ac:dyDescent="0.25">
      <c r="A115" s="75">
        <v>41030</v>
      </c>
      <c r="B115" s="71">
        <v>40032218.18181818</v>
      </c>
      <c r="C115" s="118">
        <f>+WMP!B31*E115</f>
        <v>410296.94373716693</v>
      </c>
      <c r="D115" s="82"/>
      <c r="E115" s="32">
        <v>1.0580200379017084</v>
      </c>
      <c r="F115" s="82"/>
    </row>
    <row r="116" spans="1:6" x14ac:dyDescent="0.25">
      <c r="A116" s="75">
        <v>41061</v>
      </c>
      <c r="B116" s="71">
        <v>45247672.727272727</v>
      </c>
      <c r="C116" s="118">
        <f>+WMP!B32*E116</f>
        <v>427929.35551841708</v>
      </c>
      <c r="D116" s="82"/>
      <c r="E116" s="32">
        <v>1.0580200379017084</v>
      </c>
      <c r="F116" s="82"/>
    </row>
    <row r="117" spans="1:6" x14ac:dyDescent="0.25">
      <c r="A117" s="75">
        <v>41091</v>
      </c>
      <c r="B117" s="71">
        <v>51327900</v>
      </c>
      <c r="C117" s="118">
        <f>+WMP!B33*E117</f>
        <v>403078.17882056732</v>
      </c>
      <c r="D117" s="82"/>
      <c r="E117" s="32">
        <v>1.0580200379017084</v>
      </c>
      <c r="F117" s="82"/>
    </row>
    <row r="118" spans="1:6" x14ac:dyDescent="0.25">
      <c r="A118" s="75">
        <v>41122</v>
      </c>
      <c r="B118" s="71">
        <v>45780536.36363636</v>
      </c>
      <c r="C118" s="118">
        <f>+WMP!B34*E118</f>
        <v>538169.78510818677</v>
      </c>
      <c r="D118" s="82"/>
      <c r="E118" s="32">
        <v>1.0580200379017084</v>
      </c>
      <c r="F118" s="82"/>
    </row>
    <row r="119" spans="1:6" x14ac:dyDescent="0.25">
      <c r="A119" s="75">
        <v>41153</v>
      </c>
      <c r="B119" s="71">
        <v>39949536.36363636</v>
      </c>
      <c r="C119" s="118">
        <f>+WMP!B35*E119</f>
        <v>400179.9868515447</v>
      </c>
      <c r="D119" s="82"/>
      <c r="E119" s="32">
        <v>1.0580200379017084</v>
      </c>
      <c r="F119" s="82"/>
    </row>
    <row r="120" spans="1:6" x14ac:dyDescent="0.25">
      <c r="A120" s="75">
        <v>41183</v>
      </c>
      <c r="B120" s="71">
        <v>40186490.909090906</v>
      </c>
      <c r="C120" s="118">
        <f>+WMP!B36*E120</f>
        <v>386890.96951008902</v>
      </c>
      <c r="D120" s="82"/>
      <c r="E120" s="32">
        <v>1.0580200379017084</v>
      </c>
      <c r="F120" s="82"/>
    </row>
    <row r="121" spans="1:6" x14ac:dyDescent="0.25">
      <c r="A121" s="75">
        <v>41214</v>
      </c>
      <c r="B121" s="71">
        <v>40724163.636363633</v>
      </c>
      <c r="C121" s="118">
        <f>+WMP!B37*E121</f>
        <v>372750.95491154783</v>
      </c>
      <c r="D121" s="82"/>
      <c r="E121" s="32">
        <v>1.0580200379017084</v>
      </c>
      <c r="F121" s="82"/>
    </row>
    <row r="122" spans="1:6" x14ac:dyDescent="0.25">
      <c r="A122" s="75">
        <v>41244</v>
      </c>
      <c r="B122" s="71">
        <v>42599045.454545446</v>
      </c>
      <c r="C122" s="118">
        <f>+WMP!B38*E122</f>
        <v>407691.37895022717</v>
      </c>
      <c r="D122" s="82"/>
      <c r="E122" s="32">
        <v>1.0580200379017084</v>
      </c>
      <c r="F122" s="82"/>
    </row>
    <row r="123" spans="1:6" x14ac:dyDescent="0.25">
      <c r="A123" s="75">
        <v>41275</v>
      </c>
      <c r="B123" s="71">
        <v>44937375</v>
      </c>
      <c r="C123" s="118">
        <f>+WMP!B39*E123</f>
        <v>398742.48257928336</v>
      </c>
      <c r="D123" s="82"/>
      <c r="E123" s="32">
        <v>1.0562276330921134</v>
      </c>
      <c r="F123" s="82"/>
    </row>
    <row r="124" spans="1:6" x14ac:dyDescent="0.25">
      <c r="A124" s="75">
        <v>41306</v>
      </c>
      <c r="B124" s="71">
        <v>40978383.333333336</v>
      </c>
      <c r="C124" s="118">
        <f>+WMP!B40*E124</f>
        <v>345743.62051980384</v>
      </c>
      <c r="D124" s="82"/>
      <c r="E124" s="32">
        <v>1.0562276330921134</v>
      </c>
      <c r="F124" s="82"/>
    </row>
    <row r="125" spans="1:6" x14ac:dyDescent="0.25">
      <c r="A125" s="75">
        <v>41334</v>
      </c>
      <c r="B125" s="71">
        <v>42439533.333333336</v>
      </c>
      <c r="C125" s="118">
        <f>+WMP!B41*E125</f>
        <v>382887.52351487195</v>
      </c>
      <c r="D125" s="82"/>
      <c r="E125" s="32">
        <v>1.0562276330921134</v>
      </c>
      <c r="F125" s="82"/>
    </row>
    <row r="126" spans="1:6" x14ac:dyDescent="0.25">
      <c r="A126" s="75">
        <v>41365</v>
      </c>
      <c r="B126" s="71">
        <v>39718616.666666664</v>
      </c>
      <c r="C126" s="118">
        <f>+WMP!B42*E126</f>
        <v>379737.28235006944</v>
      </c>
      <c r="D126" s="82"/>
      <c r="E126" s="32">
        <v>1.0562276330921134</v>
      </c>
      <c r="F126" s="82"/>
    </row>
    <row r="127" spans="1:6" x14ac:dyDescent="0.25">
      <c r="A127" s="75">
        <v>41395</v>
      </c>
      <c r="B127" s="71">
        <v>40198400.000000007</v>
      </c>
      <c r="C127" s="118">
        <f>+WMP!B43*E127</f>
        <v>419998.04971673439</v>
      </c>
      <c r="D127" s="82"/>
      <c r="E127" s="32">
        <v>1.0562276330921134</v>
      </c>
      <c r="F127" s="82"/>
    </row>
    <row r="128" spans="1:6" x14ac:dyDescent="0.25">
      <c r="A128" s="75">
        <v>41426</v>
      </c>
      <c r="B128" s="71">
        <v>43010141.666666672</v>
      </c>
      <c r="C128" s="118">
        <f>+WMP!B44*E128</f>
        <v>430056.66390081553</v>
      </c>
      <c r="D128" s="82"/>
      <c r="E128" s="32">
        <v>1.0562276330921134</v>
      </c>
      <c r="F128" s="82"/>
    </row>
    <row r="129" spans="1:6" x14ac:dyDescent="0.25">
      <c r="A129" s="75">
        <v>41456</v>
      </c>
      <c r="B129" s="71">
        <v>48990725.000000007</v>
      </c>
      <c r="C129" s="118">
        <f>+WMP!B45*E129</f>
        <v>469750.45883631299</v>
      </c>
      <c r="D129" s="82"/>
      <c r="E129" s="32">
        <v>1.0562276330921134</v>
      </c>
      <c r="F129" s="82"/>
    </row>
    <row r="130" spans="1:6" x14ac:dyDescent="0.25">
      <c r="A130" s="75">
        <v>41487</v>
      </c>
      <c r="B130" s="71">
        <v>46219941.666666672</v>
      </c>
      <c r="C130" s="118">
        <f>+WMP!B46*E130</f>
        <v>459366.37866937078</v>
      </c>
      <c r="D130" s="82"/>
      <c r="E130" s="32">
        <v>1.0562276330921134</v>
      </c>
      <c r="F130" s="82"/>
    </row>
    <row r="131" spans="1:6" x14ac:dyDescent="0.25">
      <c r="A131" s="75">
        <v>41518</v>
      </c>
      <c r="B131" s="71">
        <v>41314550</v>
      </c>
      <c r="C131" s="118">
        <f>+WMP!B47*E131</f>
        <v>413458.89162887941</v>
      </c>
      <c r="D131" s="82"/>
      <c r="E131" s="32">
        <v>1.0562276330921134</v>
      </c>
      <c r="F131" s="82"/>
    </row>
    <row r="132" spans="1:6" x14ac:dyDescent="0.25">
      <c r="A132" s="75">
        <v>41548</v>
      </c>
      <c r="B132" s="71">
        <v>41949783.333333336</v>
      </c>
      <c r="C132" s="118">
        <f>+WMP!B48*E132</f>
        <v>398965.38885897113</v>
      </c>
      <c r="D132" s="82"/>
      <c r="E132" s="32">
        <v>1.0562276330921134</v>
      </c>
      <c r="F132" s="82"/>
    </row>
    <row r="133" spans="1:6" x14ac:dyDescent="0.25">
      <c r="A133" s="75">
        <v>41579</v>
      </c>
      <c r="B133" s="71">
        <v>43942525</v>
      </c>
      <c r="C133" s="118">
        <f>+WMP!B49*E133</f>
        <v>374272.96262620168</v>
      </c>
      <c r="D133" s="82"/>
      <c r="E133" s="32">
        <v>1.0562276330921134</v>
      </c>
      <c r="F133" s="82"/>
    </row>
    <row r="134" spans="1:6" x14ac:dyDescent="0.25">
      <c r="A134" s="75">
        <v>41609</v>
      </c>
      <c r="B134" s="71">
        <v>44817991.666666664</v>
      </c>
      <c r="C134" s="118">
        <f>+WMP!B50*E134</f>
        <v>391474.16830719967</v>
      </c>
      <c r="D134" s="82"/>
      <c r="E134" s="32">
        <v>1.0562276330921134</v>
      </c>
      <c r="F134" s="82"/>
    </row>
    <row r="135" spans="1:6" x14ac:dyDescent="0.25">
      <c r="A135" s="75">
        <v>41640</v>
      </c>
      <c r="B135" s="71">
        <v>49818208.333333336</v>
      </c>
      <c r="C135" s="118">
        <f>+WMP!B51*E135</f>
        <v>390182.78346720006</v>
      </c>
      <c r="D135" s="82"/>
      <c r="E135" s="32">
        <v>1.064638331468406</v>
      </c>
      <c r="F135" s="82"/>
    </row>
    <row r="136" spans="1:6" x14ac:dyDescent="0.25">
      <c r="A136" s="75">
        <v>41671</v>
      </c>
      <c r="B136" s="71">
        <v>43710325</v>
      </c>
      <c r="C136" s="118">
        <f>+WMP!B52*E136</f>
        <v>344560.65682029963</v>
      </c>
      <c r="D136" s="82"/>
      <c r="E136" s="32">
        <v>1.064638331468406</v>
      </c>
      <c r="F136" s="82"/>
    </row>
    <row r="137" spans="1:6" x14ac:dyDescent="0.25">
      <c r="A137" s="75">
        <v>41699</v>
      </c>
      <c r="B137" s="71">
        <v>46032208.333333336</v>
      </c>
      <c r="C137" s="118">
        <f>+WMP!B53*E137</f>
        <v>369722.30849984067</v>
      </c>
      <c r="D137" s="82"/>
      <c r="E137" s="32">
        <v>1.064638331468406</v>
      </c>
      <c r="F137" s="82"/>
    </row>
    <row r="138" spans="1:6" x14ac:dyDescent="0.25">
      <c r="A138" s="75">
        <v>41730</v>
      </c>
      <c r="B138" s="71">
        <v>40510400.000000007</v>
      </c>
      <c r="C138" s="118">
        <f>+WMP!B54*E138</f>
        <v>364211.69791062688</v>
      </c>
      <c r="D138" s="82"/>
      <c r="E138" s="32">
        <v>1.064638331468406</v>
      </c>
      <c r="F138" s="82"/>
    </row>
    <row r="139" spans="1:6" x14ac:dyDescent="0.25">
      <c r="A139" s="75">
        <v>41760</v>
      </c>
      <c r="B139" s="71">
        <v>40106715.384615391</v>
      </c>
      <c r="C139" s="118">
        <f>+WMP!B55*E139</f>
        <v>407712.04294844402</v>
      </c>
      <c r="D139" s="82"/>
      <c r="E139" s="32">
        <v>1.064638331468406</v>
      </c>
      <c r="F139" s="82"/>
    </row>
    <row r="140" spans="1:6" x14ac:dyDescent="0.25">
      <c r="A140" s="75">
        <v>41791</v>
      </c>
      <c r="B140" s="71">
        <v>44371569.230769232</v>
      </c>
      <c r="C140" s="118">
        <f>+WMP!B56*E140</f>
        <v>434286.40581554372</v>
      </c>
      <c r="D140" s="82"/>
      <c r="E140" s="32">
        <v>1.064638331468406</v>
      </c>
      <c r="F140" s="82"/>
    </row>
    <row r="141" spans="1:6" x14ac:dyDescent="0.25">
      <c r="A141" s="75">
        <v>41821</v>
      </c>
      <c r="B141" s="71">
        <v>45905092.307692312</v>
      </c>
      <c r="C141" s="118">
        <f>+WMP!B57*E141</f>
        <v>447810.8365780696</v>
      </c>
      <c r="D141" s="82"/>
      <c r="E141" s="32">
        <v>1.064638331468406</v>
      </c>
      <c r="F141" s="82"/>
    </row>
    <row r="142" spans="1:6" x14ac:dyDescent="0.25">
      <c r="A142" s="75">
        <v>41852</v>
      </c>
      <c r="B142" s="71">
        <v>45108330.769230776</v>
      </c>
      <c r="C142" s="118">
        <f>+WMP!B58*E142</f>
        <v>449619.84873813408</v>
      </c>
      <c r="D142" s="82"/>
      <c r="E142" s="32">
        <v>1.064638331468406</v>
      </c>
      <c r="F142" s="82"/>
    </row>
    <row r="143" spans="1:6" x14ac:dyDescent="0.25">
      <c r="A143" s="75">
        <v>41883</v>
      </c>
      <c r="B143" s="71">
        <v>42012569.230769232</v>
      </c>
      <c r="C143" s="118">
        <f>+WMP!B59*E143</f>
        <v>409967.99028005893</v>
      </c>
      <c r="D143" s="82"/>
      <c r="E143" s="32">
        <v>1.064638331468406</v>
      </c>
      <c r="F143" s="82"/>
    </row>
    <row r="144" spans="1:6" x14ac:dyDescent="0.25">
      <c r="A144" s="75">
        <v>41913</v>
      </c>
      <c r="B144" s="71">
        <v>41451569.230769232</v>
      </c>
      <c r="C144" s="118">
        <f>+WMP!B60*E144</f>
        <v>387948.04373114801</v>
      </c>
      <c r="D144" s="134"/>
      <c r="E144" s="32">
        <v>1.064638331468406</v>
      </c>
      <c r="F144" s="82"/>
    </row>
    <row r="145" spans="1:6" x14ac:dyDescent="0.25">
      <c r="A145" s="75">
        <v>41944</v>
      </c>
      <c r="B145" s="71">
        <v>43930638.461538464</v>
      </c>
      <c r="C145" s="118">
        <f>+WMP!B61*E145</f>
        <v>361048.33803633484</v>
      </c>
      <c r="D145" s="134"/>
      <c r="E145" s="32">
        <v>1.064638331468406</v>
      </c>
      <c r="F145" s="82"/>
    </row>
    <row r="146" spans="1:6" x14ac:dyDescent="0.25">
      <c r="A146" s="75">
        <v>41974</v>
      </c>
      <c r="B146" s="71">
        <f>46542.09*1000</f>
        <v>46542090</v>
      </c>
      <c r="C146" s="118">
        <f>+WMP!B62*E146</f>
        <v>387177.47979959776</v>
      </c>
      <c r="D146" s="134"/>
      <c r="E146" s="32">
        <v>1.064638331468406</v>
      </c>
      <c r="F146" s="82"/>
    </row>
    <row r="147" spans="1:6" x14ac:dyDescent="0.25">
      <c r="A147" s="75">
        <v>42005</v>
      </c>
      <c r="B147" s="209">
        <v>48816492.307692312</v>
      </c>
      <c r="C147" s="118">
        <f>+WMP!B63*E147</f>
        <v>362427.56525563047</v>
      </c>
      <c r="D147" s="134"/>
      <c r="E147" s="32">
        <v>1.0364569607823262</v>
      </c>
      <c r="F147" s="118"/>
    </row>
    <row r="148" spans="1:6" x14ac:dyDescent="0.25">
      <c r="A148" s="75">
        <v>42036</v>
      </c>
      <c r="B148" s="209">
        <v>45756884.615384616</v>
      </c>
      <c r="C148" s="118">
        <f>+WMP!B64*E148</f>
        <v>322990.48154355906</v>
      </c>
      <c r="D148" s="134"/>
      <c r="E148" s="32">
        <v>1.0364569607823262</v>
      </c>
      <c r="F148" s="118"/>
    </row>
    <row r="149" spans="1:6" x14ac:dyDescent="0.25">
      <c r="A149" s="75">
        <v>42064</v>
      </c>
      <c r="B149" s="209">
        <v>45128223.07692308</v>
      </c>
      <c r="C149" s="118">
        <f>+WMP!B65*E149</f>
        <v>350937.04062846134</v>
      </c>
      <c r="D149" s="134"/>
      <c r="E149" s="32">
        <v>1.0364569607823262</v>
      </c>
      <c r="F149" s="118"/>
    </row>
    <row r="150" spans="1:6" x14ac:dyDescent="0.25">
      <c r="A150" s="75">
        <v>42095</v>
      </c>
      <c r="B150" s="209">
        <v>39795161.538461536</v>
      </c>
      <c r="C150" s="118">
        <f>+WMP!B66*E150</f>
        <v>343438.7201936944</v>
      </c>
      <c r="D150" s="134"/>
      <c r="E150" s="32">
        <v>1.0364569607823262</v>
      </c>
      <c r="F150" s="118"/>
    </row>
    <row r="151" spans="1:6" x14ac:dyDescent="0.25">
      <c r="A151" s="75">
        <v>42125</v>
      </c>
      <c r="B151" s="209">
        <v>41355323.07692308</v>
      </c>
      <c r="C151" s="118">
        <f>+WMP!B67*E151</f>
        <v>401949.59698020766</v>
      </c>
      <c r="D151" s="134"/>
      <c r="E151" s="32">
        <v>1.0364569607823262</v>
      </c>
      <c r="F151" s="118"/>
    </row>
    <row r="152" spans="1:6" x14ac:dyDescent="0.25">
      <c r="A152" s="75">
        <v>42156</v>
      </c>
      <c r="B152" s="209">
        <v>42250830.769230776</v>
      </c>
      <c r="C152" s="118">
        <f>+WMP!B68*E152</f>
        <v>402428.42973151943</v>
      </c>
      <c r="D152" s="134"/>
      <c r="E152" s="32">
        <v>1.0364569607823262</v>
      </c>
      <c r="F152" s="118"/>
    </row>
    <row r="153" spans="1:6" x14ac:dyDescent="0.25">
      <c r="A153" s="75">
        <v>42186</v>
      </c>
      <c r="B153" s="209">
        <v>48484707.692307696</v>
      </c>
      <c r="C153" s="118">
        <f>+WMP!B69*E153</f>
        <v>431244.74203963188</v>
      </c>
      <c r="D153" s="134"/>
      <c r="E153" s="32">
        <v>1.0364569607823262</v>
      </c>
      <c r="F153" s="118"/>
    </row>
    <row r="154" spans="1:6" x14ac:dyDescent="0.25">
      <c r="A154" s="75">
        <v>42217</v>
      </c>
      <c r="B154" s="209">
        <v>45724546.15384616</v>
      </c>
      <c r="C154" s="118">
        <f>+WMP!B70*E154</f>
        <v>423198.3949868512</v>
      </c>
      <c r="D154" s="134"/>
      <c r="E154" s="32">
        <v>1.0364569607823262</v>
      </c>
      <c r="F154" s="118"/>
    </row>
    <row r="155" spans="1:6" x14ac:dyDescent="0.25">
      <c r="A155" s="75">
        <v>42248</v>
      </c>
      <c r="B155" s="209">
        <v>44512200</v>
      </c>
      <c r="C155" s="118">
        <f>+WMP!B71*E155</f>
        <v>402469.8154579635</v>
      </c>
      <c r="D155" s="134"/>
      <c r="E155" s="32">
        <v>1.0364569607823262</v>
      </c>
      <c r="F155" s="118"/>
    </row>
    <row r="156" spans="1:6" x14ac:dyDescent="0.25">
      <c r="A156" s="75">
        <v>42278</v>
      </c>
      <c r="B156" s="209">
        <v>40212553.846153848</v>
      </c>
      <c r="C156" s="118">
        <f>+WMP!B72*E156</f>
        <v>356482.57250341837</v>
      </c>
      <c r="D156" s="134"/>
      <c r="E156" s="32">
        <v>1.0364569607823262</v>
      </c>
      <c r="F156" s="118"/>
    </row>
    <row r="157" spans="1:6" x14ac:dyDescent="0.25">
      <c r="A157" s="75">
        <v>42309</v>
      </c>
      <c r="B157" s="209">
        <v>40228438.461538464</v>
      </c>
      <c r="C157" s="118">
        <f>+WMP!B73*E157</f>
        <v>310868.38150276762</v>
      </c>
      <c r="D157" s="134"/>
      <c r="E157" s="32">
        <v>1.0364569607823262</v>
      </c>
      <c r="F157" s="118"/>
    </row>
    <row r="158" spans="1:6" x14ac:dyDescent="0.25">
      <c r="A158" s="75">
        <v>42339</v>
      </c>
      <c r="B158" s="209">
        <v>42116161.538461544</v>
      </c>
      <c r="C158" s="118">
        <f>+WMP!B74*E158</f>
        <v>343804.16455349658</v>
      </c>
      <c r="D158" s="134"/>
      <c r="E158" s="32">
        <v>1.0364569607823262</v>
      </c>
      <c r="F158" s="118"/>
    </row>
    <row r="159" spans="1:6" x14ac:dyDescent="0.25">
      <c r="A159" s="75">
        <v>42370</v>
      </c>
      <c r="B159" s="209">
        <v>45315053.846153848</v>
      </c>
      <c r="C159" s="118">
        <f>+WMP!B75*E159</f>
        <v>337749.23526122357</v>
      </c>
      <c r="D159" s="134"/>
      <c r="E159" s="32">
        <v>1.0444334224561194</v>
      </c>
      <c r="F159" s="118"/>
    </row>
    <row r="160" spans="1:6" x14ac:dyDescent="0.25">
      <c r="A160" s="75">
        <v>42401</v>
      </c>
      <c r="B160" s="209">
        <v>41541076.923076928</v>
      </c>
      <c r="C160" s="118">
        <f>+WMP!B76*E160</f>
        <v>320958.24468009436</v>
      </c>
      <c r="D160" s="134"/>
      <c r="E160" s="32">
        <v>1.0444334224561194</v>
      </c>
      <c r="F160" s="118"/>
    </row>
    <row r="161" spans="1:6" x14ac:dyDescent="0.25">
      <c r="A161" s="75">
        <v>42430</v>
      </c>
      <c r="B161" s="209">
        <v>41395176.923076928</v>
      </c>
      <c r="C161" s="118">
        <f>+WMP!B77*E161</f>
        <v>327852.67503373791</v>
      </c>
      <c r="D161" s="134"/>
      <c r="E161" s="32">
        <v>1.0444334224561194</v>
      </c>
      <c r="F161" s="118"/>
    </row>
    <row r="162" spans="1:6" x14ac:dyDescent="0.25">
      <c r="A162" s="75">
        <v>42461</v>
      </c>
      <c r="B162" s="209">
        <v>39414946.15384616</v>
      </c>
      <c r="C162" s="118">
        <f>+WMP!B78*E162</f>
        <v>330631.5781521984</v>
      </c>
      <c r="D162" s="134"/>
      <c r="E162" s="32">
        <v>1.0444334224561194</v>
      </c>
      <c r="F162" s="118"/>
    </row>
    <row r="163" spans="1:6" x14ac:dyDescent="0.25">
      <c r="A163" s="75">
        <v>42491</v>
      </c>
      <c r="B163" s="209">
        <v>40694476.923076928</v>
      </c>
      <c r="C163" s="118">
        <f>+WMP!B79*E163</f>
        <v>372769.66235455958</v>
      </c>
      <c r="D163" s="134"/>
      <c r="E163" s="32">
        <v>1.0444334224561194</v>
      </c>
      <c r="F163" s="118"/>
    </row>
    <row r="164" spans="1:6" x14ac:dyDescent="0.25">
      <c r="A164" s="75">
        <v>42522</v>
      </c>
      <c r="B164" s="209">
        <v>44076992.307692304</v>
      </c>
      <c r="C164" s="118">
        <f>+WMP!B80*E164</f>
        <v>387102.77731828851</v>
      </c>
      <c r="D164" s="134"/>
      <c r="E164" s="32">
        <v>1.0444334224561194</v>
      </c>
      <c r="F164" s="118"/>
    </row>
    <row r="165" spans="1:6" x14ac:dyDescent="0.25">
      <c r="A165" s="75">
        <v>42552</v>
      </c>
      <c r="B165" s="209">
        <v>50187092.307692312</v>
      </c>
      <c r="C165" s="118">
        <f>+WMP!B81*E165</f>
        <v>423836.34677714237</v>
      </c>
      <c r="D165" s="134"/>
      <c r="E165" s="32">
        <v>1.0444334224561194</v>
      </c>
      <c r="F165" s="118"/>
    </row>
    <row r="166" spans="1:6" x14ac:dyDescent="0.25">
      <c r="A166" s="75">
        <v>42583</v>
      </c>
      <c r="B166" s="209">
        <v>52272200</v>
      </c>
      <c r="C166" s="118">
        <f>+WMP!B82*E166</f>
        <v>434756.92175367515</v>
      </c>
      <c r="D166" s="134"/>
      <c r="E166" s="32">
        <v>1.0444334224561194</v>
      </c>
      <c r="F166" s="118"/>
    </row>
    <row r="167" spans="1:6" x14ac:dyDescent="0.25">
      <c r="A167" s="75">
        <v>42614</v>
      </c>
      <c r="B167" s="209">
        <v>42823330.769230776</v>
      </c>
      <c r="C167" s="118">
        <f>+WMP!B83*E167</f>
        <v>383992.91413692007</v>
      </c>
      <c r="D167" s="134"/>
      <c r="E167" s="32">
        <v>1.0444334224561194</v>
      </c>
      <c r="F167" s="118"/>
    </row>
    <row r="168" spans="1:6" x14ac:dyDescent="0.25">
      <c r="A168" s="75">
        <v>42644</v>
      </c>
      <c r="B168" s="209">
        <v>39617084.615384616</v>
      </c>
      <c r="C168" s="118">
        <f>+WMP!B84*E168</f>
        <v>346291.23845012311</v>
      </c>
      <c r="D168" s="134"/>
      <c r="E168" s="32">
        <v>1.0444334224561194</v>
      </c>
      <c r="F168" s="118"/>
    </row>
    <row r="169" spans="1:6" x14ac:dyDescent="0.25">
      <c r="A169" s="75">
        <v>42675</v>
      </c>
      <c r="B169" s="209">
        <v>39695584.615384616</v>
      </c>
      <c r="C169" s="118">
        <f>+WMP!B85*E169</f>
        <v>324442.16124738124</v>
      </c>
      <c r="D169" s="134"/>
      <c r="E169" s="32">
        <v>1.0444334224561194</v>
      </c>
      <c r="F169" s="118"/>
    </row>
    <row r="170" spans="1:6" x14ac:dyDescent="0.25">
      <c r="A170" s="75">
        <v>42705</v>
      </c>
      <c r="B170" s="209">
        <v>44259330.769230768</v>
      </c>
      <c r="C170" s="118">
        <f>+WMP!B86*E170</f>
        <v>327599.3059297842</v>
      </c>
      <c r="D170" s="134"/>
      <c r="E170" s="32">
        <v>1.0444334224561194</v>
      </c>
      <c r="F170" s="118"/>
    </row>
    <row r="171" spans="1:6" x14ac:dyDescent="0.25">
      <c r="A171" s="75">
        <v>42736</v>
      </c>
      <c r="B171" s="209">
        <v>43933204.761904761</v>
      </c>
      <c r="C171" s="118">
        <f>+WMP!B87*E171</f>
        <v>319667.69800010102</v>
      </c>
      <c r="D171" s="134"/>
      <c r="E171" s="32">
        <v>1.0369113449502312</v>
      </c>
      <c r="F171" s="118"/>
    </row>
    <row r="172" spans="1:6" x14ac:dyDescent="0.25">
      <c r="A172" s="75">
        <v>42767</v>
      </c>
      <c r="B172" s="209">
        <v>38324828.571428575</v>
      </c>
      <c r="C172" s="118">
        <f>+WMP!B88*E172</f>
        <v>289235.5943194257</v>
      </c>
      <c r="D172" s="134"/>
      <c r="E172" s="32">
        <v>1.0369113449502312</v>
      </c>
      <c r="F172" s="118"/>
    </row>
    <row r="173" spans="1:6" x14ac:dyDescent="0.25">
      <c r="A173" s="75">
        <v>42795</v>
      </c>
      <c r="B173" s="209">
        <v>42750761.90476191</v>
      </c>
      <c r="C173" s="118">
        <f>+WMP!B89*E173</f>
        <v>325574.67085887905</v>
      </c>
      <c r="D173" s="134"/>
      <c r="E173" s="32">
        <v>1.0369113449502312</v>
      </c>
      <c r="F173" s="118"/>
    </row>
    <row r="174" spans="1:6" x14ac:dyDescent="0.25">
      <c r="A174" s="75">
        <v>42826</v>
      </c>
      <c r="B174" s="209">
        <v>36992119.047619052</v>
      </c>
      <c r="C174" s="118">
        <f>+WMP!B90*E174</f>
        <v>323682.63946597523</v>
      </c>
      <c r="D174" s="134"/>
      <c r="E174" s="32">
        <v>1.0369113449502312</v>
      </c>
      <c r="F174" s="118"/>
    </row>
    <row r="175" spans="1:6" x14ac:dyDescent="0.25">
      <c r="A175" s="75">
        <v>42856</v>
      </c>
      <c r="B175" s="209">
        <v>37865342.857142858</v>
      </c>
      <c r="C175" s="118">
        <f>+WMP!B91*E175</f>
        <v>349920.8929973187</v>
      </c>
      <c r="D175" s="134"/>
      <c r="E175" s="32">
        <v>1.0369113449502312</v>
      </c>
      <c r="F175" s="118"/>
    </row>
    <row r="176" spans="1:6" x14ac:dyDescent="0.25">
      <c r="A176" s="75">
        <v>42887</v>
      </c>
      <c r="B176" s="209">
        <v>41420161.904761903</v>
      </c>
      <c r="C176" s="118">
        <f>+WMP!B92*E176</f>
        <v>373056.31375825993</v>
      </c>
      <c r="D176" s="134"/>
      <c r="E176" s="32">
        <v>1.0369113449502312</v>
      </c>
      <c r="F176" s="118"/>
    </row>
    <row r="177" spans="1:6" x14ac:dyDescent="0.25">
      <c r="A177" s="75">
        <v>42917</v>
      </c>
      <c r="B177" s="209">
        <v>45550933.333333336</v>
      </c>
      <c r="C177" s="118">
        <f>+WMP!B93*E177</f>
        <v>398576.2469553891</v>
      </c>
      <c r="D177" s="134"/>
      <c r="E177" s="32">
        <v>1.0369113449502312</v>
      </c>
      <c r="F177" s="118"/>
    </row>
    <row r="178" spans="1:6" x14ac:dyDescent="0.25">
      <c r="A178" s="75">
        <v>42948</v>
      </c>
      <c r="B178" s="209">
        <v>43657633.333333343</v>
      </c>
      <c r="C178" s="118">
        <f>+WMP!B94*E178</f>
        <v>397346.39751648402</v>
      </c>
      <c r="D178" s="134"/>
      <c r="E178" s="32">
        <v>1.0369113449502312</v>
      </c>
      <c r="F178" s="118"/>
    </row>
    <row r="179" spans="1:6" x14ac:dyDescent="0.25">
      <c r="A179" s="75">
        <v>42979</v>
      </c>
      <c r="B179" s="209">
        <v>40733566.666666672</v>
      </c>
      <c r="C179" s="118">
        <f>+WMP!B95*E179</f>
        <v>377277.16507901438</v>
      </c>
      <c r="D179" s="134"/>
      <c r="E179" s="32">
        <v>1.0369113449502312</v>
      </c>
      <c r="F179" s="118"/>
    </row>
    <row r="180" spans="1:6" x14ac:dyDescent="0.25">
      <c r="A180" s="75">
        <v>43009</v>
      </c>
      <c r="B180" s="209">
        <v>38181133.333333336</v>
      </c>
      <c r="C180" s="118">
        <f>+WMP!B96*E180</f>
        <v>358325.36015243031</v>
      </c>
      <c r="D180" s="134"/>
      <c r="E180" s="32">
        <v>1.0369113449502312</v>
      </c>
      <c r="F180" s="118"/>
    </row>
    <row r="181" spans="1:6" x14ac:dyDescent="0.25">
      <c r="A181" s="75">
        <v>43040</v>
      </c>
      <c r="B181" s="209">
        <v>40325900.000000007</v>
      </c>
      <c r="C181" s="118">
        <f>+WMP!B97*E181</f>
        <v>319298.68199066014</v>
      </c>
      <c r="D181" s="134"/>
      <c r="E181" s="32">
        <v>1.0369113449502312</v>
      </c>
      <c r="F181" s="118"/>
    </row>
    <row r="182" spans="1:6" x14ac:dyDescent="0.25">
      <c r="A182" s="75">
        <v>43070</v>
      </c>
      <c r="B182" s="209">
        <v>45098133.333333336</v>
      </c>
      <c r="C182" s="118">
        <f>+WMP!B98*E182</f>
        <v>325540.98160928162</v>
      </c>
      <c r="D182" s="134"/>
      <c r="E182" s="32">
        <v>1.0369113449502312</v>
      </c>
      <c r="F182" s="118"/>
    </row>
    <row r="183" spans="1:6" x14ac:dyDescent="0.25">
      <c r="A183" s="75">
        <v>43101</v>
      </c>
      <c r="B183" s="209">
        <v>46074166.666666672</v>
      </c>
      <c r="C183" s="118">
        <f>+WMP!B99*E183</f>
        <v>320237.32634901511</v>
      </c>
      <c r="D183" s="134"/>
      <c r="E183" s="32">
        <v>1.0397388707304411</v>
      </c>
      <c r="F183" s="118"/>
    </row>
    <row r="184" spans="1:6" x14ac:dyDescent="0.25">
      <c r="A184" s="75">
        <v>43132</v>
      </c>
      <c r="B184" s="209">
        <v>39409333.333333336</v>
      </c>
      <c r="C184" s="118">
        <f>+WMP!B100*E184</f>
        <v>284444.4508901728</v>
      </c>
      <c r="D184" s="134"/>
      <c r="E184" s="32">
        <v>1.0397388707304411</v>
      </c>
      <c r="F184" s="118"/>
    </row>
    <row r="185" spans="1:6" x14ac:dyDescent="0.25">
      <c r="A185" s="75">
        <v>43160</v>
      </c>
      <c r="B185" s="209">
        <v>41669166.666666672</v>
      </c>
      <c r="C185" s="118">
        <f>+WMP!B101*E185</f>
        <v>297278.0205533196</v>
      </c>
      <c r="D185" s="134"/>
      <c r="E185" s="32">
        <v>1.0397388707304411</v>
      </c>
      <c r="F185" s="118"/>
    </row>
    <row r="186" spans="1:6" x14ac:dyDescent="0.25">
      <c r="A186" s="75">
        <v>43191</v>
      </c>
      <c r="B186" s="209">
        <v>39557433.333333336</v>
      </c>
      <c r="C186" s="118">
        <f>+WMP!B102*E186</f>
        <v>292924.32197991008</v>
      </c>
      <c r="D186" s="134"/>
      <c r="E186" s="32">
        <v>1.0397388707304411</v>
      </c>
      <c r="F186" s="118"/>
    </row>
    <row r="187" spans="1:6" x14ac:dyDescent="0.25">
      <c r="A187" s="75">
        <v>43221</v>
      </c>
      <c r="B187" s="209">
        <v>40201866.666666672</v>
      </c>
      <c r="C187" s="118">
        <f>+WMP!B103*E187</f>
        <v>360673.50924632017</v>
      </c>
      <c r="D187" s="134"/>
      <c r="E187" s="32">
        <v>1.0397388707304411</v>
      </c>
      <c r="F187" s="118"/>
    </row>
    <row r="188" spans="1:6" x14ac:dyDescent="0.25">
      <c r="A188" s="75">
        <v>43252</v>
      </c>
      <c r="B188" s="209">
        <v>42663466.666666672</v>
      </c>
      <c r="C188" s="118">
        <f>+WMP!B104*E188</f>
        <v>364542.88705635478</v>
      </c>
      <c r="D188" s="134"/>
      <c r="E188" s="32">
        <v>1.0397388707304411</v>
      </c>
      <c r="F188" s="118"/>
    </row>
    <row r="189" spans="1:6" x14ac:dyDescent="0.25">
      <c r="A189" s="75">
        <v>43282</v>
      </c>
      <c r="B189" s="209">
        <v>49594733.333333336</v>
      </c>
      <c r="C189" s="118">
        <f>+WMP!B105*E189</f>
        <v>401459.76182401151</v>
      </c>
      <c r="D189" s="134"/>
      <c r="E189" s="32">
        <v>1.0397388707304411</v>
      </c>
      <c r="F189" s="118"/>
    </row>
    <row r="190" spans="1:6" x14ac:dyDescent="0.25">
      <c r="A190" s="75">
        <v>43313</v>
      </c>
      <c r="B190" s="209">
        <v>48809233.333333336</v>
      </c>
      <c r="C190" s="118">
        <f>+WMP!B106*E190</f>
        <v>402407.58777856932</v>
      </c>
      <c r="D190" s="134"/>
      <c r="E190" s="32">
        <v>1.0397388707304411</v>
      </c>
      <c r="F190" s="118"/>
    </row>
    <row r="191" spans="1:6" x14ac:dyDescent="0.25">
      <c r="A191" s="75">
        <v>43344</v>
      </c>
      <c r="B191" s="209">
        <v>42308633.333333336</v>
      </c>
      <c r="C191" s="118">
        <f>+WMP!B107*E191</f>
        <v>360815.62075517158</v>
      </c>
      <c r="D191" s="134"/>
      <c r="E191" s="32">
        <v>1.0397388707304411</v>
      </c>
      <c r="F191" s="118"/>
    </row>
    <row r="192" spans="1:6" x14ac:dyDescent="0.25">
      <c r="A192" s="75">
        <v>43374</v>
      </c>
      <c r="B192" s="209">
        <v>39783933.333333336</v>
      </c>
      <c r="C192" s="118">
        <f>+WMP!B108*E192</f>
        <v>324267.21904591308</v>
      </c>
      <c r="D192" s="134"/>
      <c r="E192" s="32">
        <v>1.0397388707304411</v>
      </c>
      <c r="F192" s="118"/>
    </row>
    <row r="193" spans="1:6" x14ac:dyDescent="0.25">
      <c r="A193" s="75">
        <v>43405</v>
      </c>
      <c r="B193" s="209">
        <v>41666833.333333336</v>
      </c>
      <c r="C193" s="118">
        <f>+WMP!B109*E193</f>
        <v>300684.76655282278</v>
      </c>
      <c r="D193" s="134"/>
      <c r="E193" s="32">
        <v>1.0397388707304411</v>
      </c>
      <c r="F193" s="118"/>
    </row>
    <row r="194" spans="1:6" x14ac:dyDescent="0.25">
      <c r="A194" s="75">
        <v>43435</v>
      </c>
      <c r="B194" s="209">
        <v>43526733.333333336</v>
      </c>
      <c r="C194" s="118">
        <f>+WMP!B110*E194</f>
        <v>315044.48572520504</v>
      </c>
      <c r="D194" s="134"/>
      <c r="E194" s="32">
        <v>1.0397388707304411</v>
      </c>
      <c r="F194" s="118"/>
    </row>
    <row r="195" spans="1:6" x14ac:dyDescent="0.25">
      <c r="A195" s="75">
        <v>43466</v>
      </c>
      <c r="B195" s="209">
        <v>46152339.999999993</v>
      </c>
      <c r="C195" s="118">
        <f>+WMP!B111*E195</f>
        <v>309797.92818653339</v>
      </c>
      <c r="D195" s="134"/>
      <c r="E195" s="32">
        <v>1.0391025427543692</v>
      </c>
      <c r="F195" s="118"/>
    </row>
    <row r="196" spans="1:6" x14ac:dyDescent="0.25">
      <c r="A196" s="75">
        <v>43497</v>
      </c>
      <c r="B196" s="209">
        <v>40751000</v>
      </c>
      <c r="C196" s="118">
        <f>+WMP!B112*E196</f>
        <v>270799.20439801225</v>
      </c>
      <c r="D196" s="134"/>
      <c r="E196" s="32">
        <v>1.0391025427543692</v>
      </c>
      <c r="F196" s="118"/>
    </row>
    <row r="197" spans="1:6" x14ac:dyDescent="0.25">
      <c r="A197" s="75">
        <v>43525</v>
      </c>
      <c r="B197" s="209">
        <v>42699019.999999993</v>
      </c>
      <c r="C197" s="118">
        <f>+WMP!B113*E197</f>
        <v>295286.8300038923</v>
      </c>
      <c r="D197" s="134"/>
      <c r="E197" s="32">
        <v>1.0391025427543692</v>
      </c>
      <c r="F197" s="118"/>
    </row>
    <row r="198" spans="1:6" x14ac:dyDescent="0.25">
      <c r="A198" s="75">
        <v>43556</v>
      </c>
      <c r="B198" s="209">
        <v>38635080</v>
      </c>
      <c r="C198" s="118">
        <f>+WMP!B114*E198</f>
        <v>289781.40495674399</v>
      </c>
      <c r="D198" s="134"/>
      <c r="E198" s="32">
        <v>1.0391025427543692</v>
      </c>
      <c r="F198" s="118"/>
    </row>
    <row r="199" spans="1:6" x14ac:dyDescent="0.25">
      <c r="A199" s="75">
        <v>43586</v>
      </c>
      <c r="B199" s="209">
        <v>38362240</v>
      </c>
      <c r="C199" s="118">
        <f>+WMP!B115*E199</f>
        <v>314497.123961784</v>
      </c>
      <c r="D199" s="134"/>
      <c r="E199" s="32">
        <v>1.0391025427543692</v>
      </c>
      <c r="F199" s="118"/>
    </row>
    <row r="200" spans="1:6" x14ac:dyDescent="0.25">
      <c r="A200" s="75">
        <v>43617</v>
      </c>
      <c r="B200" s="209">
        <v>40119440</v>
      </c>
      <c r="C200" s="118">
        <f>+WMP!B116*E200</f>
        <v>337365.23551760335</v>
      </c>
      <c r="D200" s="134"/>
      <c r="E200" s="32">
        <v>1.0391025427543692</v>
      </c>
      <c r="F200" s="118"/>
    </row>
    <row r="201" spans="1:6" x14ac:dyDescent="0.25">
      <c r="A201" s="75">
        <v>43647</v>
      </c>
      <c r="B201" s="209">
        <v>50773519.999999993</v>
      </c>
      <c r="C201" s="118">
        <f>+WMP!B117*E201</f>
        <v>399065.92875638278</v>
      </c>
      <c r="D201" s="134"/>
      <c r="E201" s="32">
        <v>1.0391025427543692</v>
      </c>
      <c r="F201" s="118"/>
    </row>
    <row r="202" spans="1:6" x14ac:dyDescent="0.25">
      <c r="A202" s="75">
        <v>43678</v>
      </c>
      <c r="B202" s="209">
        <v>45701140</v>
      </c>
      <c r="C202" s="118">
        <f>+WMP!B118*E202</f>
        <v>369150.47828124731</v>
      </c>
      <c r="D202" s="134"/>
      <c r="E202" s="32">
        <v>1.0391025427543692</v>
      </c>
      <c r="F202" s="118"/>
    </row>
    <row r="203" spans="1:6" x14ac:dyDescent="0.25">
      <c r="A203" s="75">
        <v>43709</v>
      </c>
      <c r="B203" s="209">
        <v>39646160</v>
      </c>
      <c r="C203" s="118">
        <f>+WMP!B119*E203</f>
        <v>329892.40488908021</v>
      </c>
      <c r="D203" s="134"/>
      <c r="E203" s="32">
        <v>1.0391025427543692</v>
      </c>
      <c r="F203" s="118"/>
    </row>
    <row r="204" spans="1:6" x14ac:dyDescent="0.25">
      <c r="A204" s="75">
        <v>43739</v>
      </c>
      <c r="B204" s="209">
        <v>39458460</v>
      </c>
      <c r="C204" s="118">
        <f>+WMP!B120*E204</f>
        <v>309154.27689847501</v>
      </c>
      <c r="D204" s="134"/>
      <c r="E204" s="32">
        <v>1.0391025427543692</v>
      </c>
      <c r="F204" s="118"/>
    </row>
    <row r="205" spans="1:6" x14ac:dyDescent="0.25">
      <c r="A205" s="75">
        <v>43770</v>
      </c>
      <c r="B205" s="209">
        <v>42531519.999999993</v>
      </c>
      <c r="C205" s="118">
        <f>+WMP!B121*E205</f>
        <v>280826.71019199881</v>
      </c>
      <c r="D205" s="134"/>
      <c r="E205" s="32">
        <v>1.0391025427543692</v>
      </c>
      <c r="F205" s="118"/>
    </row>
    <row r="206" spans="1:6" x14ac:dyDescent="0.25">
      <c r="A206" s="75">
        <v>43800</v>
      </c>
      <c r="B206" s="209">
        <v>44650100</v>
      </c>
      <c r="C206" s="118">
        <f>+WMP!B122*E206</f>
        <v>290037.12809251581</v>
      </c>
      <c r="D206" s="134"/>
      <c r="E206" s="32">
        <v>1.0391025427543692</v>
      </c>
      <c r="F206" s="118"/>
    </row>
    <row r="207" spans="1:6" x14ac:dyDescent="0.25">
      <c r="B207" s="111"/>
      <c r="D207" s="32"/>
      <c r="F207" s="82"/>
    </row>
    <row r="208" spans="1:6" x14ac:dyDescent="0.25">
      <c r="F208" s="82"/>
    </row>
    <row r="209" spans="1:10" x14ac:dyDescent="0.25">
      <c r="G209" s="249"/>
      <c r="H209" s="250"/>
      <c r="I209" s="250"/>
      <c r="J209" s="250"/>
    </row>
    <row r="210" spans="1:10" x14ac:dyDescent="0.25">
      <c r="G210" s="117"/>
      <c r="H210" s="117"/>
      <c r="I210" s="4"/>
      <c r="J210" s="4"/>
    </row>
    <row r="211" spans="1:10" x14ac:dyDescent="0.25">
      <c r="H211" s="205"/>
      <c r="I211" s="205"/>
      <c r="J211" s="139"/>
    </row>
    <row r="212" spans="1:10" x14ac:dyDescent="0.25">
      <c r="H212" s="205"/>
      <c r="I212" s="205"/>
      <c r="J212" s="139"/>
    </row>
    <row r="213" spans="1:10" x14ac:dyDescent="0.25">
      <c r="H213" s="205"/>
      <c r="I213" s="205"/>
      <c r="J213" s="139"/>
    </row>
    <row r="214" spans="1:10" x14ac:dyDescent="0.25">
      <c r="H214" s="205"/>
      <c r="I214" s="205"/>
      <c r="J214" s="139"/>
    </row>
    <row r="215" spans="1:10" x14ac:dyDescent="0.25">
      <c r="H215" s="205"/>
      <c r="I215" s="205"/>
      <c r="J215" s="139"/>
    </row>
    <row r="216" spans="1:10" x14ac:dyDescent="0.25">
      <c r="H216" s="205"/>
      <c r="I216" s="205"/>
      <c r="J216" s="139"/>
    </row>
    <row r="217" spans="1:10" x14ac:dyDescent="0.25">
      <c r="H217" s="205"/>
      <c r="I217" s="205"/>
      <c r="J217" s="139"/>
    </row>
    <row r="218" spans="1:10" x14ac:dyDescent="0.25">
      <c r="H218" s="205"/>
      <c r="I218" s="205"/>
      <c r="J218" s="139"/>
    </row>
    <row r="219" spans="1:10" x14ac:dyDescent="0.25">
      <c r="H219" s="205"/>
      <c r="I219" s="205"/>
      <c r="J219" s="139"/>
    </row>
    <row r="220" spans="1:10" x14ac:dyDescent="0.25">
      <c r="H220" s="205"/>
      <c r="I220" s="205"/>
    </row>
    <row r="222" spans="1:10" x14ac:dyDescent="0.25">
      <c r="A222" s="17"/>
      <c r="B222" s="6"/>
    </row>
    <row r="223" spans="1:10" x14ac:dyDescent="0.25">
      <c r="B223" s="6"/>
    </row>
  </sheetData>
  <mergeCells count="1">
    <mergeCell ref="G209:J20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250"/>
  <sheetViews>
    <sheetView view="pageBreakPreview" zoomScaleNormal="100" zoomScaleSheetLayoutView="100" workbookViewId="0">
      <selection activeCell="I23" sqref="I23"/>
    </sheetView>
  </sheetViews>
  <sheetFormatPr defaultColWidth="9.33203125" defaultRowHeight="13.2" x14ac:dyDescent="0.25"/>
  <cols>
    <col min="1" max="1" width="11.6640625" customWidth="1"/>
    <col min="2" max="2" width="12.33203125" style="6" customWidth="1"/>
    <col min="3" max="3" width="16.33203125" style="6" customWidth="1"/>
    <col min="4" max="4" width="18" style="6" customWidth="1"/>
    <col min="5" max="6" width="11.6640625" style="24" customWidth="1"/>
    <col min="7" max="7" width="14.44140625" style="211" customWidth="1"/>
    <col min="8" max="8" width="10.33203125" style="24" customWidth="1"/>
    <col min="9" max="9" width="12.6640625" style="24" bestFit="1" customWidth="1"/>
    <col min="10" max="10" width="12.44140625" style="24" customWidth="1"/>
    <col min="11" max="12" width="13" style="24" customWidth="1"/>
    <col min="13" max="14" width="13" style="208" hidden="1" customWidth="1"/>
    <col min="15" max="15" width="13.6640625" style="208" hidden="1" customWidth="1"/>
    <col min="16" max="16" width="14.33203125" style="208" hidden="1" customWidth="1"/>
    <col min="17" max="17" width="14.44140625" style="208" hidden="1" customWidth="1"/>
    <col min="18" max="18" width="15.44140625" style="208" bestFit="1" customWidth="1"/>
    <col min="19" max="19" width="15.5546875" style="208" customWidth="1"/>
    <col min="20" max="20" width="5.88671875" style="208" bestFit="1" customWidth="1"/>
    <col min="21" max="21" width="25.6640625" bestFit="1" customWidth="1"/>
    <col min="22" max="22" width="18" customWidth="1"/>
    <col min="23" max="23" width="25.6640625" bestFit="1" customWidth="1"/>
    <col min="24" max="24" width="24.33203125" bestFit="1" customWidth="1"/>
    <col min="25" max="25" width="20" customWidth="1"/>
    <col min="26" max="26" width="16.44140625" customWidth="1"/>
    <col min="27" max="27" width="13.6640625" bestFit="1" customWidth="1"/>
    <col min="28" max="28" width="11.6640625" bestFit="1" customWidth="1"/>
    <col min="29" max="29" width="12.5546875" customWidth="1"/>
    <col min="30" max="30" width="22.44140625" bestFit="1" customWidth="1"/>
    <col min="31" max="31" width="5.33203125" customWidth="1"/>
    <col min="32" max="32" width="13.33203125" customWidth="1"/>
    <col min="33" max="33" width="12.5546875" customWidth="1"/>
    <col min="34" max="34" width="12.33203125" customWidth="1"/>
    <col min="35" max="35" width="22.5546875" customWidth="1"/>
  </cols>
  <sheetData>
    <row r="2" spans="1:45" ht="39.6" x14ac:dyDescent="0.25">
      <c r="A2" s="207" t="s">
        <v>83</v>
      </c>
      <c r="B2" s="65" t="s">
        <v>180</v>
      </c>
      <c r="C2" s="65" t="s">
        <v>113</v>
      </c>
      <c r="D2" s="65" t="s">
        <v>179</v>
      </c>
      <c r="E2" s="131" t="s">
        <v>3</v>
      </c>
      <c r="F2" s="131" t="s">
        <v>4</v>
      </c>
      <c r="G2" s="131" t="s">
        <v>5</v>
      </c>
      <c r="H2" s="131" t="s">
        <v>117</v>
      </c>
      <c r="I2" s="131" t="s">
        <v>6</v>
      </c>
      <c r="J2" s="131" t="s">
        <v>118</v>
      </c>
      <c r="K2" s="131" t="s">
        <v>119</v>
      </c>
      <c r="L2" s="131" t="s">
        <v>213</v>
      </c>
      <c r="M2" s="68" t="s">
        <v>66</v>
      </c>
      <c r="N2" s="68" t="s">
        <v>120</v>
      </c>
      <c r="O2" s="68" t="s">
        <v>82</v>
      </c>
      <c r="P2" s="69" t="s">
        <v>7</v>
      </c>
      <c r="Q2" s="68" t="s">
        <v>157</v>
      </c>
      <c r="R2" s="68" t="s">
        <v>12</v>
      </c>
      <c r="S2" s="68" t="s">
        <v>14</v>
      </c>
      <c r="T2" s="68"/>
      <c r="U2" s="138"/>
      <c r="AN2" s="131"/>
      <c r="AO2" s="132"/>
      <c r="AP2" s="131"/>
      <c r="AQ2" s="131"/>
      <c r="AR2" s="131"/>
      <c r="AS2" s="32"/>
    </row>
    <row r="3" spans="1:45" x14ac:dyDescent="0.25">
      <c r="A3" s="75">
        <v>40179</v>
      </c>
      <c r="B3" s="136">
        <f>'Power Purchases'!B87</f>
        <v>46477661.538461544</v>
      </c>
      <c r="C3" s="136">
        <f>'Power Purchases'!C87</f>
        <v>408795.56513611629</v>
      </c>
      <c r="D3" s="244">
        <f>B3+C3+L3</f>
        <v>47472216.966202989</v>
      </c>
      <c r="E3" s="212">
        <v>720</v>
      </c>
      <c r="F3" s="212">
        <v>0</v>
      </c>
      <c r="G3" s="136">
        <v>31</v>
      </c>
      <c r="H3" s="136">
        <v>0</v>
      </c>
      <c r="I3" s="136">
        <v>320</v>
      </c>
      <c r="J3" s="136">
        <v>0</v>
      </c>
      <c r="K3" s="136">
        <v>0</v>
      </c>
      <c r="L3" s="136">
        <f>CDM!B74</f>
        <v>585759.86260532367</v>
      </c>
      <c r="M3" s="165">
        <v>25353.750000000004</v>
      </c>
      <c r="N3" s="165">
        <v>57582.383333333346</v>
      </c>
      <c r="O3" s="128">
        <v>61.5</v>
      </c>
      <c r="P3" s="127">
        <v>1.2107384200303233</v>
      </c>
      <c r="Q3" s="165">
        <v>290</v>
      </c>
      <c r="R3" s="247">
        <f>+$V$19+E3*$V$20+F3*$V$21+G3*$V$22+H3*$V$23+I3*$V$24+J3*$V$25+K3*$V$26</f>
        <v>46900445.379764125</v>
      </c>
      <c r="S3" s="74">
        <f t="shared" ref="S3:S34" si="0">+(R3-B3)/B3</f>
        <v>9.0964955487856432E-3</v>
      </c>
      <c r="T3"/>
      <c r="U3" t="s">
        <v>27</v>
      </c>
      <c r="AN3" s="136"/>
      <c r="AO3" s="133"/>
      <c r="AP3" s="136"/>
      <c r="AQ3" s="136"/>
      <c r="AR3" s="136"/>
      <c r="AS3" s="32"/>
    </row>
    <row r="4" spans="1:45" ht="13.8" thickBot="1" x14ac:dyDescent="0.3">
      <c r="A4" s="75">
        <v>40210</v>
      </c>
      <c r="B4" s="136">
        <f>'Power Purchases'!B88</f>
        <v>41573169.230769232</v>
      </c>
      <c r="C4" s="136">
        <f>'Power Purchases'!C88</f>
        <v>360780.90327296266</v>
      </c>
      <c r="D4" s="244">
        <f t="shared" ref="D4:D67" si="1">B4+C4+L4</f>
        <v>42508653.525144011</v>
      </c>
      <c r="E4" s="212">
        <v>598.29999999999995</v>
      </c>
      <c r="F4" s="212">
        <v>0</v>
      </c>
      <c r="G4" s="136">
        <v>28</v>
      </c>
      <c r="H4" s="136">
        <v>0</v>
      </c>
      <c r="I4" s="136">
        <v>304</v>
      </c>
      <c r="J4" s="136">
        <v>0</v>
      </c>
      <c r="K4" s="136">
        <v>0</v>
      </c>
      <c r="L4" s="136">
        <f>CDM!B75</f>
        <v>574703.39110181201</v>
      </c>
      <c r="M4" s="165">
        <v>25378.499999999993</v>
      </c>
      <c r="N4" s="165">
        <v>57644.366666666683</v>
      </c>
      <c r="O4" s="128">
        <v>61.2</v>
      </c>
      <c r="P4" s="127">
        <v>1.2150964263303674</v>
      </c>
      <c r="Q4" s="165">
        <v>305</v>
      </c>
      <c r="R4" s="247">
        <f t="shared" ref="R4:R67" si="2">+$V$19+E4*$V$20+F4*$V$21+G4*$V$22+H4*$V$23+I4*$V$24+J4*$V$25+K4*$V$26</f>
        <v>42442408.735222235</v>
      </c>
      <c r="S4" s="74">
        <f t="shared" si="0"/>
        <v>2.0908665866389127E-2</v>
      </c>
      <c r="T4" s="10"/>
      <c r="AN4" s="136"/>
      <c r="AO4" s="133"/>
      <c r="AP4" s="136"/>
      <c r="AQ4" s="136"/>
      <c r="AR4" s="136"/>
      <c r="AS4" s="32"/>
    </row>
    <row r="5" spans="1:45" x14ac:dyDescent="0.25">
      <c r="A5" s="75">
        <v>40238</v>
      </c>
      <c r="B5" s="136">
        <f>'Power Purchases'!B89</f>
        <v>41694323.07692308</v>
      </c>
      <c r="C5" s="136">
        <f>'Power Purchases'!C89</f>
        <v>411089.37223941408</v>
      </c>
      <c r="D5" s="244">
        <f t="shared" si="1"/>
        <v>42669059.368760794</v>
      </c>
      <c r="E5" s="212">
        <v>422.8</v>
      </c>
      <c r="F5" s="212">
        <v>0</v>
      </c>
      <c r="G5" s="136">
        <v>31</v>
      </c>
      <c r="H5" s="136">
        <v>1</v>
      </c>
      <c r="I5" s="136">
        <v>368</v>
      </c>
      <c r="J5" s="136">
        <v>0</v>
      </c>
      <c r="K5" s="136">
        <v>0</v>
      </c>
      <c r="L5" s="136">
        <f>CDM!B76</f>
        <v>563646.91959830036</v>
      </c>
      <c r="M5" s="165">
        <v>25403.249999999996</v>
      </c>
      <c r="N5" s="165">
        <v>57706.35000000002</v>
      </c>
      <c r="O5" s="128">
        <v>61.1</v>
      </c>
      <c r="P5" s="127">
        <v>1.2194544326304113</v>
      </c>
      <c r="Q5" s="165">
        <v>371</v>
      </c>
      <c r="R5" s="247">
        <f t="shared" si="2"/>
        <v>42973727.016912848</v>
      </c>
      <c r="S5" s="74">
        <f t="shared" si="0"/>
        <v>3.0685327055900588E-2</v>
      </c>
      <c r="T5" s="10"/>
      <c r="U5" s="50" t="s">
        <v>28</v>
      </c>
      <c r="V5" s="50"/>
      <c r="AN5" s="136"/>
      <c r="AO5" s="133"/>
      <c r="AP5" s="136"/>
      <c r="AQ5" s="136"/>
      <c r="AR5" s="136"/>
      <c r="AS5" s="32"/>
    </row>
    <row r="6" spans="1:45" x14ac:dyDescent="0.25">
      <c r="A6" s="75">
        <v>40269</v>
      </c>
      <c r="B6" s="136">
        <f>'Power Purchases'!B90</f>
        <v>37170715.384615384</v>
      </c>
      <c r="C6" s="136">
        <f>'Power Purchases'!C90</f>
        <v>397084.36224078422</v>
      </c>
      <c r="D6" s="244">
        <f t="shared" si="1"/>
        <v>38120390.194950953</v>
      </c>
      <c r="E6" s="212">
        <v>225.1</v>
      </c>
      <c r="F6" s="212">
        <v>0</v>
      </c>
      <c r="G6" s="136">
        <v>30</v>
      </c>
      <c r="H6" s="136">
        <v>1</v>
      </c>
      <c r="I6" s="136">
        <v>320</v>
      </c>
      <c r="J6" s="136">
        <v>0</v>
      </c>
      <c r="K6" s="136">
        <v>0</v>
      </c>
      <c r="L6" s="136">
        <f>CDM!B77</f>
        <v>552590.44809478871</v>
      </c>
      <c r="M6" s="165">
        <v>25428</v>
      </c>
      <c r="N6" s="165">
        <v>57768.333333333358</v>
      </c>
      <c r="O6" s="128">
        <v>61.1</v>
      </c>
      <c r="P6" s="127">
        <v>1.2238124389304554</v>
      </c>
      <c r="Q6" s="165">
        <v>405</v>
      </c>
      <c r="R6" s="247">
        <f t="shared" si="2"/>
        <v>39163166.561166905</v>
      </c>
      <c r="S6" s="74">
        <f t="shared" si="0"/>
        <v>5.3602712671389101E-2</v>
      </c>
      <c r="T6" s="10"/>
      <c r="U6" s="36" t="s">
        <v>29</v>
      </c>
      <c r="V6" s="206">
        <v>0.9646633498530911</v>
      </c>
      <c r="AN6" s="136"/>
      <c r="AO6" s="133"/>
      <c r="AP6" s="136"/>
      <c r="AQ6" s="136"/>
      <c r="AR6" s="136"/>
      <c r="AS6" s="32"/>
    </row>
    <row r="7" spans="1:45" x14ac:dyDescent="0.25">
      <c r="A7" s="75">
        <v>40299</v>
      </c>
      <c r="B7" s="136">
        <f>'Power Purchases'!B91</f>
        <v>41877784.615384616</v>
      </c>
      <c r="C7" s="136">
        <f>'Power Purchases'!C91</f>
        <v>456344.07644285553</v>
      </c>
      <c r="D7" s="244">
        <f t="shared" si="1"/>
        <v>42875662.668418743</v>
      </c>
      <c r="E7" s="212">
        <v>107.9</v>
      </c>
      <c r="F7" s="212">
        <v>45.7</v>
      </c>
      <c r="G7" s="136">
        <v>31</v>
      </c>
      <c r="H7" s="136">
        <v>1</v>
      </c>
      <c r="I7" s="136">
        <v>320</v>
      </c>
      <c r="J7" s="136">
        <v>0</v>
      </c>
      <c r="K7" s="136">
        <v>0</v>
      </c>
      <c r="L7" s="136">
        <f>CDM!B78</f>
        <v>541533.97659127705</v>
      </c>
      <c r="M7" s="165">
        <v>25452.749999999989</v>
      </c>
      <c r="N7" s="165">
        <v>57830.316666666695</v>
      </c>
      <c r="O7" s="128">
        <v>61.4</v>
      </c>
      <c r="P7" s="127">
        <v>1.2281704452304993</v>
      </c>
      <c r="Q7" s="165">
        <v>457</v>
      </c>
      <c r="R7" s="247">
        <f t="shared" si="2"/>
        <v>42157280.956261635</v>
      </c>
      <c r="S7" s="74">
        <f t="shared" si="0"/>
        <v>6.6740956677622454E-3</v>
      </c>
      <c r="T7" s="10"/>
      <c r="U7" s="36" t="s">
        <v>30</v>
      </c>
      <c r="V7" s="206">
        <v>0.93057537854978734</v>
      </c>
      <c r="AN7" s="136"/>
      <c r="AO7" s="133"/>
      <c r="AP7" s="136"/>
      <c r="AQ7" s="136"/>
      <c r="AR7" s="136"/>
      <c r="AS7" s="32"/>
    </row>
    <row r="8" spans="1:45" x14ac:dyDescent="0.25">
      <c r="A8" s="75">
        <v>40330</v>
      </c>
      <c r="B8" s="136">
        <f>'Power Purchases'!B92</f>
        <v>43649361.538461536</v>
      </c>
      <c r="C8" s="136">
        <f>'Power Purchases'!C92</f>
        <v>468253.86236160132</v>
      </c>
      <c r="D8" s="244">
        <f t="shared" si="1"/>
        <v>44648092.905910902</v>
      </c>
      <c r="E8" s="212">
        <v>21.7</v>
      </c>
      <c r="F8" s="212">
        <v>58.7</v>
      </c>
      <c r="G8" s="136">
        <v>30</v>
      </c>
      <c r="H8" s="136">
        <v>0</v>
      </c>
      <c r="I8" s="136">
        <v>352</v>
      </c>
      <c r="J8" s="136">
        <v>0</v>
      </c>
      <c r="K8" s="136">
        <v>0</v>
      </c>
      <c r="L8" s="136">
        <f>CDM!B79</f>
        <v>530477.5050877654</v>
      </c>
      <c r="M8" s="165">
        <v>25477.499999999993</v>
      </c>
      <c r="N8" s="165">
        <v>57892.300000000032</v>
      </c>
      <c r="O8" s="128">
        <v>61.9</v>
      </c>
      <c r="P8" s="127">
        <v>1.2325284515305435</v>
      </c>
      <c r="Q8" s="165">
        <v>462</v>
      </c>
      <c r="R8" s="247">
        <f t="shared" si="2"/>
        <v>43546148.883786432</v>
      </c>
      <c r="S8" s="74">
        <f t="shared" si="0"/>
        <v>-2.3645856671731182E-3</v>
      </c>
      <c r="T8" s="10"/>
      <c r="U8" s="36" t="s">
        <v>31</v>
      </c>
      <c r="V8" s="206">
        <v>0.92623633970914909</v>
      </c>
      <c r="AN8" s="136"/>
      <c r="AO8" s="133"/>
      <c r="AP8" s="136"/>
      <c r="AQ8" s="136"/>
      <c r="AR8" s="136"/>
      <c r="AS8" s="32"/>
    </row>
    <row r="9" spans="1:45" x14ac:dyDescent="0.25">
      <c r="A9" s="75">
        <v>40360</v>
      </c>
      <c r="B9" s="136">
        <f>'Power Purchases'!B93</f>
        <v>50523061.538461536</v>
      </c>
      <c r="C9" s="136">
        <f>'Power Purchases'!C93</f>
        <v>507091.56398287136</v>
      </c>
      <c r="D9" s="244">
        <f t="shared" si="1"/>
        <v>51549574.136028662</v>
      </c>
      <c r="E9" s="212">
        <v>1.8</v>
      </c>
      <c r="F9" s="212">
        <v>164.9</v>
      </c>
      <c r="G9" s="136">
        <v>31</v>
      </c>
      <c r="H9" s="136">
        <v>0</v>
      </c>
      <c r="I9" s="136">
        <v>336</v>
      </c>
      <c r="J9" s="136">
        <v>0</v>
      </c>
      <c r="K9" s="136">
        <v>0</v>
      </c>
      <c r="L9" s="136">
        <f>CDM!B80</f>
        <v>519421.03358425375</v>
      </c>
      <c r="M9" s="165">
        <v>25502.249999999996</v>
      </c>
      <c r="N9" s="165">
        <v>57954.283333333369</v>
      </c>
      <c r="O9" s="128">
        <v>62.6</v>
      </c>
      <c r="P9" s="127">
        <v>1.2368864578305874</v>
      </c>
      <c r="Q9" s="165">
        <v>467</v>
      </c>
      <c r="R9" s="247">
        <f t="shared" si="2"/>
        <v>51459488.774604477</v>
      </c>
      <c r="S9" s="74">
        <f t="shared" si="0"/>
        <v>1.8534649477448428E-2</v>
      </c>
      <c r="T9" s="10"/>
      <c r="U9" s="36" t="s">
        <v>32</v>
      </c>
      <c r="V9" s="56">
        <v>927780.30181233957</v>
      </c>
      <c r="AN9" s="136"/>
      <c r="AO9" s="133"/>
      <c r="AP9" s="136"/>
      <c r="AQ9" s="136"/>
      <c r="AR9" s="136"/>
      <c r="AS9" s="32"/>
    </row>
    <row r="10" spans="1:45" ht="13.8" thickBot="1" x14ac:dyDescent="0.3">
      <c r="A10" s="75">
        <v>40391</v>
      </c>
      <c r="B10" s="136">
        <f>'Power Purchases'!B94</f>
        <v>48496438.461538464</v>
      </c>
      <c r="C10" s="136">
        <f>'Power Purchases'!C94</f>
        <v>495727.59274039784</v>
      </c>
      <c r="D10" s="244">
        <f t="shared" si="1"/>
        <v>49500530.616359599</v>
      </c>
      <c r="E10" s="212">
        <v>2.1</v>
      </c>
      <c r="F10" s="212">
        <v>138.80000000000001</v>
      </c>
      <c r="G10" s="136">
        <v>31</v>
      </c>
      <c r="H10" s="136">
        <v>0</v>
      </c>
      <c r="I10" s="136">
        <v>336</v>
      </c>
      <c r="J10" s="136">
        <v>0</v>
      </c>
      <c r="K10" s="136">
        <v>0</v>
      </c>
      <c r="L10" s="136">
        <f>CDM!B81</f>
        <v>508364.56208074209</v>
      </c>
      <c r="M10" s="165">
        <v>25526.999999999989</v>
      </c>
      <c r="N10" s="165">
        <v>58016.266666666706</v>
      </c>
      <c r="O10" s="128">
        <v>63.1</v>
      </c>
      <c r="P10" s="127">
        <v>1.2412444641306315</v>
      </c>
      <c r="Q10" s="165">
        <v>432</v>
      </c>
      <c r="R10" s="247">
        <f t="shared" si="2"/>
        <v>49641995.919834711</v>
      </c>
      <c r="S10" s="74">
        <f t="shared" si="0"/>
        <v>2.3621476022507613E-2</v>
      </c>
      <c r="T10" s="10"/>
      <c r="U10" s="48" t="s">
        <v>33</v>
      </c>
      <c r="V10" s="48">
        <v>120</v>
      </c>
      <c r="AN10" s="136"/>
      <c r="AO10" s="133"/>
      <c r="AP10" s="136"/>
      <c r="AQ10" s="136"/>
      <c r="AR10" s="136"/>
      <c r="AS10" s="32"/>
    </row>
    <row r="11" spans="1:45" x14ac:dyDescent="0.25">
      <c r="A11" s="75">
        <v>40422</v>
      </c>
      <c r="B11" s="136">
        <f>'Power Purchases'!B95</f>
        <v>40569069.230769232</v>
      </c>
      <c r="C11" s="136">
        <f>'Power Purchases'!C95</f>
        <v>435946.02082563465</v>
      </c>
      <c r="D11" s="244">
        <f t="shared" si="1"/>
        <v>41502323.342172094</v>
      </c>
      <c r="E11" s="212">
        <v>78.099999999999994</v>
      </c>
      <c r="F11" s="212">
        <v>31.5</v>
      </c>
      <c r="G11" s="136">
        <v>30</v>
      </c>
      <c r="H11" s="136">
        <v>0</v>
      </c>
      <c r="I11" s="136">
        <v>336</v>
      </c>
      <c r="J11" s="136">
        <v>1</v>
      </c>
      <c r="K11" s="136">
        <v>0</v>
      </c>
      <c r="L11" s="136">
        <f>CDM!B82</f>
        <v>497308.09057723044</v>
      </c>
      <c r="M11" s="165">
        <v>25551.749999999989</v>
      </c>
      <c r="N11" s="165">
        <v>58078.250000000044</v>
      </c>
      <c r="O11" s="128">
        <v>62.8</v>
      </c>
      <c r="P11" s="127">
        <v>1.2456024704306756</v>
      </c>
      <c r="Q11" s="165">
        <v>374</v>
      </c>
      <c r="R11" s="247">
        <f t="shared" si="2"/>
        <v>41274412.128293321</v>
      </c>
      <c r="S11" s="74">
        <f t="shared" si="0"/>
        <v>1.738622331983717E-2</v>
      </c>
      <c r="T11" s="10"/>
      <c r="AN11" s="136"/>
      <c r="AO11" s="133"/>
      <c r="AP11" s="136"/>
      <c r="AQ11" s="136"/>
      <c r="AR11" s="136"/>
      <c r="AS11" s="32"/>
    </row>
    <row r="12" spans="1:45" ht="13.8" thickBot="1" x14ac:dyDescent="0.3">
      <c r="A12" s="75">
        <v>40452</v>
      </c>
      <c r="B12" s="136">
        <f>'Power Purchases'!B96</f>
        <v>40047369.230769232</v>
      </c>
      <c r="C12" s="136">
        <f>'Power Purchases'!C96</f>
        <v>417599.60493286839</v>
      </c>
      <c r="D12" s="244">
        <f t="shared" si="1"/>
        <v>40951220.454775818</v>
      </c>
      <c r="E12" s="212">
        <v>241.6</v>
      </c>
      <c r="F12" s="212">
        <v>0</v>
      </c>
      <c r="G12" s="136">
        <v>31</v>
      </c>
      <c r="H12" s="136">
        <v>0</v>
      </c>
      <c r="I12" s="136">
        <v>320</v>
      </c>
      <c r="J12" s="136">
        <v>1</v>
      </c>
      <c r="K12" s="136">
        <v>0</v>
      </c>
      <c r="L12" s="136">
        <f>CDM!B83</f>
        <v>486251.61907371879</v>
      </c>
      <c r="M12" s="165">
        <v>25576.499999999993</v>
      </c>
      <c r="N12" s="165">
        <v>58140.233333333381</v>
      </c>
      <c r="O12" s="128">
        <v>62.7</v>
      </c>
      <c r="P12" s="127">
        <v>1.2499604767307195</v>
      </c>
      <c r="Q12" s="165">
        <v>340</v>
      </c>
      <c r="R12" s="247">
        <f t="shared" si="2"/>
        <v>41427238.11696361</v>
      </c>
      <c r="S12" s="74">
        <f t="shared" si="0"/>
        <v>3.4455918396112672E-2</v>
      </c>
      <c r="T12" s="10"/>
      <c r="U12" t="s">
        <v>34</v>
      </c>
      <c r="AN12" s="136"/>
      <c r="AO12" s="133"/>
      <c r="AP12" s="136"/>
      <c r="AQ12" s="136"/>
      <c r="AR12" s="136"/>
      <c r="AS12" s="32"/>
    </row>
    <row r="13" spans="1:45" x14ac:dyDescent="0.25">
      <c r="A13" s="75">
        <v>40483</v>
      </c>
      <c r="B13" s="136">
        <f>'Power Purchases'!B97</f>
        <v>41183369.230769232</v>
      </c>
      <c r="C13" s="136">
        <f>'Power Purchases'!C97</f>
        <v>396014.95802312746</v>
      </c>
      <c r="D13" s="244">
        <f t="shared" si="1"/>
        <v>42054579.336362571</v>
      </c>
      <c r="E13" s="212">
        <v>405.3</v>
      </c>
      <c r="F13" s="212">
        <v>0</v>
      </c>
      <c r="G13" s="136">
        <v>30</v>
      </c>
      <c r="H13" s="136">
        <v>0</v>
      </c>
      <c r="I13" s="136">
        <v>336</v>
      </c>
      <c r="J13" s="136">
        <v>1</v>
      </c>
      <c r="K13" s="136">
        <v>0</v>
      </c>
      <c r="L13" s="136">
        <f>CDM!B84</f>
        <v>475195.14757020713</v>
      </c>
      <c r="M13" s="165">
        <v>25601.249999999985</v>
      </c>
      <c r="N13" s="165">
        <v>58202.216666666718</v>
      </c>
      <c r="O13" s="128">
        <v>62.3</v>
      </c>
      <c r="P13" s="127">
        <v>1.2543184830307637</v>
      </c>
      <c r="Q13" s="165">
        <v>290</v>
      </c>
      <c r="R13" s="247">
        <f t="shared" si="2"/>
        <v>42367520.923568644</v>
      </c>
      <c r="S13" s="74">
        <f t="shared" si="0"/>
        <v>2.8753152423350036E-2</v>
      </c>
      <c r="T13" s="10"/>
      <c r="U13" s="49"/>
      <c r="V13" s="49" t="s">
        <v>38</v>
      </c>
      <c r="W13" s="49" t="s">
        <v>39</v>
      </c>
      <c r="X13" s="49" t="s">
        <v>40</v>
      </c>
      <c r="Y13" s="49" t="s">
        <v>41</v>
      </c>
      <c r="Z13" s="49" t="s">
        <v>42</v>
      </c>
      <c r="AN13" s="136"/>
      <c r="AO13" s="133"/>
      <c r="AP13" s="136"/>
      <c r="AQ13" s="136"/>
      <c r="AR13" s="136"/>
      <c r="AS13" s="32"/>
    </row>
    <row r="14" spans="1:45" x14ac:dyDescent="0.25">
      <c r="A14" s="75">
        <v>40513</v>
      </c>
      <c r="B14" s="136">
        <f>'Power Purchases'!B98</f>
        <v>47278253.846153848</v>
      </c>
      <c r="C14" s="136">
        <f>'Power Purchases'!C98</f>
        <v>412417.68484660878</v>
      </c>
      <c r="D14" s="244">
        <f t="shared" si="1"/>
        <v>48154810.207067154</v>
      </c>
      <c r="E14" s="212">
        <v>676.2</v>
      </c>
      <c r="F14" s="212">
        <v>0</v>
      </c>
      <c r="G14" s="136">
        <v>31</v>
      </c>
      <c r="H14" s="136">
        <v>0</v>
      </c>
      <c r="I14" s="136">
        <v>368</v>
      </c>
      <c r="J14" s="136">
        <v>0</v>
      </c>
      <c r="K14" s="136">
        <v>0</v>
      </c>
      <c r="L14" s="136">
        <f>CDM!B85</f>
        <v>464138.67606669548</v>
      </c>
      <c r="M14" s="165">
        <v>25626</v>
      </c>
      <c r="N14" s="165">
        <v>58264.200000000012</v>
      </c>
      <c r="O14" s="128">
        <v>62.7</v>
      </c>
      <c r="P14" s="127">
        <v>1.2586764893308067</v>
      </c>
      <c r="Q14" s="165">
        <v>269</v>
      </c>
      <c r="R14" s="247">
        <f t="shared" si="2"/>
        <v>47297492.061365888</v>
      </c>
      <c r="S14" s="74">
        <f t="shared" si="0"/>
        <v>4.0691467317388466E-4</v>
      </c>
      <c r="T14" s="10"/>
      <c r="U14" s="36" t="s">
        <v>35</v>
      </c>
      <c r="V14" s="36">
        <v>7</v>
      </c>
      <c r="W14" s="36">
        <v>1292249447195234.8</v>
      </c>
      <c r="X14" s="36">
        <v>184607063885033.53</v>
      </c>
      <c r="Y14" s="54">
        <v>214.46578671623402</v>
      </c>
      <c r="Z14" s="36">
        <v>8.5170666960085204E-62</v>
      </c>
      <c r="AN14" s="136"/>
      <c r="AO14" s="133"/>
      <c r="AP14" s="136"/>
      <c r="AQ14" s="136"/>
      <c r="AR14" s="136"/>
      <c r="AS14" s="32"/>
    </row>
    <row r="15" spans="1:45" x14ac:dyDescent="0.25">
      <c r="A15" s="75">
        <v>40544</v>
      </c>
      <c r="B15" s="136">
        <f>'Power Purchases'!B99</f>
        <v>47976584.615384616</v>
      </c>
      <c r="C15" s="136">
        <f>'Power Purchases'!C99</f>
        <v>409866.33526348241</v>
      </c>
      <c r="D15" s="244">
        <f t="shared" si="1"/>
        <v>48881674.921605229</v>
      </c>
      <c r="E15" s="212">
        <v>775.3</v>
      </c>
      <c r="F15" s="212">
        <v>0</v>
      </c>
      <c r="G15" s="136">
        <v>31</v>
      </c>
      <c r="H15" s="136">
        <v>0</v>
      </c>
      <c r="I15" s="136">
        <v>336</v>
      </c>
      <c r="J15" s="136">
        <v>0</v>
      </c>
      <c r="K15" s="136">
        <v>0</v>
      </c>
      <c r="L15" s="136">
        <f>CDM!B86</f>
        <v>495223.97095713113</v>
      </c>
      <c r="M15" s="165">
        <f t="shared" ref="M15:M25" si="3">+($I$26-$I$14)/12+M14</f>
        <v>25623.333333333332</v>
      </c>
      <c r="N15" s="165">
        <v>58326.183333333342</v>
      </c>
      <c r="O15" s="128">
        <v>62.5</v>
      </c>
      <c r="P15" s="127">
        <v>1.2601856862388683</v>
      </c>
      <c r="Q15" s="165">
        <v>290</v>
      </c>
      <c r="R15" s="247">
        <f t="shared" si="2"/>
        <v>47735698.497816816</v>
      </c>
      <c r="S15" s="74">
        <f t="shared" si="0"/>
        <v>-5.0209100855952808E-3</v>
      </c>
      <c r="T15" s="10"/>
      <c r="U15" s="36" t="s">
        <v>36</v>
      </c>
      <c r="V15" s="36">
        <v>112</v>
      </c>
      <c r="W15" s="36">
        <v>96406944304271.547</v>
      </c>
      <c r="X15" s="36">
        <v>860776288430.99597</v>
      </c>
      <c r="Y15" s="54"/>
      <c r="Z15" s="54"/>
      <c r="AN15" s="136"/>
      <c r="AO15" s="133"/>
      <c r="AP15" s="136"/>
      <c r="AQ15" s="136"/>
      <c r="AR15" s="136"/>
      <c r="AS15" s="32"/>
    </row>
    <row r="16" spans="1:45" ht="13.8" thickBot="1" x14ac:dyDescent="0.3">
      <c r="A16" s="75">
        <v>40575</v>
      </c>
      <c r="B16" s="136">
        <f>'Power Purchases'!B100</f>
        <v>42881461.538461544</v>
      </c>
      <c r="C16" s="136">
        <f>'Power Purchases'!C100</f>
        <v>363500.04570849787</v>
      </c>
      <c r="D16" s="244">
        <f t="shared" si="1"/>
        <v>43771270.850017607</v>
      </c>
      <c r="E16" s="212">
        <v>654.20000000000005</v>
      </c>
      <c r="F16" s="212">
        <v>0</v>
      </c>
      <c r="G16" s="136">
        <v>28</v>
      </c>
      <c r="H16" s="136">
        <v>0</v>
      </c>
      <c r="I16" s="136">
        <v>304</v>
      </c>
      <c r="J16" s="136">
        <v>0</v>
      </c>
      <c r="K16" s="136">
        <v>0</v>
      </c>
      <c r="L16" s="136">
        <f>CDM!B87</f>
        <v>526309.26584756677</v>
      </c>
      <c r="M16" s="165">
        <f t="shared" si="3"/>
        <v>25620.666666666664</v>
      </c>
      <c r="N16" s="165">
        <v>58388.166666666672</v>
      </c>
      <c r="O16" s="128">
        <v>62.3</v>
      </c>
      <c r="P16" s="127">
        <v>1.2616948831469299</v>
      </c>
      <c r="Q16" s="165">
        <v>305</v>
      </c>
      <c r="R16" s="247">
        <f t="shared" si="2"/>
        <v>43004530.997482121</v>
      </c>
      <c r="S16" s="74">
        <f t="shared" si="0"/>
        <v>2.8699921738953101E-3</v>
      </c>
      <c r="T16" s="10"/>
      <c r="U16" s="48" t="s">
        <v>11</v>
      </c>
      <c r="V16" s="48">
        <v>119</v>
      </c>
      <c r="W16" s="48">
        <v>1388656391499506.3</v>
      </c>
      <c r="X16" s="48"/>
      <c r="Y16" s="55"/>
      <c r="Z16" s="55"/>
      <c r="AN16" s="136"/>
      <c r="AO16" s="133"/>
      <c r="AP16" s="136"/>
      <c r="AQ16" s="136"/>
      <c r="AR16" s="136"/>
      <c r="AS16" s="32"/>
    </row>
    <row r="17" spans="1:45" ht="13.8" thickBot="1" x14ac:dyDescent="0.3">
      <c r="A17" s="75">
        <v>40603</v>
      </c>
      <c r="B17" s="136">
        <f>'Power Purchases'!B101</f>
        <v>44667184.615384616</v>
      </c>
      <c r="C17" s="136">
        <f>'Power Purchases'!C101</f>
        <v>409467.10719895572</v>
      </c>
      <c r="D17" s="244">
        <f t="shared" si="1"/>
        <v>45634046.283321574</v>
      </c>
      <c r="E17" s="212">
        <v>572.79999999999995</v>
      </c>
      <c r="F17" s="212">
        <v>0</v>
      </c>
      <c r="G17" s="136">
        <v>31</v>
      </c>
      <c r="H17" s="136">
        <v>1</v>
      </c>
      <c r="I17" s="136">
        <v>368</v>
      </c>
      <c r="J17" s="136">
        <v>0</v>
      </c>
      <c r="K17" s="136">
        <v>0</v>
      </c>
      <c r="L17" s="136">
        <f>CDM!B88</f>
        <v>557394.56073800242</v>
      </c>
      <c r="M17" s="165">
        <f t="shared" si="3"/>
        <v>25617.999999999996</v>
      </c>
      <c r="N17" s="165">
        <v>58450.15</v>
      </c>
      <c r="O17" s="128">
        <v>61.6</v>
      </c>
      <c r="P17" s="127">
        <v>1.2632040800549915</v>
      </c>
      <c r="Q17" s="165">
        <v>371</v>
      </c>
      <c r="R17" s="247">
        <f t="shared" si="2"/>
        <v>44482105.180400915</v>
      </c>
      <c r="S17" s="74">
        <f t="shared" si="0"/>
        <v>-4.1435213922113648E-3</v>
      </c>
      <c r="T17" s="10"/>
      <c r="AN17" s="136"/>
      <c r="AO17" s="133"/>
      <c r="AP17" s="136"/>
      <c r="AQ17" s="136"/>
      <c r="AR17" s="136"/>
      <c r="AS17" s="32"/>
    </row>
    <row r="18" spans="1:45" x14ac:dyDescent="0.25">
      <c r="A18" s="75">
        <v>40634</v>
      </c>
      <c r="B18" s="136">
        <f>'Power Purchases'!B102</f>
        <v>39775423.07692308</v>
      </c>
      <c r="C18" s="136">
        <f>'Power Purchases'!C102</f>
        <v>398234.33380081045</v>
      </c>
      <c r="D18" s="244">
        <f t="shared" si="1"/>
        <v>40762137.266352326</v>
      </c>
      <c r="E18" s="212">
        <v>332.3</v>
      </c>
      <c r="F18" s="212">
        <v>0</v>
      </c>
      <c r="G18" s="136">
        <v>30</v>
      </c>
      <c r="H18" s="136">
        <v>1</v>
      </c>
      <c r="I18" s="136">
        <v>320</v>
      </c>
      <c r="J18" s="136">
        <v>0</v>
      </c>
      <c r="K18" s="136">
        <v>0</v>
      </c>
      <c r="L18" s="136">
        <f>CDM!B89</f>
        <v>588479.85562843806</v>
      </c>
      <c r="M18" s="165">
        <f t="shared" si="3"/>
        <v>25615.333333333328</v>
      </c>
      <c r="N18" s="165">
        <v>58512.133333333331</v>
      </c>
      <c r="O18" s="128">
        <v>61.6</v>
      </c>
      <c r="P18" s="127">
        <v>1.2647132769630531</v>
      </c>
      <c r="Q18" s="165">
        <v>405</v>
      </c>
      <c r="R18" s="247">
        <f t="shared" si="2"/>
        <v>40241154.15533971</v>
      </c>
      <c r="S18" s="74">
        <f t="shared" si="0"/>
        <v>1.1709016331917753E-2</v>
      </c>
      <c r="T18" s="10"/>
      <c r="U18" s="49"/>
      <c r="V18" s="49" t="s">
        <v>43</v>
      </c>
      <c r="W18" s="49" t="s">
        <v>32</v>
      </c>
      <c r="X18" s="49" t="s">
        <v>44</v>
      </c>
      <c r="Y18" s="49" t="s">
        <v>45</v>
      </c>
      <c r="Z18" s="49" t="s">
        <v>46</v>
      </c>
      <c r="AA18" s="49" t="s">
        <v>47</v>
      </c>
      <c r="AB18" t="s">
        <v>48</v>
      </c>
      <c r="AC18" t="s">
        <v>49</v>
      </c>
      <c r="AN18" s="136"/>
      <c r="AO18" s="133"/>
      <c r="AP18" s="136"/>
      <c r="AQ18" s="136"/>
      <c r="AR18" s="136"/>
      <c r="AS18" s="32"/>
    </row>
    <row r="19" spans="1:45" x14ac:dyDescent="0.25">
      <c r="A19" s="75">
        <v>40664</v>
      </c>
      <c r="B19" s="136">
        <f>'Power Purchases'!B103</f>
        <v>40526946.153846152</v>
      </c>
      <c r="C19" s="136">
        <f>'Power Purchases'!C103</f>
        <v>441258.10085033061</v>
      </c>
      <c r="D19" s="244">
        <f t="shared" si="1"/>
        <v>41587769.405215353</v>
      </c>
      <c r="E19" s="212">
        <v>134.1</v>
      </c>
      <c r="F19" s="212">
        <v>13</v>
      </c>
      <c r="G19" s="136">
        <v>31</v>
      </c>
      <c r="H19" s="136">
        <v>1</v>
      </c>
      <c r="I19" s="136">
        <v>336</v>
      </c>
      <c r="J19" s="136">
        <v>0</v>
      </c>
      <c r="K19" s="136">
        <v>0</v>
      </c>
      <c r="L19" s="136">
        <f>CDM!B90</f>
        <v>619565.15051887371</v>
      </c>
      <c r="M19" s="165">
        <f t="shared" si="3"/>
        <v>25612.666666666661</v>
      </c>
      <c r="N19" s="165">
        <v>58574.116666666661</v>
      </c>
      <c r="O19" s="128">
        <v>61.8</v>
      </c>
      <c r="P19" s="127">
        <v>1.2662224738711148</v>
      </c>
      <c r="Q19" s="165">
        <v>457</v>
      </c>
      <c r="R19" s="247">
        <f t="shared" si="2"/>
        <v>40419040.347269535</v>
      </c>
      <c r="S19" s="74">
        <f t="shared" si="0"/>
        <v>-2.6625693968400925E-3</v>
      </c>
      <c r="T19" s="10"/>
      <c r="U19" s="36" t="s">
        <v>37</v>
      </c>
      <c r="V19" s="56">
        <v>3541169.9673064006</v>
      </c>
      <c r="W19" s="54">
        <v>3300507.6979733324</v>
      </c>
      <c r="X19" s="54">
        <v>1.0729167423184156</v>
      </c>
      <c r="Y19" s="54">
        <v>0.28561477902912258</v>
      </c>
      <c r="Z19" s="54">
        <v>-2998362.96024023</v>
      </c>
      <c r="AA19" s="54">
        <v>10080702.894853031</v>
      </c>
      <c r="AB19">
        <v>-2998362.96024023</v>
      </c>
      <c r="AC19">
        <v>10080702.894853031</v>
      </c>
      <c r="AN19" s="136"/>
      <c r="AO19" s="133"/>
      <c r="AP19" s="136"/>
      <c r="AQ19" s="136"/>
      <c r="AR19" s="136"/>
      <c r="AS19" s="32"/>
    </row>
    <row r="20" spans="1:45" x14ac:dyDescent="0.25">
      <c r="A20" s="75">
        <v>40695</v>
      </c>
      <c r="B20" s="136">
        <f>'Power Purchases'!B104</f>
        <v>42633200.000000007</v>
      </c>
      <c r="C20" s="136">
        <f>'Power Purchases'!C104</f>
        <v>454552.97399046569</v>
      </c>
      <c r="D20" s="244">
        <f t="shared" si="1"/>
        <v>43738403.419399783</v>
      </c>
      <c r="E20" s="212">
        <v>19</v>
      </c>
      <c r="F20" s="212">
        <v>52.2</v>
      </c>
      <c r="G20" s="136">
        <v>30</v>
      </c>
      <c r="H20" s="136">
        <v>0</v>
      </c>
      <c r="I20" s="136">
        <v>352</v>
      </c>
      <c r="J20" s="136">
        <v>0</v>
      </c>
      <c r="K20" s="136">
        <v>0</v>
      </c>
      <c r="L20" s="136">
        <f>CDM!B91</f>
        <v>650650.44540930935</v>
      </c>
      <c r="M20" s="165">
        <f t="shared" si="3"/>
        <v>25609.999999999993</v>
      </c>
      <c r="N20" s="165">
        <v>58636.099999999991</v>
      </c>
      <c r="O20" s="128">
        <v>62.5</v>
      </c>
      <c r="P20" s="127">
        <v>1.2677316707791766</v>
      </c>
      <c r="Q20" s="165">
        <v>462</v>
      </c>
      <c r="R20" s="247">
        <f t="shared" si="2"/>
        <v>43065614.457221851</v>
      </c>
      <c r="S20" s="74">
        <f t="shared" si="0"/>
        <v>1.0142669497524071E-2</v>
      </c>
      <c r="T20" s="126"/>
      <c r="U20" s="36" t="s">
        <v>3</v>
      </c>
      <c r="V20" s="56">
        <v>10055.85442325381</v>
      </c>
      <c r="W20" s="54">
        <v>552.35752943981674</v>
      </c>
      <c r="X20" s="54">
        <v>18.205336013889653</v>
      </c>
      <c r="Y20" s="54">
        <v>2.965316645444547E-35</v>
      </c>
      <c r="Z20" s="54">
        <v>8961.4287826870495</v>
      </c>
      <c r="AA20" s="54">
        <v>11150.28006382057</v>
      </c>
      <c r="AB20">
        <v>8961.4287826870495</v>
      </c>
      <c r="AC20">
        <v>11150.28006382057</v>
      </c>
      <c r="AN20" s="136"/>
      <c r="AO20" s="133"/>
      <c r="AP20" s="136"/>
      <c r="AQ20" s="136"/>
      <c r="AR20" s="136"/>
      <c r="AS20" s="32"/>
    </row>
    <row r="21" spans="1:45" x14ac:dyDescent="0.25">
      <c r="A21" s="75">
        <v>40725</v>
      </c>
      <c r="B21" s="136">
        <f>'Power Purchases'!B105</f>
        <v>50774907.692307696</v>
      </c>
      <c r="C21" s="136">
        <f>'Power Purchases'!C105</f>
        <v>513592.72952427861</v>
      </c>
      <c r="D21" s="244">
        <f t="shared" si="1"/>
        <v>51970236.162131719</v>
      </c>
      <c r="E21" s="212">
        <v>0</v>
      </c>
      <c r="F21" s="212">
        <v>198.5</v>
      </c>
      <c r="G21" s="136">
        <v>31</v>
      </c>
      <c r="H21" s="136">
        <v>0</v>
      </c>
      <c r="I21" s="136">
        <v>320</v>
      </c>
      <c r="J21" s="136">
        <v>0</v>
      </c>
      <c r="K21" s="136">
        <v>0</v>
      </c>
      <c r="L21" s="136">
        <f>CDM!B92</f>
        <v>681735.740299745</v>
      </c>
      <c r="M21" s="165">
        <f t="shared" si="3"/>
        <v>25607.333333333325</v>
      </c>
      <c r="N21" s="165">
        <v>58698.083333333321</v>
      </c>
      <c r="O21" s="128">
        <v>62.5</v>
      </c>
      <c r="P21" s="127">
        <v>1.2692408676872382</v>
      </c>
      <c r="Q21" s="165">
        <v>467</v>
      </c>
      <c r="R21" s="247">
        <f t="shared" si="2"/>
        <v>53505868.42501007</v>
      </c>
      <c r="S21" s="74">
        <f t="shared" si="0"/>
        <v>5.378563658356212E-2</v>
      </c>
      <c r="T21" s="126"/>
      <c r="U21" s="36" t="s">
        <v>4</v>
      </c>
      <c r="V21" s="56">
        <v>69751.326095660916</v>
      </c>
      <c r="W21" s="54">
        <v>3034.783901078662</v>
      </c>
      <c r="X21" s="54">
        <v>22.983951533046223</v>
      </c>
      <c r="Y21" s="54">
        <v>3.2922080856985317E-44</v>
      </c>
      <c r="Z21" s="54">
        <v>63738.290809823302</v>
      </c>
      <c r="AA21" s="54">
        <v>75764.361381498529</v>
      </c>
      <c r="AB21">
        <v>63738.290809823302</v>
      </c>
      <c r="AC21">
        <v>75764.361381498529</v>
      </c>
      <c r="AN21" s="136"/>
      <c r="AO21" s="133"/>
      <c r="AP21" s="136"/>
      <c r="AQ21" s="136"/>
      <c r="AR21" s="136"/>
      <c r="AS21" s="32"/>
    </row>
    <row r="22" spans="1:45" x14ac:dyDescent="0.25">
      <c r="A22" s="75">
        <v>40756</v>
      </c>
      <c r="B22" s="136">
        <f>'Power Purchases'!B106</f>
        <v>46905930.769230768</v>
      </c>
      <c r="C22" s="136">
        <f>'Power Purchases'!C106</f>
        <v>487906.16441607528</v>
      </c>
      <c r="D22" s="244">
        <f t="shared" si="1"/>
        <v>48106657.968837023</v>
      </c>
      <c r="E22" s="212">
        <v>0</v>
      </c>
      <c r="F22" s="212">
        <v>122.2</v>
      </c>
      <c r="G22" s="136">
        <v>31</v>
      </c>
      <c r="H22" s="136">
        <v>0</v>
      </c>
      <c r="I22" s="136">
        <v>352</v>
      </c>
      <c r="J22" s="136">
        <v>0</v>
      </c>
      <c r="K22" s="136">
        <v>0</v>
      </c>
      <c r="L22" s="136">
        <f>CDM!B93</f>
        <v>712821.03519018064</v>
      </c>
      <c r="M22" s="165">
        <f t="shared" si="3"/>
        <v>25604.666666666657</v>
      </c>
      <c r="N22" s="165">
        <v>58760.066666666651</v>
      </c>
      <c r="O22" s="128">
        <v>62.6</v>
      </c>
      <c r="P22" s="127">
        <v>1.2707500645952998</v>
      </c>
      <c r="Q22" s="165">
        <v>432</v>
      </c>
      <c r="R22" s="247">
        <f t="shared" si="2"/>
        <v>48742170.980804674</v>
      </c>
      <c r="S22" s="74">
        <f t="shared" si="0"/>
        <v>3.9147292921398298E-2</v>
      </c>
      <c r="T22" s="126"/>
      <c r="U22" s="36" t="s">
        <v>5</v>
      </c>
      <c r="V22" s="56">
        <v>985024.93092837767</v>
      </c>
      <c r="W22" s="54">
        <v>124471.15102814436</v>
      </c>
      <c r="X22" s="54">
        <v>7.9136805821427023</v>
      </c>
      <c r="Y22" s="54">
        <v>1.952235094249321E-12</v>
      </c>
      <c r="Z22" s="54">
        <v>738401.30051600083</v>
      </c>
      <c r="AA22" s="54">
        <v>1231648.5613407544</v>
      </c>
      <c r="AB22">
        <v>738401.30051600083</v>
      </c>
      <c r="AC22">
        <v>1231648.5613407544</v>
      </c>
      <c r="AN22" s="136"/>
      <c r="AO22" s="133"/>
      <c r="AP22" s="136"/>
      <c r="AQ22" s="136"/>
      <c r="AR22" s="136"/>
      <c r="AS22" s="32"/>
    </row>
    <row r="23" spans="1:45" x14ac:dyDescent="0.25">
      <c r="A23" s="75">
        <v>40787</v>
      </c>
      <c r="B23" s="136">
        <f>'Power Purchases'!B107</f>
        <v>40614553.846153848</v>
      </c>
      <c r="C23" s="136">
        <f>'Power Purchases'!C107</f>
        <v>440052.60567287955</v>
      </c>
      <c r="D23" s="244">
        <f t="shared" si="1"/>
        <v>41798512.781907342</v>
      </c>
      <c r="E23" s="212">
        <v>48.2</v>
      </c>
      <c r="F23" s="212">
        <v>39.700000000000003</v>
      </c>
      <c r="G23" s="136">
        <v>30</v>
      </c>
      <c r="H23" s="136">
        <v>0</v>
      </c>
      <c r="I23" s="136">
        <v>336</v>
      </c>
      <c r="J23" s="136">
        <v>1</v>
      </c>
      <c r="K23" s="136">
        <v>0</v>
      </c>
      <c r="L23" s="136">
        <f>CDM!B94</f>
        <v>743906.33008061629</v>
      </c>
      <c r="M23" s="165">
        <f t="shared" si="3"/>
        <v>25601.999999999989</v>
      </c>
      <c r="N23" s="165">
        <v>58822.049999999981</v>
      </c>
      <c r="O23" s="128">
        <v>62.1</v>
      </c>
      <c r="P23" s="127">
        <v>1.2722592615033614</v>
      </c>
      <c r="Q23" s="165">
        <v>374</v>
      </c>
      <c r="R23" s="247">
        <f t="shared" si="2"/>
        <v>41545702.955022447</v>
      </c>
      <c r="S23" s="74">
        <f t="shared" si="0"/>
        <v>2.2926488676836165E-2</v>
      </c>
      <c r="T23" s="126"/>
      <c r="U23" s="36" t="s">
        <v>117</v>
      </c>
      <c r="V23" s="56">
        <v>-1775611.5336005297</v>
      </c>
      <c r="W23" s="54">
        <v>255665.35302581461</v>
      </c>
      <c r="X23" s="54">
        <v>-6.945061239569859</v>
      </c>
      <c r="Y23" s="54">
        <v>2.6217221039238543E-10</v>
      </c>
      <c r="Z23" s="54">
        <v>-2282179.6581262788</v>
      </c>
      <c r="AA23" s="54">
        <v>-1269043.4090747805</v>
      </c>
      <c r="AB23">
        <v>-2282179.6581262788</v>
      </c>
      <c r="AC23">
        <v>-1269043.4090747805</v>
      </c>
      <c r="AN23" s="136"/>
      <c r="AO23" s="133"/>
      <c r="AP23" s="136"/>
      <c r="AQ23" s="136"/>
      <c r="AR23" s="136"/>
      <c r="AS23" s="32"/>
    </row>
    <row r="24" spans="1:45" x14ac:dyDescent="0.25">
      <c r="A24" s="75">
        <v>40817</v>
      </c>
      <c r="B24" s="136">
        <f>'Power Purchases'!B108</f>
        <v>40718976.92307692</v>
      </c>
      <c r="C24" s="136">
        <f>'Power Purchases'!C108</f>
        <v>412627.66270979168</v>
      </c>
      <c r="D24" s="244">
        <f t="shared" si="1"/>
        <v>41906596.21075777</v>
      </c>
      <c r="E24" s="212">
        <v>235.5</v>
      </c>
      <c r="F24" s="212">
        <v>2.4</v>
      </c>
      <c r="G24" s="136">
        <v>31</v>
      </c>
      <c r="H24" s="136">
        <v>0</v>
      </c>
      <c r="I24" s="136">
        <v>320</v>
      </c>
      <c r="J24" s="136">
        <v>1</v>
      </c>
      <c r="K24" s="136">
        <v>0</v>
      </c>
      <c r="L24" s="136">
        <f>CDM!B95</f>
        <v>774991.62497105193</v>
      </c>
      <c r="M24" s="165">
        <f t="shared" si="3"/>
        <v>25599.333333333321</v>
      </c>
      <c r="N24" s="165">
        <v>58884.033333333311</v>
      </c>
      <c r="O24" s="128">
        <v>61.8</v>
      </c>
      <c r="P24" s="127">
        <v>1.2737684584114231</v>
      </c>
      <c r="Q24" s="165">
        <v>340</v>
      </c>
      <c r="R24" s="247">
        <f t="shared" si="2"/>
        <v>41533300.587611347</v>
      </c>
      <c r="S24" s="74">
        <f t="shared" si="0"/>
        <v>1.9998627816037305E-2</v>
      </c>
      <c r="T24" s="126"/>
      <c r="U24" s="36" t="s">
        <v>6</v>
      </c>
      <c r="V24" s="56">
        <v>17447.773027922718</v>
      </c>
      <c r="W24" s="54">
        <v>5862.3592652556772</v>
      </c>
      <c r="X24" s="54">
        <v>2.9762374222491057</v>
      </c>
      <c r="Y24" s="54">
        <v>3.5761247230846845E-3</v>
      </c>
      <c r="Z24" s="54">
        <v>5832.2596110661671</v>
      </c>
      <c r="AA24" s="54">
        <v>29063.286444779267</v>
      </c>
      <c r="AB24">
        <v>5832.2596110661671</v>
      </c>
      <c r="AC24">
        <v>29063.286444779267</v>
      </c>
      <c r="AN24" s="136"/>
      <c r="AO24" s="133"/>
      <c r="AP24" s="136"/>
      <c r="AQ24" s="136"/>
      <c r="AR24" s="136"/>
      <c r="AS24" s="32"/>
    </row>
    <row r="25" spans="1:45" x14ac:dyDescent="0.25">
      <c r="A25" s="75">
        <v>40848</v>
      </c>
      <c r="B25" s="136">
        <f>'Power Purchases'!B109</f>
        <v>41046292.307692297</v>
      </c>
      <c r="C25" s="136">
        <f>'Power Purchases'!C109</f>
        <v>382853.63867137313</v>
      </c>
      <c r="D25" s="244">
        <f t="shared" si="1"/>
        <v>42235222.866225161</v>
      </c>
      <c r="E25" s="212">
        <v>341.9</v>
      </c>
      <c r="F25" s="212">
        <v>0</v>
      </c>
      <c r="G25" s="136">
        <v>30</v>
      </c>
      <c r="H25" s="136">
        <v>0</v>
      </c>
      <c r="I25" s="136">
        <v>352</v>
      </c>
      <c r="J25" s="136">
        <v>1</v>
      </c>
      <c r="K25" s="136">
        <v>0</v>
      </c>
      <c r="L25" s="136">
        <f>CDM!B96</f>
        <v>806076.91986148758</v>
      </c>
      <c r="M25" s="165">
        <f t="shared" si="3"/>
        <v>25596.666666666653</v>
      </c>
      <c r="N25" s="165">
        <v>58946.016666666641</v>
      </c>
      <c r="O25" s="128">
        <v>61.3</v>
      </c>
      <c r="P25" s="127">
        <v>1.2752776553194847</v>
      </c>
      <c r="Q25" s="165">
        <v>290</v>
      </c>
      <c r="R25" s="247">
        <f t="shared" si="2"/>
        <v>42009144.121581122</v>
      </c>
      <c r="S25" s="74">
        <f t="shared" si="0"/>
        <v>2.3457704941315292E-2</v>
      </c>
      <c r="T25" s="126"/>
      <c r="U25" s="36" t="s">
        <v>118</v>
      </c>
      <c r="V25" s="56">
        <v>-662486.50671588618</v>
      </c>
      <c r="W25" s="54">
        <v>259855.13854269322</v>
      </c>
      <c r="X25" s="54">
        <v>-2.5494454734711436</v>
      </c>
      <c r="Y25" s="54">
        <v>1.2141705360736596E-2</v>
      </c>
      <c r="Z25" s="54">
        <v>-1177356.1541751553</v>
      </c>
      <c r="AA25" s="54">
        <v>-147616.85925661691</v>
      </c>
      <c r="AB25">
        <v>-1177356.1541751553</v>
      </c>
      <c r="AC25">
        <v>-147616.85925661691</v>
      </c>
      <c r="AN25" s="136"/>
      <c r="AO25" s="133"/>
      <c r="AP25" s="136"/>
      <c r="AQ25" s="136"/>
      <c r="AR25" s="136"/>
      <c r="AS25" s="32"/>
    </row>
    <row r="26" spans="1:45" x14ac:dyDescent="0.25">
      <c r="A26" s="75">
        <v>40878</v>
      </c>
      <c r="B26" s="136">
        <f>'Power Purchases'!B110</f>
        <v>40718976.92307692</v>
      </c>
      <c r="C26" s="136">
        <f>'Power Purchases'!C110</f>
        <v>390709.75267158</v>
      </c>
      <c r="D26" s="244">
        <f t="shared" si="1"/>
        <v>41946848.890500419</v>
      </c>
      <c r="E26" s="212">
        <v>534</v>
      </c>
      <c r="F26" s="212">
        <v>0</v>
      </c>
      <c r="G26" s="136">
        <v>31</v>
      </c>
      <c r="H26" s="136">
        <v>0</v>
      </c>
      <c r="I26" s="136">
        <v>336</v>
      </c>
      <c r="J26" s="136">
        <v>0</v>
      </c>
      <c r="K26" s="136">
        <v>0</v>
      </c>
      <c r="L26" s="136">
        <f>CDM!B97</f>
        <v>837162.21475192322</v>
      </c>
      <c r="M26" s="165">
        <f>+'Rate Class Customer Model'!I4</f>
        <v>25704</v>
      </c>
      <c r="N26" s="165">
        <v>59008</v>
      </c>
      <c r="O26" s="128">
        <v>61.2</v>
      </c>
      <c r="P26" s="127">
        <v>1.2767868522275454</v>
      </c>
      <c r="Q26" s="165">
        <v>269</v>
      </c>
      <c r="R26" s="247">
        <f t="shared" si="2"/>
        <v>45309220.825485669</v>
      </c>
      <c r="S26" s="74">
        <f t="shared" si="0"/>
        <v>0.11272984365693361</v>
      </c>
      <c r="T26" s="126"/>
      <c r="U26" s="36" t="s">
        <v>119</v>
      </c>
      <c r="V26" s="56">
        <v>1220919.143460768</v>
      </c>
      <c r="W26" s="54">
        <v>177787.91713214325</v>
      </c>
      <c r="X26" s="54">
        <v>6.8672785145084045</v>
      </c>
      <c r="Y26" s="54">
        <v>3.8499092878724702E-10</v>
      </c>
      <c r="Z26" s="54">
        <v>868655.17542957561</v>
      </c>
      <c r="AA26" s="54">
        <v>1573183.1114919605</v>
      </c>
      <c r="AB26">
        <v>868655.17542957561</v>
      </c>
      <c r="AC26">
        <v>1573183.1114919605</v>
      </c>
      <c r="AN26" s="136"/>
      <c r="AO26" s="133"/>
      <c r="AP26" s="136"/>
      <c r="AQ26" s="136"/>
      <c r="AR26" s="136"/>
      <c r="AS26" s="32"/>
    </row>
    <row r="27" spans="1:45" ht="13.8" thickBot="1" x14ac:dyDescent="0.3">
      <c r="A27" s="75">
        <v>40909</v>
      </c>
      <c r="B27" s="136">
        <f>'Power Purchases'!B111</f>
        <v>45302407.692307696</v>
      </c>
      <c r="C27" s="136">
        <f>'Power Purchases'!C111</f>
        <v>385215.52071866905</v>
      </c>
      <c r="D27" s="244">
        <f t="shared" si="1"/>
        <v>46525102.535699487</v>
      </c>
      <c r="E27" s="212">
        <v>611.1</v>
      </c>
      <c r="F27" s="212">
        <v>0</v>
      </c>
      <c r="G27" s="136">
        <v>31</v>
      </c>
      <c r="H27" s="136">
        <v>0</v>
      </c>
      <c r="I27" s="136">
        <v>352</v>
      </c>
      <c r="J27" s="136">
        <v>0</v>
      </c>
      <c r="K27" s="136">
        <v>0</v>
      </c>
      <c r="L27" s="136">
        <f>CDM!B98</f>
        <v>837479.32267312123</v>
      </c>
      <c r="M27" s="165">
        <f t="shared" ref="M27:M37" si="4">+($M$38-$M$26)/12+M26</f>
        <v>25715.083333333332</v>
      </c>
      <c r="N27" s="165">
        <v>59099.2990228013</v>
      </c>
      <c r="O27" s="128">
        <v>60.8</v>
      </c>
      <c r="P27" s="127">
        <v>1.2782847318999095</v>
      </c>
      <c r="Q27" s="165">
        <v>290</v>
      </c>
      <c r="R27" s="247">
        <f t="shared" si="2"/>
        <v>46363691.56996531</v>
      </c>
      <c r="S27" s="74">
        <f t="shared" si="0"/>
        <v>2.3426655043719002E-2</v>
      </c>
      <c r="T27" s="126"/>
      <c r="U27" s="48"/>
      <c r="V27" s="232"/>
      <c r="W27" s="55"/>
      <c r="X27" s="55"/>
      <c r="Y27" s="55"/>
      <c r="Z27" s="55"/>
      <c r="AA27" s="55"/>
      <c r="AN27" s="136"/>
      <c r="AO27" s="133"/>
      <c r="AP27" s="136"/>
      <c r="AQ27" s="136"/>
      <c r="AR27" s="136"/>
      <c r="AS27" s="32"/>
    </row>
    <row r="28" spans="1:45" x14ac:dyDescent="0.25">
      <c r="A28" s="75">
        <v>40940</v>
      </c>
      <c r="B28" s="136">
        <f>'Power Purchases'!B112</f>
        <v>41258776.923076928</v>
      </c>
      <c r="C28" s="136">
        <f>'Power Purchases'!C112</f>
        <v>339299.37667020387</v>
      </c>
      <c r="D28" s="244">
        <f t="shared" si="1"/>
        <v>42435872.730341449</v>
      </c>
      <c r="E28" s="212">
        <v>531.70000000000005</v>
      </c>
      <c r="F28" s="212">
        <v>0</v>
      </c>
      <c r="G28" s="136">
        <v>29</v>
      </c>
      <c r="H28" s="136">
        <v>0</v>
      </c>
      <c r="I28" s="136">
        <v>320</v>
      </c>
      <c r="J28" s="136">
        <v>0</v>
      </c>
      <c r="K28" s="136">
        <v>0</v>
      </c>
      <c r="L28" s="136">
        <f>CDM!B99</f>
        <v>837796.43059431924</v>
      </c>
      <c r="M28" s="165">
        <f t="shared" si="4"/>
        <v>25726.166666666664</v>
      </c>
      <c r="N28" s="165">
        <v>59190.598045602601</v>
      </c>
      <c r="O28" s="128">
        <v>60.4</v>
      </c>
      <c r="P28" s="127">
        <v>1.2797826115722737</v>
      </c>
      <c r="Q28" s="165">
        <v>305</v>
      </c>
      <c r="R28" s="247">
        <f t="shared" si="2"/>
        <v>43036878.130008675</v>
      </c>
      <c r="S28" s="74">
        <f t="shared" si="0"/>
        <v>4.3096314033904792E-2</v>
      </c>
      <c r="T28" s="126"/>
      <c r="AN28" s="136"/>
      <c r="AO28" s="133"/>
      <c r="AP28" s="136"/>
      <c r="AQ28" s="136"/>
      <c r="AR28" s="136"/>
      <c r="AS28" s="32"/>
    </row>
    <row r="29" spans="1:45" ht="12.75" customHeight="1" x14ac:dyDescent="0.25">
      <c r="A29" s="75">
        <v>40969</v>
      </c>
      <c r="B29" s="136">
        <f>'Power Purchases'!B113</f>
        <v>40820361.538461544</v>
      </c>
      <c r="C29" s="136">
        <f>'Power Purchases'!C113</f>
        <v>378123.30557880283</v>
      </c>
      <c r="D29" s="244">
        <f t="shared" si="1"/>
        <v>42036598.382555865</v>
      </c>
      <c r="E29" s="212">
        <v>349.4</v>
      </c>
      <c r="F29" s="212">
        <v>0.2</v>
      </c>
      <c r="G29" s="136">
        <v>31</v>
      </c>
      <c r="H29" s="136">
        <v>1</v>
      </c>
      <c r="I29" s="136">
        <v>352</v>
      </c>
      <c r="J29" s="136">
        <v>0</v>
      </c>
      <c r="K29" s="136">
        <v>0</v>
      </c>
      <c r="L29" s="136">
        <f>CDM!B100</f>
        <v>838113.53851551726</v>
      </c>
      <c r="M29" s="165">
        <f t="shared" si="4"/>
        <v>25737.249999999996</v>
      </c>
      <c r="N29" s="165">
        <v>59281.897068403901</v>
      </c>
      <c r="O29" s="128">
        <v>60.2</v>
      </c>
      <c r="P29" s="127">
        <v>1.2812804912446381</v>
      </c>
      <c r="Q29" s="165">
        <v>371</v>
      </c>
      <c r="R29" s="247">
        <f t="shared" si="2"/>
        <v>41970413.199018389</v>
      </c>
      <c r="S29" s="74">
        <f t="shared" si="0"/>
        <v>2.8173480518374386E-2</v>
      </c>
      <c r="T29" s="126"/>
      <c r="U29" t="s">
        <v>27</v>
      </c>
      <c r="AN29" s="136"/>
      <c r="AO29" s="133"/>
      <c r="AP29" s="136"/>
      <c r="AQ29" s="136"/>
      <c r="AR29" s="136"/>
      <c r="AS29" s="32"/>
    </row>
    <row r="30" spans="1:45" ht="12.75" customHeight="1" thickBot="1" x14ac:dyDescent="0.3">
      <c r="A30" s="75">
        <v>41000</v>
      </c>
      <c r="B30" s="136">
        <f>'Power Purchases'!B114</f>
        <v>38841930.769230776</v>
      </c>
      <c r="C30" s="136">
        <f>'Power Purchases'!C114</f>
        <v>358426.38987779547</v>
      </c>
      <c r="D30" s="244">
        <f t="shared" si="1"/>
        <v>40038787.805545285</v>
      </c>
      <c r="E30" s="212">
        <v>321.7</v>
      </c>
      <c r="F30" s="212">
        <v>0</v>
      </c>
      <c r="G30" s="136">
        <v>30</v>
      </c>
      <c r="H30" s="136">
        <v>1</v>
      </c>
      <c r="I30" s="136">
        <v>320</v>
      </c>
      <c r="J30" s="136">
        <v>0</v>
      </c>
      <c r="K30" s="136">
        <v>0</v>
      </c>
      <c r="L30" s="136">
        <f>CDM!B101</f>
        <v>838430.64643671527</v>
      </c>
      <c r="M30" s="165">
        <f t="shared" si="4"/>
        <v>25748.333333333328</v>
      </c>
      <c r="N30" s="165">
        <v>59373.196091205202</v>
      </c>
      <c r="O30" s="128">
        <v>60.4</v>
      </c>
      <c r="P30" s="127">
        <v>1.2827783709170022</v>
      </c>
      <c r="Q30" s="165">
        <v>405</v>
      </c>
      <c r="R30" s="247">
        <f t="shared" si="2"/>
        <v>40134562.098453224</v>
      </c>
      <c r="S30" s="74">
        <f t="shared" si="0"/>
        <v>3.3279275865617519E-2</v>
      </c>
      <c r="T30"/>
      <c r="AN30" s="136"/>
      <c r="AO30" s="133"/>
      <c r="AP30" s="136"/>
      <c r="AQ30" s="136"/>
      <c r="AR30" s="136"/>
      <c r="AS30" s="32"/>
    </row>
    <row r="31" spans="1:45" x14ac:dyDescent="0.25">
      <c r="A31" s="75">
        <v>41030</v>
      </c>
      <c r="B31" s="136">
        <f>'Power Purchases'!B115</f>
        <v>40032218.18181818</v>
      </c>
      <c r="C31" s="136">
        <f>'Power Purchases'!C115</f>
        <v>410296.94373716693</v>
      </c>
      <c r="D31" s="244">
        <f t="shared" si="1"/>
        <v>41281262.879913256</v>
      </c>
      <c r="E31" s="212">
        <v>80.7</v>
      </c>
      <c r="F31" s="212">
        <v>36.700000000000003</v>
      </c>
      <c r="G31" s="136">
        <v>31</v>
      </c>
      <c r="H31" s="136">
        <v>1</v>
      </c>
      <c r="I31" s="136">
        <v>352</v>
      </c>
      <c r="J31" s="136">
        <v>0</v>
      </c>
      <c r="K31" s="136">
        <v>0</v>
      </c>
      <c r="L31" s="136">
        <f>CDM!B102</f>
        <v>838747.75435791328</v>
      </c>
      <c r="M31" s="165">
        <f t="shared" si="4"/>
        <v>25759.416666666661</v>
      </c>
      <c r="N31" s="165">
        <v>59464.495114006502</v>
      </c>
      <c r="O31" s="128">
        <v>60.8</v>
      </c>
      <c r="P31" s="127">
        <v>1.2842762505893663</v>
      </c>
      <c r="Q31" s="165">
        <v>457</v>
      </c>
      <c r="R31" s="247">
        <f t="shared" si="2"/>
        <v>41814328.517981716</v>
      </c>
      <c r="S31" s="74">
        <f t="shared" si="0"/>
        <v>4.4516902062972222E-2</v>
      </c>
      <c r="T31"/>
      <c r="U31" s="50" t="s">
        <v>28</v>
      </c>
      <c r="V31" s="50"/>
      <c r="AN31" s="136"/>
      <c r="AO31" s="133"/>
      <c r="AP31" s="136"/>
      <c r="AQ31" s="136"/>
      <c r="AR31" s="136"/>
      <c r="AS31" s="32"/>
    </row>
    <row r="32" spans="1:45" x14ac:dyDescent="0.25">
      <c r="A32" s="75">
        <v>41061</v>
      </c>
      <c r="B32" s="136">
        <f>'Power Purchases'!B116</f>
        <v>45247672.727272727</v>
      </c>
      <c r="C32" s="136">
        <f>'Power Purchases'!C116</f>
        <v>427929.35551841708</v>
      </c>
      <c r="D32" s="244">
        <f t="shared" si="1"/>
        <v>46514666.945070252</v>
      </c>
      <c r="E32" s="212">
        <v>23.2</v>
      </c>
      <c r="F32" s="212">
        <v>101.6</v>
      </c>
      <c r="G32" s="136">
        <v>30</v>
      </c>
      <c r="H32" s="136">
        <v>0</v>
      </c>
      <c r="I32" s="136">
        <v>336</v>
      </c>
      <c r="J32" s="136">
        <v>0</v>
      </c>
      <c r="K32" s="136">
        <v>0</v>
      </c>
      <c r="L32" s="136">
        <f>CDM!B103</f>
        <v>839064.86227911129</v>
      </c>
      <c r="M32" s="165">
        <f t="shared" si="4"/>
        <v>25770.499999999993</v>
      </c>
      <c r="N32" s="165">
        <v>59555.794136807803</v>
      </c>
      <c r="O32" s="128">
        <v>61.3</v>
      </c>
      <c r="P32" s="127">
        <v>1.2857741302617307</v>
      </c>
      <c r="Q32" s="165">
        <v>462</v>
      </c>
      <c r="R32" s="247">
        <f t="shared" si="2"/>
        <v>46274400.186478399</v>
      </c>
      <c r="S32" s="74">
        <f t="shared" si="0"/>
        <v>2.2691276640772272E-2</v>
      </c>
      <c r="T32"/>
      <c r="U32" s="36" t="s">
        <v>29</v>
      </c>
      <c r="V32" s="36">
        <v>0.96801963975304006</v>
      </c>
      <c r="AN32" s="136"/>
      <c r="AO32" s="133"/>
      <c r="AP32" s="136"/>
      <c r="AQ32" s="136"/>
      <c r="AR32" s="136"/>
      <c r="AS32" s="32"/>
    </row>
    <row r="33" spans="1:45" x14ac:dyDescent="0.25">
      <c r="A33" s="75">
        <v>41091</v>
      </c>
      <c r="B33" s="136">
        <f>'Power Purchases'!B117</f>
        <v>51327900</v>
      </c>
      <c r="C33" s="136">
        <f>'Power Purchases'!C117</f>
        <v>403078.17882056732</v>
      </c>
      <c r="D33" s="244">
        <f t="shared" si="1"/>
        <v>52570360.149020873</v>
      </c>
      <c r="E33" s="212">
        <v>0</v>
      </c>
      <c r="F33" s="212">
        <v>195.4</v>
      </c>
      <c r="G33" s="136">
        <v>31</v>
      </c>
      <c r="H33" s="136">
        <v>0</v>
      </c>
      <c r="I33" s="136">
        <v>336</v>
      </c>
      <c r="J33" s="136">
        <v>0</v>
      </c>
      <c r="K33" s="136">
        <v>0</v>
      </c>
      <c r="L33" s="136">
        <f>CDM!B104</f>
        <v>839381.9702003093</v>
      </c>
      <c r="M33" s="165">
        <f t="shared" si="4"/>
        <v>25781.583333333325</v>
      </c>
      <c r="N33" s="165">
        <v>59647.093159609103</v>
      </c>
      <c r="O33" s="128">
        <v>61.7</v>
      </c>
      <c r="P33" s="127">
        <v>1.2872720099340949</v>
      </c>
      <c r="Q33" s="165">
        <v>467</v>
      </c>
      <c r="R33" s="247">
        <f t="shared" si="2"/>
        <v>53568803.682560287</v>
      </c>
      <c r="S33" s="74">
        <f t="shared" si="0"/>
        <v>4.3658588848565542E-2</v>
      </c>
      <c r="T33"/>
      <c r="U33" s="36" t="s">
        <v>30</v>
      </c>
      <c r="V33" s="36">
        <v>0.93706202294760554</v>
      </c>
      <c r="AN33" s="136"/>
      <c r="AO33" s="133"/>
      <c r="AP33" s="136"/>
      <c r="AQ33" s="136"/>
      <c r="AR33" s="136"/>
      <c r="AS33" s="32"/>
    </row>
    <row r="34" spans="1:45" x14ac:dyDescent="0.25">
      <c r="A34" s="75">
        <v>41122</v>
      </c>
      <c r="B34" s="136">
        <f>'Power Purchases'!B118</f>
        <v>45780536.36363636</v>
      </c>
      <c r="C34" s="136">
        <f>'Power Purchases'!C118</f>
        <v>538169.78510818677</v>
      </c>
      <c r="D34" s="244">
        <f t="shared" si="1"/>
        <v>47158405.226866052</v>
      </c>
      <c r="E34" s="212">
        <v>2</v>
      </c>
      <c r="F34" s="212">
        <v>112.1</v>
      </c>
      <c r="G34" s="136">
        <v>31</v>
      </c>
      <c r="H34" s="136">
        <v>0</v>
      </c>
      <c r="I34" s="136">
        <v>352</v>
      </c>
      <c r="J34" s="136">
        <v>0</v>
      </c>
      <c r="K34" s="136">
        <v>0</v>
      </c>
      <c r="L34" s="136">
        <f>CDM!B105</f>
        <v>839699.07812150731</v>
      </c>
      <c r="M34" s="165">
        <f t="shared" si="4"/>
        <v>25792.666666666657</v>
      </c>
      <c r="N34" s="165">
        <v>59738.392182410404</v>
      </c>
      <c r="O34" s="128">
        <v>62.1</v>
      </c>
      <c r="P34" s="127">
        <v>1.288769889606459</v>
      </c>
      <c r="Q34" s="165">
        <v>432</v>
      </c>
      <c r="R34" s="247">
        <f t="shared" si="2"/>
        <v>48057794.296085</v>
      </c>
      <c r="S34" s="74">
        <f t="shared" si="0"/>
        <v>4.9742928181537742E-2</v>
      </c>
      <c r="T34"/>
      <c r="U34" s="36" t="s">
        <v>31</v>
      </c>
      <c r="V34" s="36">
        <v>0.93252595252941495</v>
      </c>
      <c r="AN34" s="136"/>
      <c r="AO34" s="133"/>
      <c r="AP34" s="136"/>
      <c r="AQ34" s="136"/>
      <c r="AR34" s="136"/>
      <c r="AS34" s="32"/>
    </row>
    <row r="35" spans="1:45" x14ac:dyDescent="0.25">
      <c r="A35" s="75">
        <v>41153</v>
      </c>
      <c r="B35" s="136">
        <f>'Power Purchases'!B119</f>
        <v>39949536.36363636</v>
      </c>
      <c r="C35" s="136">
        <f>'Power Purchases'!C119</f>
        <v>400179.9868515447</v>
      </c>
      <c r="D35" s="244">
        <f t="shared" si="1"/>
        <v>41189732.536530606</v>
      </c>
      <c r="E35" s="212">
        <v>85</v>
      </c>
      <c r="F35" s="212">
        <v>35.6</v>
      </c>
      <c r="G35" s="136">
        <v>30</v>
      </c>
      <c r="H35" s="136">
        <v>0</v>
      </c>
      <c r="I35" s="136">
        <v>304</v>
      </c>
      <c r="J35" s="136">
        <v>1</v>
      </c>
      <c r="K35" s="136">
        <v>0</v>
      </c>
      <c r="L35" s="136">
        <f>CDM!B106</f>
        <v>840016.18604270532</v>
      </c>
      <c r="M35" s="165">
        <f t="shared" si="4"/>
        <v>25803.749999999989</v>
      </c>
      <c r="N35" s="165">
        <v>59829.691205211704</v>
      </c>
      <c r="O35" s="128">
        <v>62.1</v>
      </c>
      <c r="P35" s="127">
        <v>1.2902677692788231</v>
      </c>
      <c r="Q35" s="165">
        <v>374</v>
      </c>
      <c r="R35" s="247">
        <f t="shared" si="2"/>
        <v>41071449.223912455</v>
      </c>
      <c r="S35" s="74">
        <f t="shared" ref="S35:S66" si="5">+(R35-B35)/B35</f>
        <v>2.8083251081164107E-2</v>
      </c>
      <c r="T35"/>
      <c r="U35" s="36" t="s">
        <v>32</v>
      </c>
      <c r="V35" s="36">
        <v>889358.00562395947</v>
      </c>
      <c r="AN35" s="136"/>
      <c r="AO35" s="133"/>
      <c r="AP35" s="136"/>
      <c r="AQ35" s="136"/>
      <c r="AR35" s="136"/>
      <c r="AS35" s="32"/>
    </row>
    <row r="36" spans="1:45" ht="13.8" thickBot="1" x14ac:dyDescent="0.3">
      <c r="A36" s="75">
        <v>41183</v>
      </c>
      <c r="B36" s="136">
        <f>'Power Purchases'!B120</f>
        <v>40186490.909090906</v>
      </c>
      <c r="C36" s="136">
        <f>'Power Purchases'!C120</f>
        <v>386890.96951008902</v>
      </c>
      <c r="D36" s="244">
        <f t="shared" si="1"/>
        <v>41413715.172564894</v>
      </c>
      <c r="E36" s="212">
        <v>242.5</v>
      </c>
      <c r="F36" s="212">
        <v>1.1000000000000001</v>
      </c>
      <c r="G36" s="136">
        <v>31</v>
      </c>
      <c r="H36" s="136">
        <v>0</v>
      </c>
      <c r="I36" s="136">
        <v>352</v>
      </c>
      <c r="J36" s="136">
        <v>1</v>
      </c>
      <c r="K36" s="136">
        <v>0</v>
      </c>
      <c r="L36" s="136">
        <f>CDM!B107</f>
        <v>840333.29396390333</v>
      </c>
      <c r="M36" s="165">
        <f t="shared" si="4"/>
        <v>25814.833333333321</v>
      </c>
      <c r="N36" s="165">
        <v>59920.990228013005</v>
      </c>
      <c r="O36" s="128">
        <v>62.2</v>
      </c>
      <c r="P36" s="127">
        <v>1.2917656489511875</v>
      </c>
      <c r="Q36" s="165">
        <v>340</v>
      </c>
      <c r="R36" s="247">
        <f t="shared" si="2"/>
        <v>42071343.581543297</v>
      </c>
      <c r="S36" s="74">
        <f t="shared" si="5"/>
        <v>4.6902643893846491E-2</v>
      </c>
      <c r="T36"/>
      <c r="U36" s="48" t="s">
        <v>33</v>
      </c>
      <c r="V36" s="48">
        <v>120</v>
      </c>
      <c r="AN36" s="136"/>
      <c r="AO36" s="133"/>
      <c r="AP36" s="136"/>
      <c r="AQ36" s="136"/>
      <c r="AR36" s="136"/>
      <c r="AS36" s="32"/>
    </row>
    <row r="37" spans="1:45" x14ac:dyDescent="0.25">
      <c r="A37" s="75">
        <v>41214</v>
      </c>
      <c r="B37" s="136">
        <f>'Power Purchases'!B121</f>
        <v>40724163.636363633</v>
      </c>
      <c r="C37" s="136">
        <f>'Power Purchases'!C121</f>
        <v>372750.95491154783</v>
      </c>
      <c r="D37" s="244">
        <f t="shared" si="1"/>
        <v>41937564.993160278</v>
      </c>
      <c r="E37" s="212">
        <v>434</v>
      </c>
      <c r="F37" s="212">
        <v>0</v>
      </c>
      <c r="G37" s="136">
        <v>30</v>
      </c>
      <c r="H37" s="136">
        <v>0</v>
      </c>
      <c r="I37" s="136">
        <v>352</v>
      </c>
      <c r="J37" s="136">
        <v>1</v>
      </c>
      <c r="K37" s="136">
        <v>0</v>
      </c>
      <c r="L37" s="136">
        <f>CDM!B108</f>
        <v>840650.40188510134</v>
      </c>
      <c r="M37" s="165">
        <f t="shared" si="4"/>
        <v>25825.916666666653</v>
      </c>
      <c r="N37" s="165">
        <v>60012.289250814305</v>
      </c>
      <c r="O37" s="128">
        <v>62.4</v>
      </c>
      <c r="P37" s="127">
        <v>1.2932635286235517</v>
      </c>
      <c r="Q37" s="165">
        <v>290</v>
      </c>
      <c r="R37" s="247">
        <f t="shared" si="2"/>
        <v>42935288.313962795</v>
      </c>
      <c r="S37" s="74">
        <f t="shared" si="5"/>
        <v>5.4295152562072332E-2</v>
      </c>
      <c r="T37"/>
      <c r="AN37" s="136"/>
      <c r="AO37" s="133"/>
      <c r="AP37" s="136"/>
      <c r="AQ37" s="136"/>
      <c r="AR37" s="136"/>
      <c r="AS37" s="32"/>
    </row>
    <row r="38" spans="1:45" ht="13.8" thickBot="1" x14ac:dyDescent="0.3">
      <c r="A38" s="75">
        <v>41244</v>
      </c>
      <c r="B38" s="136">
        <f>'Power Purchases'!B122</f>
        <v>42599045.454545446</v>
      </c>
      <c r="C38" s="136">
        <f>'Power Purchases'!C122</f>
        <v>407691.37895022717</v>
      </c>
      <c r="D38" s="244">
        <f t="shared" si="1"/>
        <v>43847704.343301974</v>
      </c>
      <c r="E38" s="212">
        <v>533.5</v>
      </c>
      <c r="F38" s="212">
        <v>0</v>
      </c>
      <c r="G38" s="136">
        <v>31</v>
      </c>
      <c r="H38" s="136">
        <v>0</v>
      </c>
      <c r="I38" s="136">
        <v>304</v>
      </c>
      <c r="J38" s="136">
        <v>0</v>
      </c>
      <c r="K38" s="136">
        <v>0</v>
      </c>
      <c r="L38" s="136">
        <f>CDM!B109</f>
        <v>840967.50980629935</v>
      </c>
      <c r="M38" s="165">
        <f>+'Rate Class Customer Model'!I5</f>
        <v>25837</v>
      </c>
      <c r="N38" s="165">
        <v>60103.588273615635</v>
      </c>
      <c r="O38" s="128">
        <v>62.5</v>
      </c>
      <c r="P38" s="127">
        <v>1.2947614082959169</v>
      </c>
      <c r="Q38" s="165">
        <v>269</v>
      </c>
      <c r="R38" s="247">
        <f t="shared" si="2"/>
        <v>44745864.161380515</v>
      </c>
      <c r="S38" s="74">
        <f t="shared" si="5"/>
        <v>5.039593455505461E-2</v>
      </c>
      <c r="T38"/>
      <c r="U38" t="s">
        <v>34</v>
      </c>
      <c r="AN38" s="136"/>
      <c r="AO38" s="133"/>
      <c r="AP38" s="136"/>
      <c r="AQ38" s="136"/>
      <c r="AR38" s="136"/>
      <c r="AS38" s="32"/>
    </row>
    <row r="39" spans="1:45" x14ac:dyDescent="0.25">
      <c r="A39" s="75">
        <v>41275</v>
      </c>
      <c r="B39" s="136">
        <f>'Power Purchases'!B123</f>
        <v>44937375</v>
      </c>
      <c r="C39" s="136">
        <f>'Power Purchases'!C123</f>
        <v>398742.48257928336</v>
      </c>
      <c r="D39" s="244">
        <f t="shared" si="1"/>
        <v>46204975.632565685</v>
      </c>
      <c r="E39" s="212">
        <v>624.4</v>
      </c>
      <c r="F39" s="212">
        <v>0</v>
      </c>
      <c r="G39" s="136">
        <v>31</v>
      </c>
      <c r="H39" s="136">
        <v>0</v>
      </c>
      <c r="I39" s="136">
        <v>352</v>
      </c>
      <c r="J39" s="136">
        <v>0</v>
      </c>
      <c r="K39" s="136">
        <v>0</v>
      </c>
      <c r="L39" s="136">
        <f>CDM!B110</f>
        <v>868858.14998639945</v>
      </c>
      <c r="M39" s="165">
        <f t="shared" ref="M39:M49" si="6">+($M$50-$M$38)/12+M38</f>
        <v>25870.666666666668</v>
      </c>
      <c r="N39" s="165">
        <v>60194.887296416935</v>
      </c>
      <c r="O39" s="128">
        <v>62.2</v>
      </c>
      <c r="P39" s="127">
        <v>1.2970057203142145</v>
      </c>
      <c r="Q39" s="165">
        <v>290</v>
      </c>
      <c r="R39" s="247">
        <f t="shared" si="2"/>
        <v>46497434.43379458</v>
      </c>
      <c r="S39" s="74">
        <f t="shared" si="5"/>
        <v>3.4716300936460581E-2</v>
      </c>
      <c r="T39"/>
      <c r="U39" s="49"/>
      <c r="V39" s="49" t="s">
        <v>38</v>
      </c>
      <c r="W39" s="49" t="s">
        <v>39</v>
      </c>
      <c r="X39" s="49" t="s">
        <v>40</v>
      </c>
      <c r="Y39" s="49" t="s">
        <v>41</v>
      </c>
      <c r="Z39" s="49" t="s">
        <v>42</v>
      </c>
      <c r="AN39" s="136"/>
      <c r="AO39" s="133"/>
      <c r="AP39" s="136"/>
      <c r="AQ39" s="136"/>
      <c r="AR39" s="136"/>
      <c r="AS39" s="32"/>
    </row>
    <row r="40" spans="1:45" x14ac:dyDescent="0.25">
      <c r="A40" s="75">
        <v>41306</v>
      </c>
      <c r="B40" s="136">
        <f>'Power Purchases'!B124</f>
        <v>40978383.333333336</v>
      </c>
      <c r="C40" s="136">
        <f>'Power Purchases'!C124</f>
        <v>345743.62051980384</v>
      </c>
      <c r="D40" s="244">
        <f t="shared" si="1"/>
        <v>42220875.744019635</v>
      </c>
      <c r="E40" s="212">
        <v>631.5</v>
      </c>
      <c r="F40" s="212">
        <v>0</v>
      </c>
      <c r="G40" s="136">
        <v>28</v>
      </c>
      <c r="H40" s="136">
        <v>0</v>
      </c>
      <c r="I40" s="136">
        <v>304</v>
      </c>
      <c r="J40" s="136">
        <v>0</v>
      </c>
      <c r="K40" s="136">
        <v>0</v>
      </c>
      <c r="L40" s="136">
        <f>CDM!B111</f>
        <v>896748.79016649956</v>
      </c>
      <c r="M40" s="165">
        <f t="shared" si="6"/>
        <v>25904.333333333336</v>
      </c>
      <c r="N40" s="165">
        <v>60286.186319218235</v>
      </c>
      <c r="O40" s="128">
        <v>61.7</v>
      </c>
      <c r="P40" s="127">
        <v>1.299253922575458</v>
      </c>
      <c r="Q40" s="165">
        <v>305</v>
      </c>
      <c r="R40" s="247">
        <f t="shared" si="2"/>
        <v>42776263.102074265</v>
      </c>
      <c r="S40" s="74">
        <f t="shared" si="5"/>
        <v>4.3873857934226206E-2</v>
      </c>
      <c r="T40"/>
      <c r="U40" s="36" t="s">
        <v>35</v>
      </c>
      <c r="V40" s="36">
        <v>8</v>
      </c>
      <c r="W40" s="36">
        <v>1307169102144877.3</v>
      </c>
      <c r="X40" s="36">
        <v>163396137768109.66</v>
      </c>
      <c r="Y40" s="36">
        <v>206.58013138195335</v>
      </c>
      <c r="Z40" s="36">
        <v>5.7178778339817152E-63</v>
      </c>
      <c r="AN40" s="136"/>
      <c r="AO40" s="133"/>
      <c r="AP40" s="136"/>
      <c r="AQ40" s="136"/>
      <c r="AR40" s="136"/>
      <c r="AS40" s="32"/>
    </row>
    <row r="41" spans="1:45" x14ac:dyDescent="0.25">
      <c r="A41" s="75">
        <v>41334</v>
      </c>
      <c r="B41" s="136">
        <f>'Power Purchases'!B125</f>
        <v>42439533.333333336</v>
      </c>
      <c r="C41" s="136">
        <f>'Power Purchases'!C125</f>
        <v>382887.52351487195</v>
      </c>
      <c r="D41" s="244">
        <f t="shared" si="1"/>
        <v>43747060.287194811</v>
      </c>
      <c r="E41" s="212">
        <v>554.79999999999995</v>
      </c>
      <c r="F41" s="212">
        <v>0</v>
      </c>
      <c r="G41" s="136">
        <v>31</v>
      </c>
      <c r="H41" s="136">
        <v>1</v>
      </c>
      <c r="I41" s="136">
        <v>320</v>
      </c>
      <c r="J41" s="136">
        <v>0</v>
      </c>
      <c r="K41" s="136">
        <v>0</v>
      </c>
      <c r="L41" s="136">
        <f>CDM!B112</f>
        <v>924639.43034659966</v>
      </c>
      <c r="M41" s="165">
        <f t="shared" si="6"/>
        <v>25938.000000000004</v>
      </c>
      <c r="N41" s="165">
        <v>60377.485342019536</v>
      </c>
      <c r="O41" s="128">
        <v>61.3</v>
      </c>
      <c r="P41" s="127">
        <v>1.3015060218229124</v>
      </c>
      <c r="Q41" s="165">
        <v>371</v>
      </c>
      <c r="R41" s="247">
        <f t="shared" si="2"/>
        <v>43463606.695442058</v>
      </c>
      <c r="S41" s="74">
        <f t="shared" si="5"/>
        <v>2.4130174902380067E-2</v>
      </c>
      <c r="T41"/>
      <c r="U41" s="36" t="s">
        <v>36</v>
      </c>
      <c r="V41" s="36">
        <v>111</v>
      </c>
      <c r="W41" s="36">
        <v>87796300500584.359</v>
      </c>
      <c r="X41" s="36">
        <v>790957662167.42664</v>
      </c>
      <c r="Y41" s="36"/>
      <c r="Z41" s="36"/>
      <c r="AN41" s="136"/>
      <c r="AO41" s="133"/>
      <c r="AP41" s="136"/>
      <c r="AQ41" s="136"/>
      <c r="AR41" s="136"/>
      <c r="AS41" s="32"/>
    </row>
    <row r="42" spans="1:45" ht="13.8" thickBot="1" x14ac:dyDescent="0.3">
      <c r="A42" s="75">
        <v>41365</v>
      </c>
      <c r="B42" s="136">
        <f>'Power Purchases'!B126</f>
        <v>39718616.666666664</v>
      </c>
      <c r="C42" s="136">
        <f>'Power Purchases'!C126</f>
        <v>379737.28235006944</v>
      </c>
      <c r="D42" s="244">
        <f t="shared" si="1"/>
        <v>41050884.019543432</v>
      </c>
      <c r="E42" s="212">
        <v>358.6</v>
      </c>
      <c r="F42" s="212">
        <v>0</v>
      </c>
      <c r="G42" s="136">
        <v>30</v>
      </c>
      <c r="H42" s="136">
        <v>1</v>
      </c>
      <c r="I42" s="136">
        <v>352</v>
      </c>
      <c r="J42" s="136">
        <v>0</v>
      </c>
      <c r="K42" s="136">
        <v>0</v>
      </c>
      <c r="L42" s="136">
        <f>CDM!B113</f>
        <v>952530.07052669977</v>
      </c>
      <c r="M42" s="165">
        <f t="shared" si="6"/>
        <v>25971.666666666672</v>
      </c>
      <c r="N42" s="165">
        <v>60468.784364820836</v>
      </c>
      <c r="O42" s="128">
        <v>61.5</v>
      </c>
      <c r="P42" s="127">
        <v>1.3037620248115311</v>
      </c>
      <c r="Q42" s="165">
        <v>405</v>
      </c>
      <c r="R42" s="247">
        <f t="shared" si="2"/>
        <v>41063951.863564819</v>
      </c>
      <c r="S42" s="74">
        <f t="shared" si="5"/>
        <v>3.3871652887327519E-2</v>
      </c>
      <c r="T42"/>
      <c r="U42" s="48" t="s">
        <v>11</v>
      </c>
      <c r="V42" s="48">
        <v>119</v>
      </c>
      <c r="W42" s="48">
        <v>1394965402645461.5</v>
      </c>
      <c r="X42" s="48"/>
      <c r="Y42" s="48"/>
      <c r="Z42" s="48"/>
      <c r="AN42" s="136"/>
      <c r="AO42" s="133"/>
      <c r="AP42" s="136"/>
      <c r="AQ42" s="136"/>
      <c r="AR42" s="136"/>
      <c r="AS42" s="32"/>
    </row>
    <row r="43" spans="1:45" ht="13.8" thickBot="1" x14ac:dyDescent="0.3">
      <c r="A43" s="75">
        <v>41395</v>
      </c>
      <c r="B43" s="136">
        <f>'Power Purchases'!B127</f>
        <v>40198400.000000007</v>
      </c>
      <c r="C43" s="136">
        <f>'Power Purchases'!C127</f>
        <v>419998.04971673439</v>
      </c>
      <c r="D43" s="244">
        <f t="shared" si="1"/>
        <v>41598818.760423541</v>
      </c>
      <c r="E43" s="212">
        <v>109.1</v>
      </c>
      <c r="F43" s="212">
        <v>23.1</v>
      </c>
      <c r="G43" s="136">
        <v>31</v>
      </c>
      <c r="H43" s="136">
        <v>1</v>
      </c>
      <c r="I43" s="136">
        <v>352</v>
      </c>
      <c r="J43" s="136">
        <v>0</v>
      </c>
      <c r="K43" s="136">
        <v>0</v>
      </c>
      <c r="L43" s="136">
        <f>CDM!B114</f>
        <v>980420.71070679987</v>
      </c>
      <c r="M43" s="165">
        <f t="shared" si="6"/>
        <v>26005.333333333339</v>
      </c>
      <c r="N43" s="165">
        <v>60560.083387622137</v>
      </c>
      <c r="O43" s="128">
        <v>62.1</v>
      </c>
      <c r="P43" s="127">
        <v>1.3060219383079765</v>
      </c>
      <c r="Q43" s="165">
        <v>457</v>
      </c>
      <c r="R43" s="247">
        <f t="shared" si="2"/>
        <v>41151296.748701133</v>
      </c>
      <c r="S43" s="74">
        <f t="shared" si="5"/>
        <v>2.3704842697747305E-2</v>
      </c>
      <c r="T43"/>
      <c r="AN43" s="136"/>
      <c r="AO43" s="133"/>
      <c r="AP43" s="136"/>
      <c r="AQ43" s="136"/>
      <c r="AR43" s="136"/>
      <c r="AS43" s="32"/>
    </row>
    <row r="44" spans="1:45" x14ac:dyDescent="0.25">
      <c r="A44" s="75">
        <v>41426</v>
      </c>
      <c r="B44" s="136">
        <f>'Power Purchases'!B128</f>
        <v>43010141.666666672</v>
      </c>
      <c r="C44" s="136">
        <f>'Power Purchases'!C128</f>
        <v>430056.66390081553</v>
      </c>
      <c r="D44" s="244">
        <f t="shared" si="1"/>
        <v>44448509.68145439</v>
      </c>
      <c r="E44" s="212">
        <v>33</v>
      </c>
      <c r="F44" s="212">
        <v>59.6</v>
      </c>
      <c r="G44" s="136">
        <v>30</v>
      </c>
      <c r="H44" s="136">
        <v>0</v>
      </c>
      <c r="I44" s="136">
        <v>320</v>
      </c>
      <c r="J44" s="136">
        <v>0</v>
      </c>
      <c r="K44" s="136">
        <v>0</v>
      </c>
      <c r="L44" s="136">
        <f>CDM!B115</f>
        <v>1008311.3508869</v>
      </c>
      <c r="M44" s="165">
        <f t="shared" si="6"/>
        <v>26039.000000000007</v>
      </c>
      <c r="N44" s="165">
        <v>60651.382410423437</v>
      </c>
      <c r="O44" s="128">
        <v>63</v>
      </c>
      <c r="P44" s="127">
        <v>1.30828576909064</v>
      </c>
      <c r="Q44" s="165">
        <v>462</v>
      </c>
      <c r="R44" s="247">
        <f t="shared" si="2"/>
        <v>43164227.495361768</v>
      </c>
      <c r="S44" s="74">
        <f t="shared" si="5"/>
        <v>3.5825464117109447E-3</v>
      </c>
      <c r="T44"/>
      <c r="U44" s="49"/>
      <c r="V44" s="49" t="s">
        <v>43</v>
      </c>
      <c r="W44" s="49" t="s">
        <v>32</v>
      </c>
      <c r="X44" s="49" t="s">
        <v>44</v>
      </c>
      <c r="Y44" s="49" t="s">
        <v>45</v>
      </c>
      <c r="Z44" s="49" t="s">
        <v>46</v>
      </c>
      <c r="AA44" s="49" t="s">
        <v>47</v>
      </c>
      <c r="AB44" s="49" t="s">
        <v>48</v>
      </c>
      <c r="AC44" s="49" t="s">
        <v>49</v>
      </c>
      <c r="AN44" s="136"/>
      <c r="AO44" s="133"/>
      <c r="AP44" s="136"/>
      <c r="AQ44" s="136"/>
      <c r="AR44" s="136"/>
      <c r="AS44" s="32"/>
    </row>
    <row r="45" spans="1:45" x14ac:dyDescent="0.25">
      <c r="A45" s="75">
        <v>41456</v>
      </c>
      <c r="B45" s="136">
        <f>'Power Purchases'!B129</f>
        <v>48990725.000000007</v>
      </c>
      <c r="C45" s="136">
        <f>'Power Purchases'!C129</f>
        <v>469750.45883631299</v>
      </c>
      <c r="D45" s="244">
        <f t="shared" si="1"/>
        <v>50496677.449903317</v>
      </c>
      <c r="E45" s="212">
        <v>1.3</v>
      </c>
      <c r="F45" s="212">
        <v>120.8</v>
      </c>
      <c r="G45" s="136">
        <v>31</v>
      </c>
      <c r="H45" s="136">
        <v>0</v>
      </c>
      <c r="I45" s="136">
        <v>352</v>
      </c>
      <c r="J45" s="136">
        <v>0</v>
      </c>
      <c r="K45" s="136">
        <v>0</v>
      </c>
      <c r="L45" s="136">
        <f>CDM!B116</f>
        <v>1036201.9910670001</v>
      </c>
      <c r="M45" s="165">
        <f t="shared" si="6"/>
        <v>26072.666666666675</v>
      </c>
      <c r="N45" s="165">
        <v>60742.681433224738</v>
      </c>
      <c r="O45" s="128">
        <v>63.4</v>
      </c>
      <c r="P45" s="127">
        <v>1.3105535239496624</v>
      </c>
      <c r="Q45" s="165">
        <v>467</v>
      </c>
      <c r="R45" s="247">
        <f t="shared" si="2"/>
        <v>48657591.735020973</v>
      </c>
      <c r="S45" s="74">
        <f t="shared" si="5"/>
        <v>-6.7999251894932077E-3</v>
      </c>
      <c r="T45"/>
      <c r="U45" s="36" t="s">
        <v>37</v>
      </c>
      <c r="V45" s="36">
        <v>4092061.1806329484</v>
      </c>
      <c r="W45" s="36">
        <v>3168225.865641803</v>
      </c>
      <c r="X45" s="36">
        <v>1.2915938932920743</v>
      </c>
      <c r="Y45" s="36">
        <v>0.19918082043587876</v>
      </c>
      <c r="Z45" s="36">
        <v>-2185989.8736277004</v>
      </c>
      <c r="AA45" s="36">
        <v>10370112.234893598</v>
      </c>
      <c r="AB45" s="36">
        <v>-2185989.8736277004</v>
      </c>
      <c r="AC45" s="36">
        <v>10370112.234893598</v>
      </c>
      <c r="AN45" s="136"/>
      <c r="AO45" s="133"/>
      <c r="AP45" s="136"/>
      <c r="AQ45" s="136"/>
      <c r="AR45" s="136"/>
      <c r="AS45" s="32"/>
    </row>
    <row r="46" spans="1:45" x14ac:dyDescent="0.25">
      <c r="A46" s="75">
        <v>41487</v>
      </c>
      <c r="B46" s="136">
        <f>'Power Purchases'!B130</f>
        <v>46219941.666666672</v>
      </c>
      <c r="C46" s="136">
        <f>'Power Purchases'!C130</f>
        <v>459366.37866937078</v>
      </c>
      <c r="D46" s="244">
        <f t="shared" si="1"/>
        <v>47743400.676583149</v>
      </c>
      <c r="E46" s="212">
        <v>4.4000000000000004</v>
      </c>
      <c r="F46" s="212">
        <v>93.8</v>
      </c>
      <c r="G46" s="136">
        <v>31</v>
      </c>
      <c r="H46" s="136">
        <v>0</v>
      </c>
      <c r="I46" s="136">
        <v>320</v>
      </c>
      <c r="J46" s="136">
        <v>0</v>
      </c>
      <c r="K46" s="136">
        <v>1</v>
      </c>
      <c r="L46" s="136">
        <f>CDM!B117</f>
        <v>1064092.6312471002</v>
      </c>
      <c r="M46" s="165">
        <f t="shared" si="6"/>
        <v>26106.333333333343</v>
      </c>
      <c r="N46" s="165">
        <v>60833.980456026038</v>
      </c>
      <c r="O46" s="128">
        <v>63.7</v>
      </c>
      <c r="P46" s="127">
        <v>1.3128252096869548</v>
      </c>
      <c r="Q46" s="165">
        <v>432</v>
      </c>
      <c r="R46" s="247">
        <f t="shared" si="2"/>
        <v>47468069.485717453</v>
      </c>
      <c r="S46" s="74">
        <f t="shared" si="5"/>
        <v>2.7004097669619472E-2</v>
      </c>
      <c r="T46"/>
      <c r="U46" s="36" t="s">
        <v>3</v>
      </c>
      <c r="V46" s="36">
        <v>10084.968513774051</v>
      </c>
      <c r="W46" s="36">
        <v>529.55619047997345</v>
      </c>
      <c r="X46" s="36">
        <v>19.044189634783319</v>
      </c>
      <c r="Y46" s="36">
        <v>9.1423665019747776E-37</v>
      </c>
      <c r="Z46" s="36">
        <v>9035.6175707157108</v>
      </c>
      <c r="AA46" s="36">
        <v>11134.319456832391</v>
      </c>
      <c r="AB46" s="36">
        <v>9035.6175707157108</v>
      </c>
      <c r="AC46" s="36">
        <v>11134.319456832391</v>
      </c>
      <c r="AN46" s="136"/>
      <c r="AO46" s="133"/>
      <c r="AP46" s="136"/>
      <c r="AQ46" s="136"/>
      <c r="AR46" s="136"/>
      <c r="AS46" s="32"/>
    </row>
    <row r="47" spans="1:45" x14ac:dyDescent="0.25">
      <c r="A47" s="75">
        <v>41518</v>
      </c>
      <c r="B47" s="136">
        <f>'Power Purchases'!B131</f>
        <v>41314550</v>
      </c>
      <c r="C47" s="136">
        <f>'Power Purchases'!C131</f>
        <v>413458.89162887941</v>
      </c>
      <c r="D47" s="244">
        <f t="shared" si="1"/>
        <v>42819992.163056076</v>
      </c>
      <c r="E47" s="212">
        <v>83</v>
      </c>
      <c r="F47" s="212">
        <v>28.1</v>
      </c>
      <c r="G47" s="136">
        <v>30</v>
      </c>
      <c r="H47" s="136">
        <v>0</v>
      </c>
      <c r="I47" s="136">
        <v>320</v>
      </c>
      <c r="J47" s="136">
        <v>1</v>
      </c>
      <c r="K47" s="136">
        <v>1</v>
      </c>
      <c r="L47" s="136">
        <f>CDM!B118</f>
        <v>1091983.2714272004</v>
      </c>
      <c r="M47" s="165">
        <f t="shared" si="6"/>
        <v>26140.000000000011</v>
      </c>
      <c r="N47" s="165">
        <v>60925.279478827339</v>
      </c>
      <c r="O47" s="128">
        <v>63.4</v>
      </c>
      <c r="P47" s="127">
        <v>1.3151008331162182</v>
      </c>
      <c r="Q47" s="165">
        <v>374</v>
      </c>
      <c r="R47" s="247">
        <f t="shared" si="2"/>
        <v>42028286.081256025</v>
      </c>
      <c r="S47" s="74">
        <f t="shared" si="5"/>
        <v>1.7275659089982211E-2</v>
      </c>
      <c r="T47"/>
      <c r="U47" s="36" t="s">
        <v>4</v>
      </c>
      <c r="V47" s="36">
        <v>70366.869315663571</v>
      </c>
      <c r="W47" s="36">
        <v>2915.0798177871843</v>
      </c>
      <c r="X47" s="36">
        <v>24.138916844163308</v>
      </c>
      <c r="Y47" s="36">
        <v>5.5753576608660303E-46</v>
      </c>
      <c r="Z47" s="36">
        <v>64590.444054516527</v>
      </c>
      <c r="AA47" s="36">
        <v>76143.294576810615</v>
      </c>
      <c r="AB47" s="36">
        <v>64590.444054516527</v>
      </c>
      <c r="AC47" s="36">
        <v>76143.294576810615</v>
      </c>
      <c r="AN47" s="136"/>
      <c r="AO47" s="133"/>
      <c r="AP47" s="136"/>
      <c r="AQ47" s="136"/>
      <c r="AR47" s="136"/>
      <c r="AS47" s="32"/>
    </row>
    <row r="48" spans="1:45" x14ac:dyDescent="0.25">
      <c r="A48" s="75">
        <v>41548</v>
      </c>
      <c r="B48" s="136">
        <f>'Power Purchases'!B132</f>
        <v>41949783.333333336</v>
      </c>
      <c r="C48" s="136">
        <f>'Power Purchases'!C132</f>
        <v>398965.38885897113</v>
      </c>
      <c r="D48" s="244">
        <f t="shared" si="1"/>
        <v>43468622.633799613</v>
      </c>
      <c r="E48" s="212">
        <v>208.5</v>
      </c>
      <c r="F48" s="212">
        <v>0.4</v>
      </c>
      <c r="G48" s="136">
        <v>31</v>
      </c>
      <c r="H48" s="136">
        <v>0</v>
      </c>
      <c r="I48" s="136">
        <v>352</v>
      </c>
      <c r="J48" s="136">
        <v>1</v>
      </c>
      <c r="K48" s="136">
        <v>1</v>
      </c>
      <c r="L48" s="136">
        <f>CDM!B119</f>
        <v>1119873.9116073006</v>
      </c>
      <c r="M48" s="165">
        <f t="shared" si="6"/>
        <v>26173.666666666679</v>
      </c>
      <c r="N48" s="165">
        <v>61016.578501628639</v>
      </c>
      <c r="O48" s="128">
        <v>63.1</v>
      </c>
      <c r="P48" s="127">
        <v>1.3173804010629648</v>
      </c>
      <c r="Q48" s="165">
        <v>340</v>
      </c>
      <c r="R48" s="247">
        <f t="shared" si="2"/>
        <v>42901537.746346466</v>
      </c>
      <c r="S48" s="74">
        <f t="shared" si="5"/>
        <v>2.2687945857800547E-2</v>
      </c>
      <c r="T48"/>
      <c r="U48" s="36" t="s">
        <v>5</v>
      </c>
      <c r="V48" s="36">
        <v>976515.77864372369</v>
      </c>
      <c r="W48" s="36">
        <v>119344.27796170179</v>
      </c>
      <c r="X48" s="36">
        <v>8.1823426755080177</v>
      </c>
      <c r="Y48" s="36">
        <v>5.107432829718773E-13</v>
      </c>
      <c r="Z48" s="36">
        <v>740027.12478770874</v>
      </c>
      <c r="AA48" s="36">
        <v>1213004.4324997386</v>
      </c>
      <c r="AB48" s="36">
        <v>740027.12478770874</v>
      </c>
      <c r="AC48" s="36">
        <v>1213004.4324997386</v>
      </c>
      <c r="AN48" s="136"/>
      <c r="AO48" s="133"/>
      <c r="AP48" s="136"/>
      <c r="AQ48" s="136"/>
      <c r="AR48" s="136"/>
      <c r="AS48" s="32"/>
    </row>
    <row r="49" spans="1:45" x14ac:dyDescent="0.25">
      <c r="A49" s="75">
        <v>41579</v>
      </c>
      <c r="B49" s="136">
        <f>'Power Purchases'!B133</f>
        <v>43942525</v>
      </c>
      <c r="C49" s="136">
        <f>'Power Purchases'!C133</f>
        <v>374272.96262620168</v>
      </c>
      <c r="D49" s="244">
        <f t="shared" si="1"/>
        <v>45464562.514413603</v>
      </c>
      <c r="E49" s="212">
        <v>478.2</v>
      </c>
      <c r="F49" s="212">
        <v>0</v>
      </c>
      <c r="G49" s="136">
        <v>30</v>
      </c>
      <c r="H49" s="136">
        <v>0</v>
      </c>
      <c r="I49" s="136">
        <v>320</v>
      </c>
      <c r="J49" s="136">
        <v>1</v>
      </c>
      <c r="K49" s="136">
        <v>1</v>
      </c>
      <c r="L49" s="136">
        <f>CDM!B120</f>
        <v>1147764.5517874009</v>
      </c>
      <c r="M49" s="165">
        <f t="shared" si="6"/>
        <v>26207.333333333347</v>
      </c>
      <c r="N49" s="165">
        <v>61107.87752442994</v>
      </c>
      <c r="O49" s="128">
        <v>62.6</v>
      </c>
      <c r="P49" s="127">
        <v>1.3196639203645377</v>
      </c>
      <c r="Q49" s="165">
        <v>290</v>
      </c>
      <c r="R49" s="247">
        <f t="shared" si="2"/>
        <v>44042347.486037858</v>
      </c>
      <c r="S49" s="74">
        <f t="shared" si="5"/>
        <v>2.2716602206600059E-3</v>
      </c>
      <c r="T49"/>
      <c r="U49" s="36" t="s">
        <v>117</v>
      </c>
      <c r="V49" s="36">
        <v>-1742110.1704457973</v>
      </c>
      <c r="W49" s="36">
        <v>245287.69148185261</v>
      </c>
      <c r="X49" s="36">
        <v>-7.1023138581525025</v>
      </c>
      <c r="Y49" s="36">
        <v>1.2393731843722661E-10</v>
      </c>
      <c r="Z49" s="36">
        <v>-2228164.1058058809</v>
      </c>
      <c r="AA49" s="36">
        <v>-1256056.2350857137</v>
      </c>
      <c r="AB49" s="36">
        <v>-2228164.1058058809</v>
      </c>
      <c r="AC49" s="36">
        <v>-1256056.2350857137</v>
      </c>
      <c r="AN49" s="136"/>
      <c r="AO49" s="133"/>
      <c r="AP49" s="136"/>
      <c r="AQ49" s="136"/>
      <c r="AR49" s="136"/>
      <c r="AS49" s="32"/>
    </row>
    <row r="50" spans="1:45" x14ac:dyDescent="0.25">
      <c r="A50" s="75">
        <v>41609</v>
      </c>
      <c r="B50" s="136">
        <f>'Power Purchases'!B134</f>
        <v>44817991.666666664</v>
      </c>
      <c r="C50" s="136">
        <f>'Power Purchases'!C134</f>
        <v>391474.16830719967</v>
      </c>
      <c r="D50" s="244">
        <f t="shared" si="1"/>
        <v>46385121.026941366</v>
      </c>
      <c r="E50" s="212">
        <v>687.9</v>
      </c>
      <c r="F50" s="212">
        <v>0</v>
      </c>
      <c r="G50" s="136">
        <v>31</v>
      </c>
      <c r="H50" s="136">
        <v>0</v>
      </c>
      <c r="I50" s="136">
        <v>320</v>
      </c>
      <c r="J50" s="136">
        <v>0</v>
      </c>
      <c r="K50" s="136">
        <v>1</v>
      </c>
      <c r="L50" s="136">
        <f>CDM!B121</f>
        <v>1175655.1919675011</v>
      </c>
      <c r="M50" s="165">
        <f>+'Rate Class Customer Model'!I6</f>
        <v>26241</v>
      </c>
      <c r="N50" s="165">
        <v>61199.176547231269</v>
      </c>
      <c r="O50" s="128">
        <v>62.3</v>
      </c>
      <c r="P50" s="127">
        <v>1.3003712749753982</v>
      </c>
      <c r="Q50" s="165">
        <v>269</v>
      </c>
      <c r="R50" s="247">
        <f t="shared" si="2"/>
        <v>47798571.596238442</v>
      </c>
      <c r="S50" s="74">
        <f t="shared" si="5"/>
        <v>6.6504093975022549E-2</v>
      </c>
      <c r="T50"/>
      <c r="U50" s="36" t="s">
        <v>6</v>
      </c>
      <c r="V50" s="36">
        <v>17624.315680213673</v>
      </c>
      <c r="W50" s="36">
        <v>5619.8352820383398</v>
      </c>
      <c r="X50" s="36">
        <v>3.1360911478211961</v>
      </c>
      <c r="Y50" s="36">
        <v>2.1919311292543818E-3</v>
      </c>
      <c r="Z50" s="36">
        <v>6488.2369050898487</v>
      </c>
      <c r="AA50" s="36">
        <v>28760.394455337497</v>
      </c>
      <c r="AB50" s="36">
        <v>6488.2369050898487</v>
      </c>
      <c r="AC50" s="36">
        <v>28760.394455337497</v>
      </c>
      <c r="AN50" s="136"/>
      <c r="AO50" s="133"/>
      <c r="AP50" s="136"/>
      <c r="AQ50" s="136"/>
      <c r="AR50" s="136"/>
      <c r="AS50" s="32"/>
    </row>
    <row r="51" spans="1:45" x14ac:dyDescent="0.25">
      <c r="A51" s="75">
        <v>41640</v>
      </c>
      <c r="B51" s="136">
        <f>'Power Purchases'!B135</f>
        <v>49818208.333333336</v>
      </c>
      <c r="C51" s="136">
        <f>'Power Purchases'!C135</f>
        <v>390182.78346720006</v>
      </c>
      <c r="D51" s="244">
        <f t="shared" si="1"/>
        <v>51390707.196665987</v>
      </c>
      <c r="E51" s="212">
        <v>825.9</v>
      </c>
      <c r="F51" s="212">
        <v>0</v>
      </c>
      <c r="G51" s="136">
        <v>31</v>
      </c>
      <c r="H51" s="136">
        <v>0</v>
      </c>
      <c r="I51" s="136">
        <v>352</v>
      </c>
      <c r="J51" s="136">
        <v>0</v>
      </c>
      <c r="K51" s="136">
        <v>1</v>
      </c>
      <c r="L51" s="136">
        <f>CDM!B122</f>
        <v>1182316.0798654465</v>
      </c>
      <c r="M51" s="165">
        <f t="shared" ref="M51:M61" si="7">+($M$62-$M$50)/12+M50</f>
        <v>26248.3825</v>
      </c>
      <c r="N51" s="165">
        <v>61290.47557003257</v>
      </c>
      <c r="O51" s="128">
        <v>62</v>
      </c>
      <c r="P51" s="127">
        <v>1.302625311017851</v>
      </c>
      <c r="Q51" s="165">
        <v>290</v>
      </c>
      <c r="R51" s="247">
        <f t="shared" si="2"/>
        <v>49744608.243540995</v>
      </c>
      <c r="S51" s="74">
        <f t="shared" si="5"/>
        <v>-1.4773732788598746E-3</v>
      </c>
      <c r="T51"/>
      <c r="U51" s="36" t="s">
        <v>118</v>
      </c>
      <c r="V51" s="36">
        <v>-644859.69273362856</v>
      </c>
      <c r="W51" s="36">
        <v>249151.00370249985</v>
      </c>
      <c r="X51" s="36">
        <v>-2.5882283561001702</v>
      </c>
      <c r="Y51" s="36">
        <v>1.093730854615736E-2</v>
      </c>
      <c r="Z51" s="36">
        <v>-1138569.0391623478</v>
      </c>
      <c r="AA51" s="36">
        <v>-151150.34630490933</v>
      </c>
      <c r="AB51" s="36">
        <v>-1138569.0391623478</v>
      </c>
      <c r="AC51" s="36">
        <v>-151150.34630490933</v>
      </c>
      <c r="AN51" s="136"/>
      <c r="AO51" s="133"/>
      <c r="AP51" s="136"/>
      <c r="AQ51" s="136"/>
      <c r="AR51" s="136"/>
      <c r="AS51" s="32"/>
    </row>
    <row r="52" spans="1:45" x14ac:dyDescent="0.25">
      <c r="A52" s="75">
        <v>41671</v>
      </c>
      <c r="B52" s="136">
        <f>'Power Purchases'!B136</f>
        <v>43710325</v>
      </c>
      <c r="C52" s="136">
        <f>'Power Purchases'!C136</f>
        <v>344560.65682029963</v>
      </c>
      <c r="D52" s="244">
        <f t="shared" si="1"/>
        <v>45243862.624583691</v>
      </c>
      <c r="E52" s="212">
        <v>737.1</v>
      </c>
      <c r="F52" s="212">
        <v>0</v>
      </c>
      <c r="G52" s="136">
        <v>28</v>
      </c>
      <c r="H52" s="136">
        <v>0</v>
      </c>
      <c r="I52" s="136">
        <v>304</v>
      </c>
      <c r="J52" s="136">
        <v>0</v>
      </c>
      <c r="K52" s="136">
        <v>1</v>
      </c>
      <c r="L52" s="136">
        <f>CDM!B123</f>
        <v>1188976.967763392</v>
      </c>
      <c r="M52" s="165">
        <f t="shared" si="7"/>
        <v>26255.764999999999</v>
      </c>
      <c r="N52" s="165">
        <v>61381.77459283387</v>
      </c>
      <c r="O52" s="128">
        <v>61.7</v>
      </c>
      <c r="P52" s="127">
        <v>1.3048832541586679</v>
      </c>
      <c r="Q52" s="165">
        <v>305</v>
      </c>
      <c r="R52" s="247">
        <f t="shared" si="2"/>
        <v>45059080.472630635</v>
      </c>
      <c r="S52" s="74">
        <f t="shared" si="5"/>
        <v>3.0856679117133877E-2</v>
      </c>
      <c r="T52"/>
      <c r="U52" s="36" t="s">
        <v>119</v>
      </c>
      <c r="V52" s="36">
        <v>1922283.8246596621</v>
      </c>
      <c r="W52" s="36">
        <v>272453.46682291129</v>
      </c>
      <c r="X52" s="36">
        <v>7.055457385349051</v>
      </c>
      <c r="Y52" s="36">
        <v>1.5643226793408504E-10</v>
      </c>
      <c r="Z52" s="36">
        <v>1382399.0919535717</v>
      </c>
      <c r="AA52" s="36">
        <v>2462168.5573657528</v>
      </c>
      <c r="AB52" s="36">
        <v>1382399.0919535717</v>
      </c>
      <c r="AC52" s="36">
        <v>2462168.5573657528</v>
      </c>
      <c r="AN52" s="136"/>
      <c r="AO52" s="133"/>
      <c r="AP52" s="136"/>
      <c r="AQ52" s="136"/>
      <c r="AR52" s="136"/>
      <c r="AS52" s="32"/>
    </row>
    <row r="53" spans="1:45" ht="13.8" thickBot="1" x14ac:dyDescent="0.3">
      <c r="A53" s="75">
        <v>41699</v>
      </c>
      <c r="B53" s="136">
        <f>'Power Purchases'!B137</f>
        <v>46032208.333333336</v>
      </c>
      <c r="C53" s="136">
        <f>'Power Purchases'!C137</f>
        <v>369722.30849984067</v>
      </c>
      <c r="D53" s="244">
        <f t="shared" si="1"/>
        <v>47597568.497494519</v>
      </c>
      <c r="E53" s="212">
        <v>690.6</v>
      </c>
      <c r="F53" s="212">
        <v>0</v>
      </c>
      <c r="G53" s="136">
        <v>31</v>
      </c>
      <c r="H53" s="136">
        <v>1</v>
      </c>
      <c r="I53" s="136">
        <v>336</v>
      </c>
      <c r="J53" s="136">
        <v>0</v>
      </c>
      <c r="K53" s="136">
        <v>1</v>
      </c>
      <c r="L53" s="136">
        <f>CDM!B124</f>
        <v>1195637.8556613375</v>
      </c>
      <c r="M53" s="165">
        <f t="shared" si="7"/>
        <v>26263.147499999999</v>
      </c>
      <c r="N53" s="165">
        <v>61473.07361563517</v>
      </c>
      <c r="O53" s="128">
        <v>61.4</v>
      </c>
      <c r="P53" s="127">
        <v>1.3071451111703298</v>
      </c>
      <c r="Q53" s="165">
        <v>371</v>
      </c>
      <c r="R53" s="247">
        <f t="shared" si="2"/>
        <v>46329275.238027453</v>
      </c>
      <c r="S53" s="74">
        <f t="shared" si="5"/>
        <v>6.4534575995782136E-3</v>
      </c>
      <c r="T53"/>
      <c r="U53" s="48" t="s">
        <v>213</v>
      </c>
      <c r="V53" s="48">
        <v>-1.547573153255932</v>
      </c>
      <c r="W53" s="48">
        <v>0.16595905522788371</v>
      </c>
      <c r="X53" s="48">
        <v>-9.3250299065086253</v>
      </c>
      <c r="Y53" s="48">
        <v>1.2823292088252597E-15</v>
      </c>
      <c r="Z53" s="48">
        <v>-1.876432100131064</v>
      </c>
      <c r="AA53" s="48">
        <v>-1.2187142063808001</v>
      </c>
      <c r="AB53" s="48">
        <v>-1.876432100131064</v>
      </c>
      <c r="AC53" s="48">
        <v>-1.2187142063808001</v>
      </c>
      <c r="AN53" s="136"/>
      <c r="AO53" s="133"/>
      <c r="AP53" s="136"/>
      <c r="AQ53" s="136"/>
      <c r="AR53" s="136"/>
      <c r="AS53" s="32"/>
    </row>
    <row r="54" spans="1:45" x14ac:dyDescent="0.25">
      <c r="A54" s="75">
        <v>41730</v>
      </c>
      <c r="B54" s="136">
        <f>'Power Purchases'!B138</f>
        <v>40510400.000000007</v>
      </c>
      <c r="C54" s="136">
        <f>'Power Purchases'!C138</f>
        <v>364211.69791062688</v>
      </c>
      <c r="D54" s="244">
        <f t="shared" si="1"/>
        <v>42076910.441469923</v>
      </c>
      <c r="E54" s="212">
        <v>356.9</v>
      </c>
      <c r="F54" s="212">
        <v>0</v>
      </c>
      <c r="G54" s="136">
        <v>30</v>
      </c>
      <c r="H54" s="136">
        <v>1</v>
      </c>
      <c r="I54" s="136">
        <v>336</v>
      </c>
      <c r="J54" s="136">
        <v>0</v>
      </c>
      <c r="K54" s="136">
        <v>1</v>
      </c>
      <c r="L54" s="136">
        <f>CDM!B125</f>
        <v>1202298.743559283</v>
      </c>
      <c r="M54" s="165">
        <f t="shared" si="7"/>
        <v>26270.53</v>
      </c>
      <c r="N54" s="165">
        <v>61564.372638436471</v>
      </c>
      <c r="O54" s="128">
        <v>61.8</v>
      </c>
      <c r="P54" s="127">
        <v>1.3094108888370581</v>
      </c>
      <c r="Q54" s="165">
        <v>405</v>
      </c>
      <c r="R54" s="247">
        <f t="shared" si="2"/>
        <v>41988611.686059281</v>
      </c>
      <c r="S54" s="74">
        <f t="shared" si="5"/>
        <v>3.6489683786367785E-2</v>
      </c>
      <c r="T54"/>
      <c r="AN54" s="136"/>
      <c r="AO54" s="133"/>
      <c r="AP54" s="136"/>
      <c r="AQ54" s="136"/>
      <c r="AR54" s="136"/>
      <c r="AS54" s="32"/>
    </row>
    <row r="55" spans="1:45" x14ac:dyDescent="0.25">
      <c r="A55" s="75">
        <v>41760</v>
      </c>
      <c r="B55" s="136">
        <f>'Power Purchases'!B139</f>
        <v>40106715.384615391</v>
      </c>
      <c r="C55" s="136">
        <f>'Power Purchases'!C139</f>
        <v>407712.04294844402</v>
      </c>
      <c r="D55" s="244">
        <f t="shared" si="1"/>
        <v>41723387.059021071</v>
      </c>
      <c r="E55" s="212">
        <v>132.1</v>
      </c>
      <c r="F55" s="212">
        <v>11.9</v>
      </c>
      <c r="G55" s="136">
        <v>31</v>
      </c>
      <c r="H55" s="136">
        <v>1</v>
      </c>
      <c r="I55" s="136">
        <v>336</v>
      </c>
      <c r="J55" s="136">
        <v>0</v>
      </c>
      <c r="K55" s="136">
        <v>1</v>
      </c>
      <c r="L55" s="136">
        <f>CDM!B126</f>
        <v>1208959.6314572284</v>
      </c>
      <c r="M55" s="165">
        <f t="shared" si="7"/>
        <v>26277.912499999999</v>
      </c>
      <c r="N55" s="165">
        <v>61655.671661237771</v>
      </c>
      <c r="O55" s="128">
        <v>62.1</v>
      </c>
      <c r="P55" s="127">
        <v>1.3116805939548331</v>
      </c>
      <c r="Q55" s="165">
        <v>457</v>
      </c>
      <c r="R55" s="247">
        <f t="shared" si="2"/>
        <v>41543121.323178567</v>
      </c>
      <c r="S55" s="74">
        <f t="shared" si="5"/>
        <v>3.5814599245745489E-2</v>
      </c>
      <c r="T55"/>
      <c r="AN55" s="136"/>
      <c r="AO55" s="133"/>
      <c r="AP55" s="136"/>
      <c r="AQ55" s="136"/>
      <c r="AR55" s="136"/>
      <c r="AS55" s="32"/>
    </row>
    <row r="56" spans="1:45" x14ac:dyDescent="0.25">
      <c r="A56" s="75">
        <v>41791</v>
      </c>
      <c r="B56" s="136">
        <f>'Power Purchases'!B140</f>
        <v>44371569.230769232</v>
      </c>
      <c r="C56" s="136">
        <f>'Power Purchases'!C140</f>
        <v>434286.40581554372</v>
      </c>
      <c r="D56" s="244">
        <f t="shared" si="1"/>
        <v>46021476.155939944</v>
      </c>
      <c r="E56" s="212">
        <v>14.1</v>
      </c>
      <c r="F56" s="212">
        <v>68.099999999999994</v>
      </c>
      <c r="G56" s="136">
        <v>30</v>
      </c>
      <c r="H56" s="136">
        <v>0</v>
      </c>
      <c r="I56" s="136">
        <v>336</v>
      </c>
      <c r="J56" s="136">
        <v>0</v>
      </c>
      <c r="K56" s="136">
        <v>1</v>
      </c>
      <c r="L56" s="136">
        <f>CDM!B127</f>
        <v>1215620.5193551739</v>
      </c>
      <c r="M56" s="165">
        <f t="shared" si="7"/>
        <v>26285.294999999998</v>
      </c>
      <c r="N56" s="165">
        <v>61746.970684039072</v>
      </c>
      <c r="O56" s="128">
        <v>62.2</v>
      </c>
      <c r="P56" s="127">
        <v>1.3139542333314154</v>
      </c>
      <c r="Q56" s="165">
        <v>462</v>
      </c>
      <c r="R56" s="247">
        <f t="shared" si="2"/>
        <v>45067141.63048292</v>
      </c>
      <c r="S56" s="74">
        <f t="shared" si="5"/>
        <v>1.5676082946179566E-2</v>
      </c>
      <c r="T56"/>
      <c r="AN56" s="136"/>
      <c r="AO56" s="133"/>
      <c r="AP56" s="136"/>
      <c r="AQ56" s="136"/>
      <c r="AR56" s="136"/>
      <c r="AS56" s="32"/>
    </row>
    <row r="57" spans="1:45" x14ac:dyDescent="0.25">
      <c r="A57" s="75">
        <v>41821</v>
      </c>
      <c r="B57" s="136">
        <f>'Power Purchases'!B141</f>
        <v>45905092.307692312</v>
      </c>
      <c r="C57" s="136">
        <f>'Power Purchases'!C141</f>
        <v>447810.8365780696</v>
      </c>
      <c r="D57" s="244">
        <f t="shared" si="1"/>
        <v>47575184.551523499</v>
      </c>
      <c r="E57" s="212">
        <v>4</v>
      </c>
      <c r="F57" s="212">
        <v>71</v>
      </c>
      <c r="G57" s="136">
        <v>31</v>
      </c>
      <c r="H57" s="136">
        <v>0</v>
      </c>
      <c r="I57" s="136">
        <v>352</v>
      </c>
      <c r="J57" s="136">
        <v>0</v>
      </c>
      <c r="K57" s="136">
        <v>1</v>
      </c>
      <c r="L57" s="136">
        <f>CDM!B128</f>
        <v>1222281.4072531194</v>
      </c>
      <c r="M57" s="165">
        <f t="shared" si="7"/>
        <v>26292.677499999998</v>
      </c>
      <c r="N57" s="165">
        <v>61838.269706840372</v>
      </c>
      <c r="O57" s="128">
        <v>62</v>
      </c>
      <c r="P57" s="127">
        <v>1.3162318137863656</v>
      </c>
      <c r="Q57" s="165">
        <v>467</v>
      </c>
      <c r="R57" s="247">
        <f t="shared" si="2"/>
        <v>46432045.645860612</v>
      </c>
      <c r="S57" s="74">
        <f t="shared" si="5"/>
        <v>1.1479191341915659E-2</v>
      </c>
      <c r="T57"/>
      <c r="AN57" s="136"/>
      <c r="AO57" s="133"/>
      <c r="AP57" s="136"/>
      <c r="AQ57" s="136"/>
      <c r="AR57" s="136"/>
      <c r="AS57" s="32"/>
    </row>
    <row r="58" spans="1:45" x14ac:dyDescent="0.25">
      <c r="A58" s="75">
        <v>41852</v>
      </c>
      <c r="B58" s="136">
        <f>'Power Purchases'!B142</f>
        <v>45108330.769230776</v>
      </c>
      <c r="C58" s="136">
        <f>'Power Purchases'!C142</f>
        <v>449619.84873813408</v>
      </c>
      <c r="D58" s="244">
        <f t="shared" si="1"/>
        <v>46786892.913119972</v>
      </c>
      <c r="E58" s="212">
        <v>8.8000000000000007</v>
      </c>
      <c r="F58" s="212">
        <v>81.8</v>
      </c>
      <c r="G58" s="136">
        <v>31</v>
      </c>
      <c r="H58" s="136">
        <v>0</v>
      </c>
      <c r="I58" s="136">
        <v>320</v>
      </c>
      <c r="J58" s="136">
        <v>0</v>
      </c>
      <c r="K58" s="136">
        <v>1</v>
      </c>
      <c r="L58" s="136">
        <f>CDM!B129</f>
        <v>1228942.2951510649</v>
      </c>
      <c r="M58" s="165">
        <f t="shared" si="7"/>
        <v>26300.059999999998</v>
      </c>
      <c r="N58" s="165">
        <v>61929.568729641673</v>
      </c>
      <c r="O58" s="128">
        <v>61.8</v>
      </c>
      <c r="P58" s="127">
        <v>1.318513342151066</v>
      </c>
      <c r="Q58" s="165">
        <v>432</v>
      </c>
      <c r="R58" s="247">
        <f t="shared" si="2"/>
        <v>46675299.332031839</v>
      </c>
      <c r="S58" s="74">
        <f t="shared" si="5"/>
        <v>3.4737897325828805E-2</v>
      </c>
      <c r="T58" s="14"/>
      <c r="AN58" s="136"/>
      <c r="AO58" s="133"/>
      <c r="AP58" s="136"/>
      <c r="AQ58" s="136"/>
      <c r="AR58" s="136"/>
      <c r="AS58" s="32"/>
    </row>
    <row r="59" spans="1:45" x14ac:dyDescent="0.25">
      <c r="A59" s="75">
        <v>41883</v>
      </c>
      <c r="B59" s="136">
        <f>'Power Purchases'!B143</f>
        <v>42012569.230769232</v>
      </c>
      <c r="C59" s="136">
        <f>'Power Purchases'!C143</f>
        <v>409967.99028005893</v>
      </c>
      <c r="D59" s="244">
        <f t="shared" si="1"/>
        <v>43658140.404098302</v>
      </c>
      <c r="E59" s="212">
        <v>69.7</v>
      </c>
      <c r="F59" s="212">
        <v>30.1</v>
      </c>
      <c r="G59" s="136">
        <v>30</v>
      </c>
      <c r="H59" s="136">
        <v>0</v>
      </c>
      <c r="I59" s="136">
        <v>336</v>
      </c>
      <c r="J59" s="136">
        <v>1</v>
      </c>
      <c r="K59" s="136">
        <v>1</v>
      </c>
      <c r="L59" s="136">
        <f>CDM!B130</f>
        <v>1235603.1830490103</v>
      </c>
      <c r="M59" s="165">
        <f t="shared" si="7"/>
        <v>26307.442499999997</v>
      </c>
      <c r="N59" s="165">
        <v>62020.867752442973</v>
      </c>
      <c r="O59" s="128">
        <v>61.5</v>
      </c>
      <c r="P59" s="127">
        <v>1.3207988252687393</v>
      </c>
      <c r="Q59" s="165">
        <v>374</v>
      </c>
      <c r="R59" s="247">
        <f t="shared" si="2"/>
        <v>42313210.238064826</v>
      </c>
      <c r="S59" s="74">
        <f t="shared" si="5"/>
        <v>7.1559776704969921E-3</v>
      </c>
      <c r="T59" s="14"/>
      <c r="AN59" s="136"/>
      <c r="AO59" s="133"/>
      <c r="AP59" s="136"/>
      <c r="AQ59" s="136"/>
      <c r="AR59" s="136"/>
      <c r="AS59" s="32"/>
    </row>
    <row r="60" spans="1:45" x14ac:dyDescent="0.25">
      <c r="A60" s="75">
        <v>41913</v>
      </c>
      <c r="B60" s="136">
        <f>'Power Purchases'!B144</f>
        <v>41451569.230769232</v>
      </c>
      <c r="C60" s="136">
        <f>'Power Purchases'!C144</f>
        <v>387948.04373114801</v>
      </c>
      <c r="D60" s="244">
        <f t="shared" si="1"/>
        <v>43081781.345447332</v>
      </c>
      <c r="E60" s="212">
        <v>224.3</v>
      </c>
      <c r="F60" s="212">
        <v>1.3</v>
      </c>
      <c r="G60" s="136">
        <v>31</v>
      </c>
      <c r="H60" s="136">
        <v>0</v>
      </c>
      <c r="I60" s="136">
        <v>352</v>
      </c>
      <c r="J60" s="136">
        <v>1</v>
      </c>
      <c r="K60" s="136">
        <v>1</v>
      </c>
      <c r="L60" s="136">
        <f>CDM!B131</f>
        <v>1242264.0709469558</v>
      </c>
      <c r="M60" s="165">
        <f t="shared" si="7"/>
        <v>26314.824999999997</v>
      </c>
      <c r="N60" s="165">
        <v>62112.166775244274</v>
      </c>
      <c r="O60" s="128">
        <v>61.5</v>
      </c>
      <c r="P60" s="127">
        <v>1.3230882699944708</v>
      </c>
      <c r="Q60" s="165">
        <v>340</v>
      </c>
      <c r="R60" s="247">
        <f t="shared" si="2"/>
        <v>43123196.439719975</v>
      </c>
      <c r="S60" s="74">
        <f t="shared" si="5"/>
        <v>4.032723585552233E-2</v>
      </c>
      <c r="T60" s="14"/>
      <c r="AN60" s="136"/>
      <c r="AO60" s="133"/>
      <c r="AP60" s="136"/>
      <c r="AQ60" s="136"/>
      <c r="AR60" s="136"/>
      <c r="AS60" s="32"/>
    </row>
    <row r="61" spans="1:45" x14ac:dyDescent="0.25">
      <c r="A61" s="75">
        <v>41944</v>
      </c>
      <c r="B61" s="136">
        <f>'Power Purchases'!B145</f>
        <v>43930638.461538464</v>
      </c>
      <c r="C61" s="136">
        <f>'Power Purchases'!C145</f>
        <v>361048.33803633484</v>
      </c>
      <c r="D61" s="244">
        <f t="shared" si="1"/>
        <v>45540611.7584197</v>
      </c>
      <c r="E61" s="212">
        <v>482.1</v>
      </c>
      <c r="F61" s="212">
        <v>0</v>
      </c>
      <c r="G61" s="136">
        <v>30</v>
      </c>
      <c r="H61" s="136">
        <v>0</v>
      </c>
      <c r="I61" s="136">
        <v>320</v>
      </c>
      <c r="J61" s="136">
        <v>1</v>
      </c>
      <c r="K61" s="136">
        <v>1</v>
      </c>
      <c r="L61" s="136">
        <f>CDM!B132</f>
        <v>1248924.9588449013</v>
      </c>
      <c r="M61" s="165">
        <f t="shared" si="7"/>
        <v>26322.207499999997</v>
      </c>
      <c r="N61" s="165">
        <v>62203.465798045574</v>
      </c>
      <c r="O61" s="128">
        <v>61.4</v>
      </c>
      <c r="P61" s="127">
        <v>1.3253816831952283</v>
      </c>
      <c r="Q61" s="165">
        <v>290</v>
      </c>
      <c r="R61" s="247">
        <f t="shared" si="2"/>
        <v>44081565.318288542</v>
      </c>
      <c r="S61" s="74">
        <f t="shared" si="5"/>
        <v>3.4355716655977094E-3</v>
      </c>
      <c r="T61" s="14"/>
      <c r="AN61" s="136"/>
      <c r="AO61" s="133"/>
      <c r="AP61" s="136"/>
      <c r="AQ61" s="136"/>
      <c r="AR61" s="136"/>
      <c r="AS61" s="32"/>
    </row>
    <row r="62" spans="1:45" x14ac:dyDescent="0.25">
      <c r="A62" s="75">
        <v>41974</v>
      </c>
      <c r="B62" s="136">
        <f>'Power Purchases'!B146</f>
        <v>46542090</v>
      </c>
      <c r="C62" s="136">
        <f>'Power Purchases'!C146</f>
        <v>387177.47979959776</v>
      </c>
      <c r="D62" s="244">
        <f t="shared" si="1"/>
        <v>48184853.326542445</v>
      </c>
      <c r="E62" s="212">
        <v>557.29999999999995</v>
      </c>
      <c r="F62" s="212">
        <f>+F50</f>
        <v>0</v>
      </c>
      <c r="G62" s="136">
        <v>31</v>
      </c>
      <c r="H62" s="136">
        <v>0</v>
      </c>
      <c r="I62" s="136">
        <v>336</v>
      </c>
      <c r="J62" s="136">
        <v>0</v>
      </c>
      <c r="K62" s="136">
        <v>1</v>
      </c>
      <c r="L62" s="136">
        <f>CDM!B133</f>
        <v>1255585.8467428468</v>
      </c>
      <c r="M62" s="165">
        <f>+'Rate Class Customer Model'!I7</f>
        <v>26329.59</v>
      </c>
      <c r="N62" s="165">
        <v>62294.764820846904</v>
      </c>
      <c r="O62" s="128">
        <v>61.4</v>
      </c>
      <c r="P62" s="127">
        <v>1.3276790717498821</v>
      </c>
      <c r="Q62" s="165">
        <v>269</v>
      </c>
      <c r="R62" s="247">
        <f t="shared" si="2"/>
        <v>46764441.377008252</v>
      </c>
      <c r="S62" s="74">
        <f t="shared" si="5"/>
        <v>4.7774257023750297E-3</v>
      </c>
      <c r="T62" s="14"/>
      <c r="AN62" s="136"/>
      <c r="AO62" s="133"/>
      <c r="AP62" s="136"/>
      <c r="AQ62" s="136"/>
      <c r="AR62" s="136"/>
      <c r="AS62" s="32"/>
    </row>
    <row r="63" spans="1:45" x14ac:dyDescent="0.25">
      <c r="A63" s="75">
        <v>42005</v>
      </c>
      <c r="B63" s="136">
        <f>'Power Purchases'!B147</f>
        <v>48816492.307692312</v>
      </c>
      <c r="C63" s="136">
        <f>'Power Purchases'!C147</f>
        <v>362427.56525563047</v>
      </c>
      <c r="D63" s="244">
        <f t="shared" si="1"/>
        <v>50468148.882977873</v>
      </c>
      <c r="E63" s="212">
        <f>[2]en_climate_daily_ON_6158731_201!$Q$32</f>
        <v>792.39999999999975</v>
      </c>
      <c r="F63" s="212">
        <f>[2]en_climate_daily_ON_6158731_201!$S$32</f>
        <v>0</v>
      </c>
      <c r="G63" s="136">
        <v>31</v>
      </c>
      <c r="H63" s="136">
        <v>0</v>
      </c>
      <c r="I63" s="136">
        <v>336</v>
      </c>
      <c r="J63" s="136">
        <v>0</v>
      </c>
      <c r="K63" s="136">
        <v>1</v>
      </c>
      <c r="L63" s="136">
        <f>CDM!B134</f>
        <v>1289229.010029936</v>
      </c>
      <c r="M63" s="165">
        <f t="shared" ref="M63:M73" si="8">+($M$74-$M$62)/12+M62</f>
        <v>26372.124166666668</v>
      </c>
      <c r="N63" s="165">
        <v>62386.063843648204</v>
      </c>
      <c r="O63" s="128">
        <v>61.489309090909089</v>
      </c>
      <c r="P63" s="127">
        <v>1.3304138732565836</v>
      </c>
      <c r="Q63" s="165">
        <v>290</v>
      </c>
      <c r="R63" s="247">
        <f t="shared" si="2"/>
        <v>49128572.751915224</v>
      </c>
      <c r="S63" s="74">
        <f t="shared" si="5"/>
        <v>6.3929305337191503E-3</v>
      </c>
      <c r="AN63" s="136"/>
      <c r="AO63" s="133"/>
      <c r="AP63" s="136"/>
      <c r="AQ63" s="136"/>
      <c r="AR63" s="136"/>
      <c r="AS63" s="32"/>
    </row>
    <row r="64" spans="1:45" x14ac:dyDescent="0.25">
      <c r="A64" s="75">
        <v>42036</v>
      </c>
      <c r="B64" s="136">
        <f>'Power Purchases'!B148</f>
        <v>45756884.615384616</v>
      </c>
      <c r="C64" s="136">
        <f>'Power Purchases'!C148</f>
        <v>322990.48154355906</v>
      </c>
      <c r="D64" s="244">
        <f t="shared" si="1"/>
        <v>47402747.270245194</v>
      </c>
      <c r="E64" s="212">
        <f>[2]en_climate_daily_ON_6158731_201!$Q$61</f>
        <v>856.8</v>
      </c>
      <c r="F64" s="212">
        <f>[2]en_climate_daily_ON_6158731_201!$S$61</f>
        <v>0</v>
      </c>
      <c r="G64" s="136">
        <v>28</v>
      </c>
      <c r="H64" s="136">
        <v>0</v>
      </c>
      <c r="I64" s="136">
        <v>304</v>
      </c>
      <c r="J64" s="136">
        <v>0</v>
      </c>
      <c r="K64" s="136">
        <v>1</v>
      </c>
      <c r="L64" s="136">
        <f>CDM!B135</f>
        <v>1322872.1733170252</v>
      </c>
      <c r="M64" s="165">
        <f t="shared" si="8"/>
        <v>26414.658333333336</v>
      </c>
      <c r="N64" s="165">
        <v>62477.362866449505</v>
      </c>
      <c r="O64" s="128">
        <v>61.578618181818179</v>
      </c>
      <c r="P64" s="127">
        <v>1.3331543080066195</v>
      </c>
      <c r="Q64" s="165">
        <v>305</v>
      </c>
      <c r="R64" s="247">
        <f t="shared" si="2"/>
        <v>46262766.24709411</v>
      </c>
      <c r="S64" s="74">
        <f t="shared" si="5"/>
        <v>1.1055858281474949E-2</v>
      </c>
      <c r="AN64" s="136"/>
      <c r="AO64" s="133"/>
      <c r="AP64" s="136"/>
      <c r="AQ64" s="136"/>
      <c r="AR64" s="136"/>
      <c r="AS64" s="32"/>
    </row>
    <row r="65" spans="1:45" x14ac:dyDescent="0.25">
      <c r="A65" s="75">
        <v>42064</v>
      </c>
      <c r="B65" s="136">
        <f>'Power Purchases'!B149</f>
        <v>45128223.07692308</v>
      </c>
      <c r="C65" s="136">
        <f>'Power Purchases'!C149</f>
        <v>350937.04062846134</v>
      </c>
      <c r="D65" s="244">
        <f t="shared" si="1"/>
        <v>46835675.454155654</v>
      </c>
      <c r="E65" s="212">
        <f>[2]en_climate_daily_ON_6158731_201!$Q$92</f>
        <v>615.49999999999989</v>
      </c>
      <c r="F65" s="212">
        <f>[2]en_climate_daily_ON_6158731_201!$S$92</f>
        <v>0</v>
      </c>
      <c r="G65" s="136">
        <v>31</v>
      </c>
      <c r="H65" s="136">
        <v>1</v>
      </c>
      <c r="I65" s="136">
        <v>352</v>
      </c>
      <c r="J65" s="136">
        <v>0</v>
      </c>
      <c r="K65" s="136">
        <v>1</v>
      </c>
      <c r="L65" s="136">
        <f>CDM!B136</f>
        <v>1356515.3366041144</v>
      </c>
      <c r="M65" s="165">
        <f t="shared" si="8"/>
        <v>26457.192500000005</v>
      </c>
      <c r="N65" s="165">
        <v>62568.661889250805</v>
      </c>
      <c r="O65" s="128">
        <v>61.667927272727269</v>
      </c>
      <c r="P65" s="127">
        <v>1.3359003876035485</v>
      </c>
      <c r="Q65" s="165">
        <v>371</v>
      </c>
      <c r="R65" s="247">
        <f t="shared" si="2"/>
        <v>45853244.939287856</v>
      </c>
      <c r="S65" s="74">
        <f t="shared" si="5"/>
        <v>1.6065818969405114E-2</v>
      </c>
      <c r="AN65" s="136"/>
      <c r="AO65" s="133"/>
      <c r="AP65" s="136"/>
      <c r="AQ65" s="136"/>
      <c r="AR65" s="136"/>
      <c r="AS65" s="32"/>
    </row>
    <row r="66" spans="1:45" x14ac:dyDescent="0.25">
      <c r="A66" s="75">
        <v>42095</v>
      </c>
      <c r="B66" s="136">
        <f>'Power Purchases'!B150</f>
        <v>39795161.538461536</v>
      </c>
      <c r="C66" s="136">
        <f>'Power Purchases'!C150</f>
        <v>343438.7201936944</v>
      </c>
      <c r="D66" s="244">
        <f t="shared" si="1"/>
        <v>41528758.758546434</v>
      </c>
      <c r="E66" s="212">
        <f>[2]en_climate_daily_ON_6158731_201!$Q$122</f>
        <v>313.7</v>
      </c>
      <c r="F66" s="212">
        <f>[2]en_climate_daily_ON_6158731_201!$S$122</f>
        <v>0</v>
      </c>
      <c r="G66" s="136">
        <v>30</v>
      </c>
      <c r="H66" s="136">
        <v>1</v>
      </c>
      <c r="I66" s="136">
        <v>336</v>
      </c>
      <c r="J66" s="136">
        <v>0</v>
      </c>
      <c r="K66" s="136">
        <v>1</v>
      </c>
      <c r="L66" s="136">
        <f>CDM!B137</f>
        <v>1390158.4998912036</v>
      </c>
      <c r="M66" s="165">
        <f t="shared" si="8"/>
        <v>26499.726666666673</v>
      </c>
      <c r="N66" s="165">
        <v>62659.960912052105</v>
      </c>
      <c r="O66" s="128">
        <v>61.757236363636359</v>
      </c>
      <c r="P66" s="127">
        <v>1.3386521236748312</v>
      </c>
      <c r="Q66" s="165">
        <v>405</v>
      </c>
      <c r="R66" s="247">
        <f t="shared" si="2"/>
        <v>41554198.774974719</v>
      </c>
      <c r="S66" s="74">
        <f t="shared" si="5"/>
        <v>4.4202289135403923E-2</v>
      </c>
      <c r="AN66" s="136"/>
      <c r="AO66" s="133"/>
      <c r="AP66" s="136"/>
      <c r="AQ66" s="136"/>
      <c r="AR66" s="136"/>
      <c r="AS66" s="32"/>
    </row>
    <row r="67" spans="1:45" x14ac:dyDescent="0.25">
      <c r="A67" s="75">
        <v>42125</v>
      </c>
      <c r="B67" s="136">
        <f>'Power Purchases'!B151</f>
        <v>41355323.07692308</v>
      </c>
      <c r="C67" s="136">
        <f>'Power Purchases'!C151</f>
        <v>401949.59698020766</v>
      </c>
      <c r="D67" s="244">
        <f t="shared" si="1"/>
        <v>43181074.337081581</v>
      </c>
      <c r="E67" s="212">
        <f>[2]en_climate_daily_ON_6158731_201!$Q$153</f>
        <v>89.3</v>
      </c>
      <c r="F67" s="212">
        <f>[2]en_climate_daily_ON_6158731_201!$S$153</f>
        <v>34.1</v>
      </c>
      <c r="G67" s="136">
        <v>31</v>
      </c>
      <c r="H67" s="136">
        <v>1</v>
      </c>
      <c r="I67" s="136">
        <v>320</v>
      </c>
      <c r="J67" s="136">
        <v>0</v>
      </c>
      <c r="K67" s="136">
        <v>1</v>
      </c>
      <c r="L67" s="136">
        <f>CDM!B138</f>
        <v>1423801.6631782928</v>
      </c>
      <c r="M67" s="165">
        <f t="shared" si="8"/>
        <v>26542.260833333341</v>
      </c>
      <c r="N67" s="165">
        <v>62751.259934853406</v>
      </c>
      <c r="O67" s="128">
        <v>61.846545454545449</v>
      </c>
      <c r="P67" s="127">
        <v>1.3414095278718787</v>
      </c>
      <c r="Q67" s="165">
        <v>457</v>
      </c>
      <c r="R67" s="247">
        <f t="shared" si="2"/>
        <v>42382045.824740216</v>
      </c>
      <c r="S67" s="74">
        <f t="shared" ref="S67:S98" si="9">+(R67-B67)/B67</f>
        <v>2.48268583443872E-2</v>
      </c>
      <c r="AN67" s="136"/>
      <c r="AO67" s="133"/>
      <c r="AP67" s="136"/>
      <c r="AQ67" s="136"/>
      <c r="AR67" s="136"/>
      <c r="AS67" s="32"/>
    </row>
    <row r="68" spans="1:45" x14ac:dyDescent="0.25">
      <c r="A68" s="75">
        <v>42156</v>
      </c>
      <c r="B68" s="136">
        <f>'Power Purchases'!B152</f>
        <v>42250830.769230776</v>
      </c>
      <c r="C68" s="136">
        <f>'Power Purchases'!C152</f>
        <v>402428.42973151943</v>
      </c>
      <c r="D68" s="244">
        <f t="shared" ref="D68:D122" si="10">B68+C68+L68</f>
        <v>44110704.025427677</v>
      </c>
      <c r="E68" s="212">
        <f>[2]en_climate_daily_ON_6158731_201!$Q$183</f>
        <v>33.800000000000004</v>
      </c>
      <c r="F68" s="212">
        <f>[2]en_climate_daily_ON_6158731_201!$S$183</f>
        <v>32.299999999999997</v>
      </c>
      <c r="G68" s="136">
        <v>30</v>
      </c>
      <c r="H68" s="136">
        <v>0</v>
      </c>
      <c r="I68" s="136">
        <v>352</v>
      </c>
      <c r="J68" s="136">
        <v>0</v>
      </c>
      <c r="K68" s="136">
        <v>1</v>
      </c>
      <c r="L68" s="136">
        <f>CDM!B139</f>
        <v>1457444.826465382</v>
      </c>
      <c r="M68" s="165">
        <f t="shared" si="8"/>
        <v>26584.795000000009</v>
      </c>
      <c r="N68" s="165">
        <v>62842.558957654706</v>
      </c>
      <c r="O68" s="128">
        <v>61.935854545454539</v>
      </c>
      <c r="P68" s="127">
        <v>1.3441726118701018</v>
      </c>
      <c r="Q68" s="165">
        <v>462</v>
      </c>
      <c r="R68" s="247">
        <f t="shared" ref="R68:R131" si="11">+$V$19+E68*$V$20+F68*$V$21+G68*$V$22+H68*$V$23+I68*$V$24+J68*$V$25+K68*$V$26</f>
        <v>43047308.856843121</v>
      </c>
      <c r="S68" s="74">
        <f t="shared" si="9"/>
        <v>1.8851181695399514E-2</v>
      </c>
      <c r="AN68" s="136"/>
      <c r="AO68" s="133"/>
      <c r="AP68" s="136"/>
      <c r="AQ68" s="136"/>
      <c r="AR68" s="136"/>
      <c r="AS68" s="32"/>
    </row>
    <row r="69" spans="1:45" x14ac:dyDescent="0.25">
      <c r="A69" s="75">
        <v>42186</v>
      </c>
      <c r="B69" s="136">
        <f>'Power Purchases'!B153</f>
        <v>48484707.692307696</v>
      </c>
      <c r="C69" s="136">
        <f>'Power Purchases'!C153</f>
        <v>431244.74203963188</v>
      </c>
      <c r="D69" s="244">
        <f t="shared" si="10"/>
        <v>50407040.424099796</v>
      </c>
      <c r="E69" s="212">
        <f>[2]en_climate_daily_ON_6158731_201!$Q$214</f>
        <v>4</v>
      </c>
      <c r="F69" s="212">
        <f>[2]en_climate_daily_ON_6158731_201!$S$214</f>
        <v>114.29999999999998</v>
      </c>
      <c r="G69" s="136">
        <v>31</v>
      </c>
      <c r="H69" s="136">
        <v>0</v>
      </c>
      <c r="I69" s="136">
        <v>352</v>
      </c>
      <c r="J69" s="136">
        <v>0</v>
      </c>
      <c r="K69" s="136">
        <v>1</v>
      </c>
      <c r="L69" s="136">
        <f>CDM!B140</f>
        <v>1491087.9897524712</v>
      </c>
      <c r="M69" s="165">
        <f t="shared" si="8"/>
        <v>26627.329166666677</v>
      </c>
      <c r="N69" s="165">
        <v>62933.857980456007</v>
      </c>
      <c r="O69" s="128">
        <v>62.025163636363629</v>
      </c>
      <c r="P69" s="127">
        <v>1.3469413873689611</v>
      </c>
      <c r="Q69" s="165">
        <v>467</v>
      </c>
      <c r="R69" s="247">
        <f t="shared" si="11"/>
        <v>49452278.065802731</v>
      </c>
      <c r="S69" s="74">
        <f t="shared" si="9"/>
        <v>1.9956196903060715E-2</v>
      </c>
      <c r="AN69" s="136"/>
      <c r="AO69" s="133"/>
      <c r="AP69" s="136"/>
      <c r="AQ69" s="136"/>
      <c r="AR69" s="136"/>
      <c r="AS69" s="32"/>
    </row>
    <row r="70" spans="1:45" x14ac:dyDescent="0.25">
      <c r="A70" s="75">
        <v>42217</v>
      </c>
      <c r="B70" s="136">
        <f>'Power Purchases'!B154</f>
        <v>45724546.15384616</v>
      </c>
      <c r="C70" s="136">
        <f>'Power Purchases'!C154</f>
        <v>423198.3949868512</v>
      </c>
      <c r="D70" s="244">
        <f t="shared" si="10"/>
        <v>47672475.701872572</v>
      </c>
      <c r="E70" s="212">
        <f>[2]en_climate_daily_ON_6158731_201!$Q$245</f>
        <v>4.4000000000000004</v>
      </c>
      <c r="F70" s="212">
        <f>[2]en_climate_daily_ON_6158731_201!$S$245</f>
        <v>88.6</v>
      </c>
      <c r="G70" s="136">
        <v>31</v>
      </c>
      <c r="H70" s="136">
        <v>0</v>
      </c>
      <c r="I70" s="136">
        <v>320</v>
      </c>
      <c r="J70" s="136">
        <v>0</v>
      </c>
      <c r="K70" s="136">
        <v>1</v>
      </c>
      <c r="L70" s="136">
        <f>CDM!B141</f>
        <v>1524731.1530395604</v>
      </c>
      <c r="M70" s="165">
        <f t="shared" si="8"/>
        <v>26669.863333333346</v>
      </c>
      <c r="N70" s="165">
        <v>63025.157003257307</v>
      </c>
      <c r="O70" s="128">
        <v>62.11447272727272</v>
      </c>
      <c r="P70" s="127">
        <v>1.3497158660920161</v>
      </c>
      <c r="Q70" s="165">
        <v>432</v>
      </c>
      <c r="R70" s="247">
        <f t="shared" si="11"/>
        <v>47105362.590020016</v>
      </c>
      <c r="S70" s="74">
        <f t="shared" si="9"/>
        <v>3.0198581556783975E-2</v>
      </c>
      <c r="AN70" s="136"/>
      <c r="AO70" s="133"/>
      <c r="AP70" s="136"/>
      <c r="AQ70" s="136"/>
      <c r="AR70" s="136"/>
      <c r="AS70" s="32"/>
    </row>
    <row r="71" spans="1:45" x14ac:dyDescent="0.25">
      <c r="A71" s="75">
        <v>42248</v>
      </c>
      <c r="B71" s="136">
        <f>'Power Purchases'!B155</f>
        <v>44512200</v>
      </c>
      <c r="C71" s="136">
        <f>'Power Purchases'!C155</f>
        <v>402469.8154579635</v>
      </c>
      <c r="D71" s="244">
        <f t="shared" si="10"/>
        <v>46473044.13178461</v>
      </c>
      <c r="E71" s="212">
        <f>[2]en_climate_daily_ON_6158731_201!$Q$275</f>
        <v>31.099999999999994</v>
      </c>
      <c r="F71" s="212">
        <f>[2]en_climate_daily_ON_6158731_201!$S$275</f>
        <v>81.900000000000006</v>
      </c>
      <c r="G71" s="136">
        <v>30</v>
      </c>
      <c r="H71" s="136">
        <v>0</v>
      </c>
      <c r="I71" s="136">
        <v>336</v>
      </c>
      <c r="J71" s="136">
        <v>1</v>
      </c>
      <c r="K71" s="136">
        <v>1</v>
      </c>
      <c r="L71" s="136">
        <f>CDM!B142</f>
        <v>1558374.3163266496</v>
      </c>
      <c r="M71" s="165">
        <f t="shared" si="8"/>
        <v>26712.397500000014</v>
      </c>
      <c r="N71" s="165">
        <v>63116.456026058608</v>
      </c>
      <c r="O71" s="128">
        <v>62.20378181818181</v>
      </c>
      <c r="P71" s="127">
        <v>1.3524960597869746</v>
      </c>
      <c r="Q71" s="165">
        <v>374</v>
      </c>
      <c r="R71" s="247">
        <f t="shared" si="11"/>
        <v>45538172.949082464</v>
      </c>
      <c r="S71" s="74">
        <f t="shared" si="9"/>
        <v>2.3049252768509845E-2</v>
      </c>
      <c r="AN71" s="136"/>
      <c r="AO71" s="133"/>
      <c r="AP71" s="136"/>
      <c r="AQ71" s="136"/>
      <c r="AR71" s="136"/>
      <c r="AS71" s="32"/>
    </row>
    <row r="72" spans="1:45" x14ac:dyDescent="0.25">
      <c r="A72" s="75">
        <v>42278</v>
      </c>
      <c r="B72" s="136">
        <f>'Power Purchases'!B156</f>
        <v>40212553.846153848</v>
      </c>
      <c r="C72" s="136">
        <f>'Power Purchases'!C156</f>
        <v>356482.57250341837</v>
      </c>
      <c r="D72" s="244">
        <f t="shared" si="10"/>
        <v>42161053.898271002</v>
      </c>
      <c r="E72" s="212">
        <f>[2]en_climate_daily_ON_6158731_201!$Q$306</f>
        <v>249.8</v>
      </c>
      <c r="F72" s="212">
        <f>[2]en_climate_daily_ON_6158731_201!$S$306</f>
        <v>0</v>
      </c>
      <c r="G72" s="136">
        <v>31</v>
      </c>
      <c r="H72" s="136">
        <v>0</v>
      </c>
      <c r="I72" s="136">
        <v>336</v>
      </c>
      <c r="J72" s="136">
        <v>1</v>
      </c>
      <c r="K72" s="136">
        <v>1</v>
      </c>
      <c r="L72" s="136">
        <f>CDM!B143</f>
        <v>1592017.4796137388</v>
      </c>
      <c r="M72" s="165">
        <f t="shared" si="8"/>
        <v>26754.931666666682</v>
      </c>
      <c r="N72" s="165">
        <v>63207.755048859908</v>
      </c>
      <c r="O72" s="128">
        <v>62.2930909090909</v>
      </c>
      <c r="P72" s="127">
        <v>1.3552819802257432</v>
      </c>
      <c r="Q72" s="165">
        <v>340</v>
      </c>
      <c r="R72" s="247">
        <f t="shared" si="11"/>
        <v>43009779.63514182</v>
      </c>
      <c r="S72" s="74">
        <f t="shared" si="9"/>
        <v>6.9561008228665733E-2</v>
      </c>
      <c r="AN72" s="136"/>
      <c r="AO72" s="133"/>
      <c r="AP72" s="136"/>
      <c r="AQ72" s="136"/>
      <c r="AR72" s="136"/>
      <c r="AS72" s="32"/>
    </row>
    <row r="73" spans="1:45" x14ac:dyDescent="0.25">
      <c r="A73" s="75">
        <v>42309</v>
      </c>
      <c r="B73" s="136">
        <f>'Power Purchases'!B157</f>
        <v>40228438.461538464</v>
      </c>
      <c r="C73" s="136">
        <f>'Power Purchases'!C157</f>
        <v>310868.38150276762</v>
      </c>
      <c r="D73" s="244">
        <f t="shared" si="10"/>
        <v>42164967.485942058</v>
      </c>
      <c r="E73" s="212">
        <f>[2]en_climate_daily_ON_6158731_201!$Q$336</f>
        <v>345</v>
      </c>
      <c r="F73" s="212">
        <f>[2]en_climate_daily_ON_6158731_201!$S$336</f>
        <v>0</v>
      </c>
      <c r="G73" s="136">
        <v>30</v>
      </c>
      <c r="H73" s="136">
        <v>0</v>
      </c>
      <c r="I73" s="136">
        <v>336</v>
      </c>
      <c r="J73" s="136">
        <v>1</v>
      </c>
      <c r="K73" s="136">
        <v>1</v>
      </c>
      <c r="L73" s="136">
        <f>CDM!B144</f>
        <v>1625660.642900828</v>
      </c>
      <c r="M73" s="165">
        <f t="shared" si="8"/>
        <v>26797.46583333335</v>
      </c>
      <c r="N73" s="165">
        <v>63299.054071661209</v>
      </c>
      <c r="O73" s="128">
        <v>62.38239999999999</v>
      </c>
      <c r="P73" s="127">
        <v>1.3580736392044765</v>
      </c>
      <c r="Q73" s="165">
        <v>290</v>
      </c>
      <c r="R73" s="247">
        <f t="shared" si="11"/>
        <v>42982072.045307204</v>
      </c>
      <c r="S73" s="74">
        <f t="shared" si="9"/>
        <v>6.8449924706906765E-2</v>
      </c>
      <c r="AN73" s="136"/>
      <c r="AO73" s="133"/>
      <c r="AP73" s="136"/>
      <c r="AQ73" s="136"/>
      <c r="AR73" s="136"/>
      <c r="AS73" s="32"/>
    </row>
    <row r="74" spans="1:45" x14ac:dyDescent="0.25">
      <c r="A74" s="75">
        <v>42339</v>
      </c>
      <c r="B74" s="136">
        <f>'Power Purchases'!B158</f>
        <v>42116161.538461544</v>
      </c>
      <c r="C74" s="136">
        <f>'Power Purchases'!C158</f>
        <v>343804.16455349658</v>
      </c>
      <c r="D74" s="244">
        <f t="shared" si="10"/>
        <v>44119269.509202957</v>
      </c>
      <c r="E74" s="212">
        <f>[2]en_climate_daily_ON_6158731_201!$Q$367</f>
        <v>429.70000000000005</v>
      </c>
      <c r="F74" s="212">
        <f>[2]en_climate_daily_ON_6158731_201!$S$367</f>
        <v>0</v>
      </c>
      <c r="G74" s="136">
        <v>31</v>
      </c>
      <c r="H74" s="136">
        <v>0</v>
      </c>
      <c r="I74" s="136">
        <v>336</v>
      </c>
      <c r="J74" s="136">
        <v>0</v>
      </c>
      <c r="K74" s="136">
        <v>1</v>
      </c>
      <c r="L74" s="136">
        <f>CDM!B145</f>
        <v>1659303.8061879172</v>
      </c>
      <c r="M74" s="165">
        <f>+'Rate Class Customer Model'!I8</f>
        <v>26840</v>
      </c>
      <c r="N74" s="165">
        <v>63390.353094462538</v>
      </c>
      <c r="O74" s="128">
        <v>62.382399999999997</v>
      </c>
      <c r="P74" s="127">
        <v>1.3608710485436271</v>
      </c>
      <c r="Q74" s="165">
        <v>269</v>
      </c>
      <c r="R74" s="247">
        <f t="shared" si="11"/>
        <v>45481314.352601066</v>
      </c>
      <c r="S74" s="74">
        <f t="shared" si="9"/>
        <v>7.9901697856923165E-2</v>
      </c>
      <c r="T74" s="24"/>
      <c r="AN74" s="136"/>
      <c r="AO74" s="133"/>
      <c r="AP74" s="136"/>
      <c r="AQ74" s="136"/>
      <c r="AR74" s="136"/>
      <c r="AS74" s="32"/>
    </row>
    <row r="75" spans="1:45" x14ac:dyDescent="0.25">
      <c r="A75" s="75">
        <v>42370</v>
      </c>
      <c r="B75" s="136">
        <f>'Power Purchases'!B159</f>
        <v>45315053.846153848</v>
      </c>
      <c r="C75" s="136">
        <f>'Power Purchases'!C159</f>
        <v>337749.23526122357</v>
      </c>
      <c r="D75" s="244">
        <f t="shared" si="10"/>
        <v>47355443.421284854</v>
      </c>
      <c r="E75" s="212">
        <f>[3]en_climate_daily_ON_6158731_201!$Q$32</f>
        <v>670.4</v>
      </c>
      <c r="F75" s="212">
        <f>[3]en_climate_daily_ON_6158731_201!$S$32</f>
        <v>0</v>
      </c>
      <c r="G75" s="136">
        <v>31</v>
      </c>
      <c r="H75" s="136">
        <v>0</v>
      </c>
      <c r="I75" s="136">
        <v>336</v>
      </c>
      <c r="J75" s="136">
        <v>0</v>
      </c>
      <c r="K75" s="136">
        <v>1</v>
      </c>
      <c r="L75" s="136">
        <f>CDM!B146</f>
        <v>1702640.339869784</v>
      </c>
      <c r="M75" s="165">
        <f>+(M86-M74)/12+M74</f>
        <v>26862.5</v>
      </c>
      <c r="N75" s="165">
        <v>63481.652117263839</v>
      </c>
      <c r="O75" s="128">
        <v>62.467466909090909</v>
      </c>
      <c r="P75" s="127">
        <v>1.3636742200879963</v>
      </c>
      <c r="Q75" s="165">
        <v>290</v>
      </c>
      <c r="R75" s="247">
        <f t="shared" si="11"/>
        <v>47901758.512278259</v>
      </c>
      <c r="S75" s="74">
        <f t="shared" si="9"/>
        <v>5.7082678857810945E-2</v>
      </c>
      <c r="AN75" s="136"/>
      <c r="AO75" s="133"/>
      <c r="AP75" s="136"/>
      <c r="AQ75" s="136"/>
      <c r="AR75" s="136"/>
      <c r="AS75" s="32"/>
    </row>
    <row r="76" spans="1:45" x14ac:dyDescent="0.25">
      <c r="A76" s="75">
        <v>42401</v>
      </c>
      <c r="B76" s="136">
        <f>'Power Purchases'!B160</f>
        <v>41541076.923076928</v>
      </c>
      <c r="C76" s="136">
        <f>'Power Purchases'!C160</f>
        <v>320958.24468009436</v>
      </c>
      <c r="D76" s="244">
        <f t="shared" si="10"/>
        <v>43608012.041308671</v>
      </c>
      <c r="E76" s="212">
        <f>[3]en_climate_daily_ON_6158731_201!$Q$61</f>
        <v>588.4</v>
      </c>
      <c r="F76" s="212">
        <f>[3]en_climate_daily_ON_6158731_201!$S$61</f>
        <v>0</v>
      </c>
      <c r="G76" s="136">
        <v>29</v>
      </c>
      <c r="H76" s="136">
        <v>0</v>
      </c>
      <c r="I76" s="136">
        <v>320</v>
      </c>
      <c r="J76" s="136">
        <v>0</v>
      </c>
      <c r="K76" s="136">
        <v>1</v>
      </c>
      <c r="L76" s="136">
        <f>CDM!B147</f>
        <v>1745976.8735516507</v>
      </c>
      <c r="M76" s="165">
        <f>+(M86-M74)/12+M75</f>
        <v>26885</v>
      </c>
      <c r="N76" s="165">
        <v>63572.951140065139</v>
      </c>
      <c r="O76" s="128">
        <v>62.552533818181821</v>
      </c>
      <c r="P76" s="127">
        <v>1.3664831657067829</v>
      </c>
      <c r="Q76" s="165">
        <v>305</v>
      </c>
      <c r="R76" s="247">
        <f t="shared" si="11"/>
        <v>44827964.219267935</v>
      </c>
      <c r="S76" s="74">
        <f t="shared" si="9"/>
        <v>7.9123786373604413E-2</v>
      </c>
      <c r="AN76" s="136"/>
      <c r="AO76" s="133"/>
      <c r="AP76" s="136"/>
      <c r="AQ76" s="136"/>
      <c r="AR76" s="136"/>
      <c r="AS76" s="32"/>
    </row>
    <row r="77" spans="1:45" x14ac:dyDescent="0.25">
      <c r="A77" s="75">
        <v>42430</v>
      </c>
      <c r="B77" s="136">
        <f>'Power Purchases'!B161</f>
        <v>41395176.923076928</v>
      </c>
      <c r="C77" s="136">
        <f>'Power Purchases'!C161</f>
        <v>327852.67503373791</v>
      </c>
      <c r="D77" s="244">
        <f t="shared" si="10"/>
        <v>43512343.005344182</v>
      </c>
      <c r="E77" s="212">
        <f>[3]en_climate_daily_ON_6158731_201!$Q$92</f>
        <v>476.0999999999998</v>
      </c>
      <c r="F77" s="212">
        <f>[3]en_climate_daily_ON_6158731_201!$S$92</f>
        <v>0</v>
      </c>
      <c r="G77" s="136">
        <v>31</v>
      </c>
      <c r="H77" s="136">
        <v>1</v>
      </c>
      <c r="I77" s="136">
        <v>352</v>
      </c>
      <c r="J77" s="136">
        <v>0</v>
      </c>
      <c r="K77" s="136">
        <v>1</v>
      </c>
      <c r="L77" s="136">
        <f>CDM!B148</f>
        <v>1789313.4072335174</v>
      </c>
      <c r="M77" s="165">
        <f>+(M86-M74)/12+M76</f>
        <v>26907.5</v>
      </c>
      <c r="N77" s="165">
        <v>63664.250162866439</v>
      </c>
      <c r="O77" s="128">
        <v>62.637600727272734</v>
      </c>
      <c r="P77" s="127">
        <v>1.3692978972936354</v>
      </c>
      <c r="Q77" s="165">
        <v>371</v>
      </c>
      <c r="R77" s="247">
        <f t="shared" si="11"/>
        <v>44451458.832686275</v>
      </c>
      <c r="S77" s="74">
        <f t="shared" si="9"/>
        <v>7.3831835899354145E-2</v>
      </c>
      <c r="AN77" s="136"/>
      <c r="AO77" s="133"/>
      <c r="AP77" s="136"/>
      <c r="AQ77" s="136"/>
      <c r="AR77" s="136"/>
      <c r="AS77" s="32"/>
    </row>
    <row r="78" spans="1:45" x14ac:dyDescent="0.25">
      <c r="A78" s="75">
        <v>42461</v>
      </c>
      <c r="B78" s="136">
        <f>'Power Purchases'!B162</f>
        <v>39414946.15384616</v>
      </c>
      <c r="C78" s="136">
        <f>'Power Purchases'!C162</f>
        <v>330631.5781521984</v>
      </c>
      <c r="D78" s="244">
        <f t="shared" si="10"/>
        <v>41578227.672913745</v>
      </c>
      <c r="E78" s="212">
        <f>[3]en_climate_daily_ON_6158731_201!$Q$122</f>
        <v>394.8</v>
      </c>
      <c r="F78" s="212">
        <f>[3]en_climate_daily_ON_6158731_201!$S$122</f>
        <v>0</v>
      </c>
      <c r="G78" s="136">
        <v>30</v>
      </c>
      <c r="H78" s="136">
        <v>1</v>
      </c>
      <c r="I78" s="136">
        <v>336</v>
      </c>
      <c r="J78" s="136">
        <v>0</v>
      </c>
      <c r="K78" s="136">
        <v>1</v>
      </c>
      <c r="L78" s="136">
        <f>CDM!B149</f>
        <v>1832649.9409153841</v>
      </c>
      <c r="M78" s="165">
        <f>+(M86-M74)/12+M77</f>
        <v>26930</v>
      </c>
      <c r="N78" s="165">
        <v>63755.54918566774</v>
      </c>
      <c r="O78" s="128">
        <v>62.722667636363646</v>
      </c>
      <c r="P78" s="127">
        <v>1.3721184267667004</v>
      </c>
      <c r="Q78" s="165">
        <v>405</v>
      </c>
      <c r="R78" s="247">
        <f t="shared" si="11"/>
        <v>42369728.568700604</v>
      </c>
      <c r="S78" s="74">
        <f t="shared" si="9"/>
        <v>7.4966039616576094E-2</v>
      </c>
      <c r="T78" s="46"/>
      <c r="AN78" s="136"/>
      <c r="AO78" s="133"/>
      <c r="AP78" s="136"/>
      <c r="AQ78" s="136"/>
      <c r="AR78" s="136"/>
      <c r="AS78" s="32"/>
    </row>
    <row r="79" spans="1:45" x14ac:dyDescent="0.25">
      <c r="A79" s="75">
        <v>42491</v>
      </c>
      <c r="B79" s="136">
        <f>'Power Purchases'!B163</f>
        <v>40694476.923076928</v>
      </c>
      <c r="C79" s="136">
        <f>'Power Purchases'!C163</f>
        <v>372769.66235455958</v>
      </c>
      <c r="D79" s="244">
        <f t="shared" si="10"/>
        <v>42943233.060028739</v>
      </c>
      <c r="E79" s="212">
        <f>[3]en_climate_daily_ON_6158731_201!$Q$153</f>
        <v>142.50000000000003</v>
      </c>
      <c r="F79" s="212">
        <f>[3]en_climate_daily_ON_6158731_201!$S$153</f>
        <v>36.9</v>
      </c>
      <c r="G79" s="136">
        <v>31</v>
      </c>
      <c r="H79" s="136">
        <v>1</v>
      </c>
      <c r="I79" s="136">
        <v>320</v>
      </c>
      <c r="J79" s="136">
        <v>0</v>
      </c>
      <c r="K79" s="136">
        <v>1</v>
      </c>
      <c r="L79" s="136">
        <f>CDM!B150</f>
        <v>1875986.4745972508</v>
      </c>
      <c r="M79" s="165">
        <f>+(M86-M74)/12+M78</f>
        <v>26952.5</v>
      </c>
      <c r="N79" s="165">
        <v>63846.84820846904</v>
      </c>
      <c r="O79" s="128">
        <v>62.807734545454558</v>
      </c>
      <c r="P79" s="127">
        <v>1.3749447660686738</v>
      </c>
      <c r="Q79" s="165">
        <v>457</v>
      </c>
      <c r="R79" s="247">
        <f t="shared" si="11"/>
        <v>43112320.99312517</v>
      </c>
      <c r="S79" s="74">
        <f t="shared" si="9"/>
        <v>5.9414550889020951E-2</v>
      </c>
      <c r="AN79" s="136"/>
      <c r="AO79" s="133"/>
      <c r="AP79" s="136"/>
      <c r="AQ79" s="136"/>
      <c r="AR79" s="136"/>
      <c r="AS79" s="32"/>
    </row>
    <row r="80" spans="1:45" x14ac:dyDescent="0.25">
      <c r="A80" s="75">
        <v>42522</v>
      </c>
      <c r="B80" s="136">
        <f>'Power Purchases'!B164</f>
        <v>44076992.307692304</v>
      </c>
      <c r="C80" s="136">
        <f>'Power Purchases'!C164</f>
        <v>387102.77731828851</v>
      </c>
      <c r="D80" s="244">
        <f t="shared" si="10"/>
        <v>46383418.093289711</v>
      </c>
      <c r="E80" s="212">
        <f>[3]en_climate_daily_ON_6158731_201!$Q$183</f>
        <v>24.200000000000003</v>
      </c>
      <c r="F80" s="212">
        <f>[3]en_climate_daily_ON_6158731_201!$S$183</f>
        <v>83.7</v>
      </c>
      <c r="G80" s="136">
        <v>30</v>
      </c>
      <c r="H80" s="136">
        <v>0</v>
      </c>
      <c r="I80" s="136">
        <v>352</v>
      </c>
      <c r="J80" s="136">
        <v>0</v>
      </c>
      <c r="K80" s="136">
        <v>1</v>
      </c>
      <c r="L80" s="136">
        <f>CDM!B151</f>
        <v>1919323.0082791175</v>
      </c>
      <c r="M80" s="165">
        <f>+(M86-M74)/12+M79</f>
        <v>26975</v>
      </c>
      <c r="N80" s="165">
        <v>63938.147231270341</v>
      </c>
      <c r="O80" s="128">
        <v>62.89280145454547</v>
      </c>
      <c r="P80" s="127">
        <v>1.3777769271668525</v>
      </c>
      <c r="Q80" s="165">
        <v>462</v>
      </c>
      <c r="R80" s="247">
        <f t="shared" si="11"/>
        <v>46535990.815696858</v>
      </c>
      <c r="S80" s="74">
        <f t="shared" si="9"/>
        <v>5.5788709239477985E-2</v>
      </c>
      <c r="AN80" s="136"/>
      <c r="AO80" s="133"/>
      <c r="AP80" s="136"/>
      <c r="AQ80" s="136"/>
      <c r="AR80" s="136"/>
      <c r="AS80" s="32"/>
    </row>
    <row r="81" spans="1:45" x14ac:dyDescent="0.25">
      <c r="A81" s="75">
        <v>42552</v>
      </c>
      <c r="B81" s="136">
        <f>'Power Purchases'!B165</f>
        <v>50187092.307692312</v>
      </c>
      <c r="C81" s="136">
        <f>'Power Purchases'!C165</f>
        <v>423836.34677714237</v>
      </c>
      <c r="D81" s="244">
        <f t="shared" si="10"/>
        <v>52573588.196430437</v>
      </c>
      <c r="E81" s="212">
        <f>[3]en_climate_daily_ON_6158731_201!$Q$214</f>
        <v>0</v>
      </c>
      <c r="F81" s="212">
        <f>[3]en_climate_daily_ON_6158731_201!$S$214</f>
        <v>176.89999999999998</v>
      </c>
      <c r="G81" s="136">
        <v>31</v>
      </c>
      <c r="H81" s="136">
        <v>0</v>
      </c>
      <c r="I81" s="136">
        <v>352</v>
      </c>
      <c r="J81" s="136">
        <v>0</v>
      </c>
      <c r="K81" s="136">
        <v>1</v>
      </c>
      <c r="L81" s="136">
        <f>CDM!B152</f>
        <v>1962659.5419609842</v>
      </c>
      <c r="M81" s="165">
        <f>+(M86-M74)/12+M80</f>
        <v>26997.5</v>
      </c>
      <c r="N81" s="165">
        <v>64029.446254071641</v>
      </c>
      <c r="O81" s="128">
        <v>62.977868363636382</v>
      </c>
      <c r="P81" s="127">
        <v>1.3806149220531836</v>
      </c>
      <c r="Q81" s="165">
        <v>467</v>
      </c>
      <c r="R81" s="247">
        <f t="shared" si="11"/>
        <v>53778487.661698081</v>
      </c>
      <c r="S81" s="74">
        <f t="shared" si="9"/>
        <v>7.1560140045318105E-2</v>
      </c>
      <c r="AN81" s="136"/>
      <c r="AO81" s="133"/>
      <c r="AP81" s="136"/>
      <c r="AQ81" s="136"/>
      <c r="AR81" s="136"/>
      <c r="AS81" s="32"/>
    </row>
    <row r="82" spans="1:45" x14ac:dyDescent="0.25">
      <c r="A82" s="75">
        <v>42583</v>
      </c>
      <c r="B82" s="136">
        <f>'Power Purchases'!B166</f>
        <v>52272200</v>
      </c>
      <c r="C82" s="136">
        <f>'Power Purchases'!C166</f>
        <v>434756.92175367515</v>
      </c>
      <c r="D82" s="244">
        <f t="shared" si="10"/>
        <v>54712952.997396529</v>
      </c>
      <c r="E82" s="212">
        <f>[3]en_climate_daily_ON_6158731_201!$Q$245</f>
        <v>0</v>
      </c>
      <c r="F82" s="212">
        <f>[3]en_climate_daily_ON_6158731_201!$S$245</f>
        <v>195.4</v>
      </c>
      <c r="G82" s="136">
        <v>31</v>
      </c>
      <c r="H82" s="136">
        <v>0</v>
      </c>
      <c r="I82" s="136">
        <v>320</v>
      </c>
      <c r="J82" s="136">
        <v>0</v>
      </c>
      <c r="K82" s="136">
        <v>1</v>
      </c>
      <c r="L82" s="136">
        <f>CDM!B153</f>
        <v>2005996.0756428509</v>
      </c>
      <c r="M82" s="165">
        <f>+(M86-M74)/12+M81</f>
        <v>27020</v>
      </c>
      <c r="N82" s="165">
        <v>64120.745276872942</v>
      </c>
      <c r="O82" s="128">
        <v>63.062935272727294</v>
      </c>
      <c r="P82" s="127">
        <v>1.3834587627443147</v>
      </c>
      <c r="Q82" s="165">
        <v>432</v>
      </c>
      <c r="R82" s="247">
        <f t="shared" si="11"/>
        <v>54510558.457574293</v>
      </c>
      <c r="S82" s="74">
        <f t="shared" si="9"/>
        <v>4.2821202428332705E-2</v>
      </c>
      <c r="AN82" s="136"/>
      <c r="AO82" s="133"/>
      <c r="AP82" s="136"/>
      <c r="AQ82" s="136"/>
      <c r="AR82" s="136"/>
      <c r="AS82" s="32"/>
    </row>
    <row r="83" spans="1:45" x14ac:dyDescent="0.25">
      <c r="A83" s="75">
        <v>42614</v>
      </c>
      <c r="B83" s="136">
        <f>'Power Purchases'!B167</f>
        <v>42823330.769230776</v>
      </c>
      <c r="C83" s="136">
        <f>'Power Purchases'!C167</f>
        <v>383992.91413692007</v>
      </c>
      <c r="D83" s="244">
        <f t="shared" si="10"/>
        <v>45256656.292692408</v>
      </c>
      <c r="E83" s="212">
        <f>[3]en_climate_daily_ON_6158731_201!$Q$275</f>
        <v>25.900000000000006</v>
      </c>
      <c r="F83" s="212">
        <f>[3]en_climate_daily_ON_6158731_201!$S$275</f>
        <v>69.400000000000006</v>
      </c>
      <c r="G83" s="136">
        <v>30</v>
      </c>
      <c r="H83" s="136">
        <v>0</v>
      </c>
      <c r="I83" s="136">
        <v>336</v>
      </c>
      <c r="J83" s="136">
        <v>1</v>
      </c>
      <c r="K83" s="136">
        <v>1</v>
      </c>
      <c r="L83" s="136">
        <f>CDM!B154</f>
        <v>2049332.6093247177</v>
      </c>
      <c r="M83" s="165">
        <f>+(M86-M74)/12+M82</f>
        <v>27042.5</v>
      </c>
      <c r="N83" s="165">
        <v>64212.044299674242</v>
      </c>
      <c r="O83" s="128">
        <v>63.148002181818207</v>
      </c>
      <c r="P83" s="127">
        <v>1.386308461281647</v>
      </c>
      <c r="Q83" s="165">
        <v>374</v>
      </c>
      <c r="R83" s="247">
        <f t="shared" si="11"/>
        <v>44613990.929885782</v>
      </c>
      <c r="S83" s="74">
        <f t="shared" si="9"/>
        <v>4.1815060353540358E-2</v>
      </c>
      <c r="AN83" s="136"/>
      <c r="AO83" s="133"/>
      <c r="AP83" s="136"/>
      <c r="AQ83" s="136"/>
      <c r="AR83" s="136"/>
      <c r="AS83" s="32"/>
    </row>
    <row r="84" spans="1:45" x14ac:dyDescent="0.25">
      <c r="A84" s="75">
        <v>42644</v>
      </c>
      <c r="B84" s="136">
        <f>'Power Purchases'!B168</f>
        <v>39617084.615384616</v>
      </c>
      <c r="C84" s="136">
        <f>'Power Purchases'!C168</f>
        <v>346291.23845012311</v>
      </c>
      <c r="D84" s="244">
        <f t="shared" si="10"/>
        <v>42056044.996841326</v>
      </c>
      <c r="E84" s="212">
        <f>[3]en_climate_daily_ON_6158731_201!$Q$306</f>
        <v>194.20000000000002</v>
      </c>
      <c r="F84" s="212">
        <f>[3]en_climate_daily_ON_6158731_201!$S$306</f>
        <v>4.0999999999999996</v>
      </c>
      <c r="G84" s="136">
        <v>31</v>
      </c>
      <c r="H84" s="136">
        <v>0</v>
      </c>
      <c r="I84" s="136">
        <v>336</v>
      </c>
      <c r="J84" s="136">
        <v>1</v>
      </c>
      <c r="K84" s="136">
        <v>1</v>
      </c>
      <c r="L84" s="136">
        <f>CDM!B155</f>
        <v>2092669.1430065844</v>
      </c>
      <c r="M84" s="165">
        <f>+(M86-M74)/12+M83</f>
        <v>27065</v>
      </c>
      <c r="N84" s="165">
        <v>64303.343322475543</v>
      </c>
      <c r="O84" s="128">
        <v>63.233069090909119</v>
      </c>
      <c r="P84" s="127">
        <v>1.3891640297313848</v>
      </c>
      <c r="Q84" s="165">
        <v>340</v>
      </c>
      <c r="R84" s="247">
        <f t="shared" si="11"/>
        <v>42736654.566201121</v>
      </c>
      <c r="S84" s="74">
        <f t="shared" si="9"/>
        <v>7.8743046872385786E-2</v>
      </c>
      <c r="AN84" s="136"/>
      <c r="AO84" s="133"/>
      <c r="AP84" s="136"/>
      <c r="AQ84" s="136"/>
      <c r="AR84" s="136"/>
      <c r="AS84" s="32"/>
    </row>
    <row r="85" spans="1:45" x14ac:dyDescent="0.25">
      <c r="A85" s="75">
        <v>42675</v>
      </c>
      <c r="B85" s="136">
        <f>'Power Purchases'!B169</f>
        <v>39695584.615384616</v>
      </c>
      <c r="C85" s="136">
        <f>'Power Purchases'!C169</f>
        <v>324442.16124738124</v>
      </c>
      <c r="D85" s="244">
        <f t="shared" si="10"/>
        <v>42156032.453320444</v>
      </c>
      <c r="E85" s="212">
        <f>[3]en_climate_daily_ON_6158731_201!$Q$336</f>
        <v>337.80000000000007</v>
      </c>
      <c r="F85" s="212">
        <f>[3]en_climate_daily_ON_6158731_201!$S$336</f>
        <v>0</v>
      </c>
      <c r="G85" s="136">
        <v>30</v>
      </c>
      <c r="H85" s="136">
        <v>0</v>
      </c>
      <c r="I85" s="136">
        <v>336</v>
      </c>
      <c r="J85" s="136">
        <v>1</v>
      </c>
      <c r="K85" s="136">
        <v>1</v>
      </c>
      <c r="L85" s="136">
        <f>CDM!B156</f>
        <v>2136005.6766884513</v>
      </c>
      <c r="M85" s="165">
        <f>+(M86-M74)/12+M84</f>
        <v>27087.5</v>
      </c>
      <c r="N85" s="165">
        <v>64394.642345276843</v>
      </c>
      <c r="O85" s="128">
        <v>63.318136000000031</v>
      </c>
      <c r="P85" s="127">
        <v>1.3920254801845864</v>
      </c>
      <c r="Q85" s="165">
        <v>290</v>
      </c>
      <c r="R85" s="247">
        <f t="shared" si="11"/>
        <v>42909669.893459782</v>
      </c>
      <c r="S85" s="74">
        <f t="shared" si="9"/>
        <v>8.096833210083268E-2</v>
      </c>
      <c r="AN85" s="136"/>
      <c r="AO85" s="133"/>
      <c r="AP85" s="136"/>
      <c r="AQ85" s="136"/>
      <c r="AR85" s="136"/>
      <c r="AS85" s="32"/>
    </row>
    <row r="86" spans="1:45" x14ac:dyDescent="0.25">
      <c r="A86" s="75">
        <v>42705</v>
      </c>
      <c r="B86" s="136">
        <f>'Power Purchases'!B170</f>
        <v>44259330.769230768</v>
      </c>
      <c r="C86" s="136">
        <f>'Power Purchases'!C170</f>
        <v>327599.3059297842</v>
      </c>
      <c r="D86" s="244">
        <f t="shared" si="10"/>
        <v>46766272.285530873</v>
      </c>
      <c r="E86" s="212">
        <f>[3]en_climate_daily_ON_6158731_201!$Q$367</f>
        <v>607.99999999999989</v>
      </c>
      <c r="F86" s="212">
        <f>[3]en_climate_daily_ON_6158731_201!$S$367</f>
        <v>0</v>
      </c>
      <c r="G86" s="136">
        <v>31</v>
      </c>
      <c r="H86" s="136">
        <v>0</v>
      </c>
      <c r="I86" s="136">
        <v>336</v>
      </c>
      <c r="J86" s="136">
        <v>0</v>
      </c>
      <c r="K86" s="136">
        <v>1</v>
      </c>
      <c r="L86" s="136">
        <f>CDM!B157</f>
        <v>2179342.210370318</v>
      </c>
      <c r="M86" s="165">
        <f>'Rate Class Customer Model'!I9</f>
        <v>27110</v>
      </c>
      <c r="N86" s="165">
        <v>64485.941368078173</v>
      </c>
      <c r="O86" s="128">
        <v>63.318135999999996</v>
      </c>
      <c r="P86" s="127">
        <v>1.3948928247572157</v>
      </c>
      <c r="Q86" s="165">
        <v>269</v>
      </c>
      <c r="R86" s="247">
        <f t="shared" si="11"/>
        <v>47274273.196267217</v>
      </c>
      <c r="S86" s="74">
        <f t="shared" si="9"/>
        <v>6.8119928038596719E-2</v>
      </c>
      <c r="AN86" s="136"/>
      <c r="AO86" s="133"/>
      <c r="AP86" s="136"/>
      <c r="AQ86" s="136"/>
      <c r="AR86" s="136"/>
      <c r="AS86" s="32"/>
    </row>
    <row r="87" spans="1:45" x14ac:dyDescent="0.25">
      <c r="A87" s="75">
        <v>42736</v>
      </c>
      <c r="B87" s="136">
        <f>'Power Purchases'!B171</f>
        <v>43933204.761904761</v>
      </c>
      <c r="C87" s="136">
        <f>'Power Purchases'!C171</f>
        <v>319667.69800010102</v>
      </c>
      <c r="D87" s="244">
        <f t="shared" si="10"/>
        <v>46462378.697983809</v>
      </c>
      <c r="E87" s="212">
        <f>[4]en_climate_daily_ON_6158731_201!$Q$32</f>
        <v>608.9</v>
      </c>
      <c r="F87" s="212">
        <f>[4]en_climate_daily_ON_6158731_201!$S$32</f>
        <v>0</v>
      </c>
      <c r="G87" s="136">
        <v>31</v>
      </c>
      <c r="H87" s="136">
        <v>0</v>
      </c>
      <c r="I87" s="136">
        <v>336</v>
      </c>
      <c r="J87" s="136">
        <v>0</v>
      </c>
      <c r="K87" s="136">
        <v>1</v>
      </c>
      <c r="L87" s="136">
        <f>CDM!B158</f>
        <v>2209506.2380789467</v>
      </c>
      <c r="M87" s="165">
        <f>+(M98-M86)/12+M86</f>
        <v>27117</v>
      </c>
      <c r="P87" s="6"/>
      <c r="R87" s="247">
        <f t="shared" si="11"/>
        <v>47283323.465248145</v>
      </c>
      <c r="S87" s="74">
        <f t="shared" si="9"/>
        <v>7.625482187104933E-2</v>
      </c>
      <c r="AN87" s="136"/>
      <c r="AO87" s="133"/>
      <c r="AP87" s="136"/>
      <c r="AQ87" s="136"/>
      <c r="AR87" s="136"/>
      <c r="AS87" s="32"/>
    </row>
    <row r="88" spans="1:45" x14ac:dyDescent="0.25">
      <c r="A88" s="75">
        <v>42767</v>
      </c>
      <c r="B88" s="136">
        <f>'Power Purchases'!B172</f>
        <v>38324828.571428575</v>
      </c>
      <c r="C88" s="136">
        <f>'Power Purchases'!C172</f>
        <v>289235.5943194257</v>
      </c>
      <c r="D88" s="244">
        <f t="shared" si="10"/>
        <v>40853734.431535572</v>
      </c>
      <c r="E88" s="212">
        <f>[4]en_climate_daily_ON_6158731_201!$Q$61</f>
        <v>510.4</v>
      </c>
      <c r="F88" s="212">
        <f>[4]en_climate_daily_ON_6158731_201!$S$61</f>
        <v>0</v>
      </c>
      <c r="G88" s="136">
        <v>28</v>
      </c>
      <c r="H88" s="136">
        <v>0</v>
      </c>
      <c r="I88" s="136">
        <v>304</v>
      </c>
      <c r="J88" s="136">
        <v>0</v>
      </c>
      <c r="K88" s="136">
        <v>1</v>
      </c>
      <c r="L88" s="136">
        <f>CDM!B159</f>
        <v>2239670.2657875754</v>
      </c>
      <c r="M88" s="165">
        <f>+(M98-M86)/12+M87</f>
        <v>27124</v>
      </c>
      <c r="R88" s="247">
        <f t="shared" si="11"/>
        <v>42779418.274878994</v>
      </c>
      <c r="S88" s="74">
        <f t="shared" si="9"/>
        <v>0.11623247564299209</v>
      </c>
      <c r="AN88" s="136"/>
      <c r="AO88" s="133"/>
      <c r="AP88" s="136"/>
      <c r="AQ88" s="136"/>
      <c r="AR88" s="136"/>
      <c r="AS88" s="32"/>
    </row>
    <row r="89" spans="1:45" x14ac:dyDescent="0.25">
      <c r="A89" s="75">
        <v>42795</v>
      </c>
      <c r="B89" s="136">
        <f>'Power Purchases'!B173</f>
        <v>42750761.90476191</v>
      </c>
      <c r="C89" s="136">
        <f>'Power Purchases'!C173</f>
        <v>325574.67085887905</v>
      </c>
      <c r="D89" s="244">
        <f t="shared" si="10"/>
        <v>45346170.869116999</v>
      </c>
      <c r="E89" s="212">
        <f>[4]en_climate_daily_ON_6158731_201!$Q$92</f>
        <v>574</v>
      </c>
      <c r="F89" s="212">
        <f>[4]en_climate_daily_ON_6158731_201!$S$92</f>
        <v>0</v>
      </c>
      <c r="G89" s="136">
        <v>31</v>
      </c>
      <c r="H89" s="136">
        <v>1</v>
      </c>
      <c r="I89" s="136">
        <v>368</v>
      </c>
      <c r="J89" s="136">
        <v>0</v>
      </c>
      <c r="K89" s="136">
        <v>1</v>
      </c>
      <c r="L89" s="136">
        <f>CDM!B160</f>
        <v>2269834.2934962041</v>
      </c>
      <c r="M89" s="165">
        <f>+(M98-M86)/12+M88</f>
        <v>27131</v>
      </c>
      <c r="R89" s="247">
        <f t="shared" si="11"/>
        <v>45715091.34916959</v>
      </c>
      <c r="S89" s="74">
        <f t="shared" si="9"/>
        <v>6.9339803838150763E-2</v>
      </c>
      <c r="AN89" s="136"/>
      <c r="AO89" s="133"/>
      <c r="AP89" s="136"/>
      <c r="AQ89" s="136"/>
      <c r="AR89" s="136"/>
      <c r="AS89" s="32"/>
    </row>
    <row r="90" spans="1:45" x14ac:dyDescent="0.25">
      <c r="A90" s="75">
        <v>42826</v>
      </c>
      <c r="B90" s="136">
        <f>'Power Purchases'!B174</f>
        <v>36992119.047619052</v>
      </c>
      <c r="C90" s="136">
        <f>'Power Purchases'!C174</f>
        <v>323682.63946597523</v>
      </c>
      <c r="D90" s="244">
        <f t="shared" si="10"/>
        <v>39615800.008289859</v>
      </c>
      <c r="E90" s="212">
        <f>[4]en_climate_daily_ON_6158731_201!$Q$122</f>
        <v>257.49999999999994</v>
      </c>
      <c r="F90" s="212">
        <f>[4]en_climate_daily_ON_6158731_201!$S$122</f>
        <v>0</v>
      </c>
      <c r="G90" s="136">
        <v>30</v>
      </c>
      <c r="H90" s="136">
        <v>1</v>
      </c>
      <c r="I90" s="136">
        <v>304</v>
      </c>
      <c r="J90" s="136">
        <v>0</v>
      </c>
      <c r="K90" s="136">
        <v>1</v>
      </c>
      <c r="L90" s="136">
        <f>CDM!B161</f>
        <v>2299998.3212048328</v>
      </c>
      <c r="M90" s="165">
        <f>+(M98-M86)/12+M89</f>
        <v>27138</v>
      </c>
      <c r="R90" s="247">
        <f t="shared" si="11"/>
        <v>40430731.019494325</v>
      </c>
      <c r="S90" s="74">
        <f t="shared" si="9"/>
        <v>9.2955258049662717E-2</v>
      </c>
      <c r="AN90" s="136"/>
      <c r="AO90" s="133"/>
      <c r="AP90" s="136"/>
      <c r="AQ90" s="136"/>
      <c r="AR90" s="136"/>
      <c r="AS90" s="32"/>
    </row>
    <row r="91" spans="1:45" x14ac:dyDescent="0.25">
      <c r="A91" s="75">
        <v>42856</v>
      </c>
      <c r="B91" s="136">
        <f>'Power Purchases'!B175</f>
        <v>37865342.857142858</v>
      </c>
      <c r="C91" s="136">
        <f>'Power Purchases'!C175</f>
        <v>349920.8929973187</v>
      </c>
      <c r="D91" s="244">
        <f t="shared" si="10"/>
        <v>40545426.099053636</v>
      </c>
      <c r="E91" s="212">
        <f>[4]en_climate_daily_ON_6158731_201!$Q$153</f>
        <v>177</v>
      </c>
      <c r="F91" s="212">
        <f>[4]en_climate_daily_ON_6158731_201!$S$153</f>
        <v>9</v>
      </c>
      <c r="G91" s="136">
        <v>31</v>
      </c>
      <c r="H91" s="136">
        <v>1</v>
      </c>
      <c r="I91" s="136">
        <v>352</v>
      </c>
      <c r="J91" s="136">
        <v>0</v>
      </c>
      <c r="K91" s="136">
        <v>1</v>
      </c>
      <c r="L91" s="136">
        <f>CDM!B162</f>
        <v>2330162.3489134614</v>
      </c>
      <c r="M91" s="165">
        <f>+(M98-M86)/12+M90</f>
        <v>27145</v>
      </c>
      <c r="R91" s="247">
        <f t="shared" si="11"/>
        <v>42071514.709552012</v>
      </c>
      <c r="S91" s="74">
        <f t="shared" si="9"/>
        <v>0.11108236543052213</v>
      </c>
      <c r="AN91" s="136"/>
      <c r="AO91" s="133"/>
      <c r="AP91" s="136"/>
      <c r="AQ91" s="136"/>
      <c r="AR91" s="136"/>
      <c r="AS91" s="32"/>
    </row>
    <row r="92" spans="1:45" x14ac:dyDescent="0.25">
      <c r="A92" s="75">
        <v>42887</v>
      </c>
      <c r="B92" s="136">
        <f>'Power Purchases'!B176</f>
        <v>41420161.904761903</v>
      </c>
      <c r="C92" s="136">
        <f>'Power Purchases'!C176</f>
        <v>373056.31375825993</v>
      </c>
      <c r="D92" s="244">
        <f t="shared" si="10"/>
        <v>44153544.595142253</v>
      </c>
      <c r="E92" s="212">
        <f>[4]en_climate_daily_ON_6158731_201!$Q$183</f>
        <v>26.699999999999996</v>
      </c>
      <c r="F92" s="212">
        <f>[4]en_climate_daily_ON_6158731_201!$S$183</f>
        <v>68.2</v>
      </c>
      <c r="G92" s="136">
        <v>30</v>
      </c>
      <c r="H92" s="136">
        <v>0</v>
      </c>
      <c r="I92" s="136">
        <v>352</v>
      </c>
      <c r="J92" s="136">
        <v>0</v>
      </c>
      <c r="K92" s="136">
        <v>1</v>
      </c>
      <c r="L92" s="136">
        <f>CDM!B163</f>
        <v>2360326.3766220901</v>
      </c>
      <c r="M92" s="165">
        <f>+(M98-M86)/12+M91</f>
        <v>27152</v>
      </c>
      <c r="R92" s="247">
        <f t="shared" si="11"/>
        <v>45479984.897272252</v>
      </c>
      <c r="S92" s="74">
        <f t="shared" si="9"/>
        <v>9.8015623450366268E-2</v>
      </c>
      <c r="AN92" s="136"/>
      <c r="AO92" s="133"/>
      <c r="AP92" s="136"/>
      <c r="AQ92" s="136"/>
      <c r="AR92" s="136"/>
      <c r="AS92" s="32"/>
    </row>
    <row r="93" spans="1:45" x14ac:dyDescent="0.25">
      <c r="A93" s="75">
        <v>42917</v>
      </c>
      <c r="B93" s="136">
        <f>'Power Purchases'!B177</f>
        <v>45550933.333333336</v>
      </c>
      <c r="C93" s="136">
        <f>'Power Purchases'!C177</f>
        <v>398576.2469553891</v>
      </c>
      <c r="D93" s="244">
        <f t="shared" si="10"/>
        <v>48339999.984619439</v>
      </c>
      <c r="E93" s="212">
        <f>[4]en_climate_daily_ON_6158731_201!$Q$214</f>
        <v>0</v>
      </c>
      <c r="F93" s="212">
        <f>[4]en_climate_daily_ON_6158731_201!$S$214</f>
        <v>116.49999999999999</v>
      </c>
      <c r="G93" s="136">
        <v>31</v>
      </c>
      <c r="H93" s="136">
        <v>0</v>
      </c>
      <c r="I93" s="136">
        <v>320</v>
      </c>
      <c r="J93" s="136">
        <v>0</v>
      </c>
      <c r="K93" s="136">
        <v>1</v>
      </c>
      <c r="L93" s="136">
        <f>CDM!B164</f>
        <v>2390490.4043307188</v>
      </c>
      <c r="M93" s="165">
        <f>+(M98-M86)/12+M92</f>
        <v>27159</v>
      </c>
      <c r="R93" s="247">
        <f t="shared" si="11"/>
        <v>49007178.82862664</v>
      </c>
      <c r="S93" s="74">
        <f t="shared" si="9"/>
        <v>7.5876502244227068E-2</v>
      </c>
      <c r="AN93" s="136"/>
      <c r="AO93" s="133"/>
      <c r="AP93" s="136"/>
      <c r="AQ93" s="136"/>
      <c r="AR93" s="136"/>
      <c r="AS93" s="32"/>
    </row>
    <row r="94" spans="1:45" x14ac:dyDescent="0.25">
      <c r="A94" s="75">
        <v>42948</v>
      </c>
      <c r="B94" s="136">
        <f>'Power Purchases'!B178</f>
        <v>43657633.333333343</v>
      </c>
      <c r="C94" s="136">
        <f>'Power Purchases'!C178</f>
        <v>397346.39751648402</v>
      </c>
      <c r="D94" s="244">
        <f t="shared" si="10"/>
        <v>46475634.162889175</v>
      </c>
      <c r="E94" s="212">
        <f>[4]en_climate_daily_ON_6158731_201!$Q$245</f>
        <v>11.6</v>
      </c>
      <c r="F94" s="212">
        <f>[4]en_climate_daily_ON_6158731_201!$S$245</f>
        <v>75.2</v>
      </c>
      <c r="G94" s="136">
        <v>31</v>
      </c>
      <c r="H94" s="136">
        <v>0</v>
      </c>
      <c r="I94" s="136">
        <v>352</v>
      </c>
      <c r="J94" s="136">
        <v>0</v>
      </c>
      <c r="K94" s="136">
        <v>1</v>
      </c>
      <c r="L94" s="136">
        <f>CDM!B165</f>
        <v>2420654.4320393475</v>
      </c>
      <c r="M94" s="165">
        <f>+(M98-M86)/12+M93</f>
        <v>27166</v>
      </c>
      <c r="R94" s="247">
        <f t="shared" si="11"/>
        <v>46801425.709079117</v>
      </c>
      <c r="S94" s="74">
        <f t="shared" si="9"/>
        <v>7.2010142000652949E-2</v>
      </c>
      <c r="AN94" s="136"/>
      <c r="AO94" s="133"/>
      <c r="AP94" s="136"/>
      <c r="AQ94" s="136"/>
      <c r="AR94" s="136"/>
      <c r="AS94" s="32"/>
    </row>
    <row r="95" spans="1:45" x14ac:dyDescent="0.25">
      <c r="A95" s="75">
        <v>42979</v>
      </c>
      <c r="B95" s="136">
        <f>'Power Purchases'!B179</f>
        <v>40733566.666666672</v>
      </c>
      <c r="C95" s="136">
        <f>'Power Purchases'!C179</f>
        <v>377277.16507901438</v>
      </c>
      <c r="D95" s="244">
        <f t="shared" si="10"/>
        <v>43561662.291493662</v>
      </c>
      <c r="E95" s="212">
        <f>[4]en_climate_daily_ON_6158731_201!$Q$275</f>
        <v>49.1</v>
      </c>
      <c r="F95" s="212">
        <f>[4]en_climate_daily_ON_6158731_201!$S$275</f>
        <v>71.499999999999986</v>
      </c>
      <c r="G95" s="136">
        <v>30</v>
      </c>
      <c r="H95" s="136">
        <v>0</v>
      </c>
      <c r="I95" s="136">
        <v>320</v>
      </c>
      <c r="J95" s="136">
        <v>1</v>
      </c>
      <c r="K95" s="136">
        <v>1</v>
      </c>
      <c r="L95" s="136">
        <f>CDM!B166</f>
        <v>2450818.4597479762</v>
      </c>
      <c r="M95" s="165">
        <f>+(M98-M86)/12+M94</f>
        <v>27173</v>
      </c>
      <c r="R95" s="247">
        <f t="shared" si="11"/>
        <v>44714600.1688594</v>
      </c>
      <c r="S95" s="74">
        <f t="shared" si="9"/>
        <v>9.7733486850551457E-2</v>
      </c>
      <c r="AN95" s="136"/>
      <c r="AO95" s="133"/>
      <c r="AP95" s="136"/>
      <c r="AQ95" s="136"/>
      <c r="AR95" s="136"/>
      <c r="AS95" s="32"/>
    </row>
    <row r="96" spans="1:45" x14ac:dyDescent="0.25">
      <c r="A96" s="75">
        <v>43009</v>
      </c>
      <c r="B96" s="136">
        <f>'Power Purchases'!B180</f>
        <v>38181133.333333336</v>
      </c>
      <c r="C96" s="136">
        <f>'Power Purchases'!C180</f>
        <v>358325.36015243031</v>
      </c>
      <c r="D96" s="244">
        <f t="shared" si="10"/>
        <v>41020441.180942371</v>
      </c>
      <c r="E96" s="212">
        <f>[4]en_climate_daily_ON_6158731_201!$Q$306</f>
        <v>153.99999999999997</v>
      </c>
      <c r="F96" s="212">
        <f>[4]en_climate_daily_ON_6158731_201!$S$306</f>
        <v>8.1</v>
      </c>
      <c r="G96" s="136">
        <v>31</v>
      </c>
      <c r="H96" s="136">
        <v>0</v>
      </c>
      <c r="I96" s="136">
        <v>336</v>
      </c>
      <c r="J96" s="136">
        <v>1</v>
      </c>
      <c r="K96" s="136">
        <v>1</v>
      </c>
      <c r="L96" s="136">
        <f>CDM!B167</f>
        <v>2480982.4874566048</v>
      </c>
      <c r="M96" s="165">
        <f>+(M98-M86)/12+M95</f>
        <v>27180</v>
      </c>
      <c r="R96" s="247">
        <f t="shared" si="11"/>
        <v>42611414.522768959</v>
      </c>
      <c r="S96" s="74">
        <f t="shared" si="9"/>
        <v>0.11603325524043175</v>
      </c>
      <c r="AN96" s="136"/>
      <c r="AO96" s="133"/>
      <c r="AP96" s="136"/>
      <c r="AQ96" s="136"/>
      <c r="AR96" s="136"/>
      <c r="AS96" s="32"/>
    </row>
    <row r="97" spans="1:45" x14ac:dyDescent="0.25">
      <c r="A97" s="75">
        <v>43040</v>
      </c>
      <c r="B97" s="136">
        <f>'Power Purchases'!B181</f>
        <v>40325900.000000007</v>
      </c>
      <c r="C97" s="136">
        <f>'Power Purchases'!C181</f>
        <v>319298.68199066014</v>
      </c>
      <c r="D97" s="244">
        <f t="shared" si="10"/>
        <v>43156345.1971559</v>
      </c>
      <c r="E97" s="212">
        <f>[4]en_climate_daily_ON_6158731_201!$Q$336</f>
        <v>414.2</v>
      </c>
      <c r="F97" s="212">
        <f>[4]en_climate_daily_ON_6158731_201!$S$336</f>
        <v>0</v>
      </c>
      <c r="G97" s="136">
        <v>30</v>
      </c>
      <c r="H97" s="136">
        <v>0</v>
      </c>
      <c r="I97" s="136">
        <v>352</v>
      </c>
      <c r="J97" s="136">
        <v>1</v>
      </c>
      <c r="K97" s="136">
        <v>1</v>
      </c>
      <c r="L97" s="136">
        <f>CDM!B168</f>
        <v>2511146.5151652335</v>
      </c>
      <c r="M97" s="165">
        <f>+(M98-M86)/12+M96</f>
        <v>27187</v>
      </c>
      <c r="R97" s="247">
        <f t="shared" si="11"/>
        <v>43957101.539843135</v>
      </c>
      <c r="S97" s="74">
        <f t="shared" si="9"/>
        <v>9.0046385569649445E-2</v>
      </c>
      <c r="AN97" s="136"/>
      <c r="AO97" s="133"/>
      <c r="AP97" s="136"/>
      <c r="AQ97" s="136"/>
      <c r="AR97" s="136"/>
      <c r="AS97" s="32"/>
    </row>
    <row r="98" spans="1:45" x14ac:dyDescent="0.25">
      <c r="A98" s="75">
        <v>43070</v>
      </c>
      <c r="B98" s="136">
        <f>'Power Purchases'!B182</f>
        <v>45098133.333333336</v>
      </c>
      <c r="C98" s="136">
        <f>'Power Purchases'!C182</f>
        <v>325540.98160928162</v>
      </c>
      <c r="D98" s="244">
        <f t="shared" si="10"/>
        <v>47964984.85781648</v>
      </c>
      <c r="E98" s="212">
        <f>[4]en_climate_daily_ON_6158731_201!$Q$367</f>
        <v>718.49999999999989</v>
      </c>
      <c r="F98" s="212">
        <f>[4]en_climate_daily_ON_6158731_201!$S$367</f>
        <v>0</v>
      </c>
      <c r="G98" s="136">
        <v>31</v>
      </c>
      <c r="H98" s="136">
        <v>0</v>
      </c>
      <c r="I98" s="136">
        <v>304</v>
      </c>
      <c r="J98" s="136">
        <v>0</v>
      </c>
      <c r="K98" s="136">
        <v>1</v>
      </c>
      <c r="L98" s="136">
        <f>CDM!B169</f>
        <v>2541310.5428738622</v>
      </c>
      <c r="M98" s="165">
        <f>'Rate Class Customer Model'!I10</f>
        <v>27194</v>
      </c>
      <c r="R98" s="247">
        <f t="shared" si="11"/>
        <v>47827116.373143241</v>
      </c>
      <c r="S98" s="74">
        <f t="shared" si="9"/>
        <v>6.0512106335736844E-2</v>
      </c>
      <c r="AN98" s="136"/>
      <c r="AO98" s="133"/>
      <c r="AP98" s="136"/>
      <c r="AQ98" s="136"/>
      <c r="AR98" s="136"/>
      <c r="AS98" s="32"/>
    </row>
    <row r="99" spans="1:45" x14ac:dyDescent="0.25">
      <c r="A99" s="75">
        <v>43101</v>
      </c>
      <c r="B99" s="136">
        <f>'Power Purchases'!B183</f>
        <v>46074166.666666672</v>
      </c>
      <c r="C99" s="136">
        <f>'Power Purchases'!C183</f>
        <v>320237.32634901511</v>
      </c>
      <c r="D99" s="244">
        <f t="shared" si="10"/>
        <v>48948229.212414093</v>
      </c>
      <c r="E99" s="212">
        <f>[5]en_climate_daily_ON_6158731_201!$Q$32</f>
        <v>732.29999999999984</v>
      </c>
      <c r="F99" s="212">
        <f>[5]en_climate_daily_ON_6158731_201!$S$32</f>
        <v>0</v>
      </c>
      <c r="G99" s="136">
        <v>31</v>
      </c>
      <c r="H99" s="136">
        <v>0</v>
      </c>
      <c r="I99" s="136">
        <v>352</v>
      </c>
      <c r="J99" s="136">
        <v>0</v>
      </c>
      <c r="K99" s="136">
        <v>1</v>
      </c>
      <c r="L99" s="136">
        <f>CDM!B170</f>
        <v>2553825.2193984105</v>
      </c>
      <c r="M99" s="165">
        <f>+(M110-M98)/12+M98</f>
        <v>27226.166666666668</v>
      </c>
      <c r="R99" s="247">
        <f t="shared" si="11"/>
        <v>48803380.269524433</v>
      </c>
      <c r="S99" s="74">
        <f t="shared" ref="S99:S122" si="12">+(R99-B99)/B99</f>
        <v>5.9235224428535745E-2</v>
      </c>
      <c r="T99" s="87"/>
      <c r="AN99" s="136"/>
      <c r="AO99" s="133"/>
      <c r="AP99" s="136"/>
      <c r="AQ99" s="136"/>
      <c r="AR99" s="136"/>
      <c r="AS99" s="32"/>
    </row>
    <row r="100" spans="1:45" x14ac:dyDescent="0.25">
      <c r="A100" s="75">
        <v>43132</v>
      </c>
      <c r="B100" s="136">
        <f>'Power Purchases'!B184</f>
        <v>39409333.333333336</v>
      </c>
      <c r="C100" s="136">
        <f>'Power Purchases'!C184</f>
        <v>284444.4508901728</v>
      </c>
      <c r="D100" s="244">
        <f t="shared" si="10"/>
        <v>42260117.680146471</v>
      </c>
      <c r="E100" s="212">
        <f>[5]en_climate_daily_ON_6158731_201!$Q$61</f>
        <v>555.00000000000023</v>
      </c>
      <c r="F100" s="212">
        <f>[5]en_climate_daily_ON_6158731_201!$S$61</f>
        <v>0</v>
      </c>
      <c r="G100" s="136">
        <v>28</v>
      </c>
      <c r="H100" s="136">
        <v>0</v>
      </c>
      <c r="I100" s="136">
        <v>304</v>
      </c>
      <c r="J100" s="136">
        <v>0</v>
      </c>
      <c r="K100" s="136">
        <v>1</v>
      </c>
      <c r="L100" s="136">
        <f>CDM!B171</f>
        <v>2566339.8959229589</v>
      </c>
      <c r="M100" s="165">
        <f>+(M110-M98)/12+M99</f>
        <v>27258.333333333336</v>
      </c>
      <c r="R100" s="247">
        <f t="shared" si="11"/>
        <v>43227909.382156111</v>
      </c>
      <c r="S100" s="74">
        <f t="shared" si="12"/>
        <v>9.6895220645433613E-2</v>
      </c>
      <c r="AN100" s="136"/>
      <c r="AO100" s="133"/>
      <c r="AP100" s="136"/>
      <c r="AQ100" s="136"/>
      <c r="AR100" s="136"/>
      <c r="AS100" s="32"/>
    </row>
    <row r="101" spans="1:45" x14ac:dyDescent="0.25">
      <c r="A101" s="75">
        <v>43160</v>
      </c>
      <c r="B101" s="136">
        <f>'Power Purchases'!B185</f>
        <v>41669166.666666672</v>
      </c>
      <c r="C101" s="136">
        <f>'Power Purchases'!C185</f>
        <v>297278.0205533196</v>
      </c>
      <c r="D101" s="244">
        <f t="shared" si="10"/>
        <v>44545299.259667501</v>
      </c>
      <c r="E101" s="212">
        <f>[5]en_climate_daily_ON_6158731_201!$Q$92</f>
        <v>553.99999999999989</v>
      </c>
      <c r="F101" s="212">
        <f>[5]en_climate_daily_ON_6158731_201!$S$92</f>
        <v>0</v>
      </c>
      <c r="G101" s="136">
        <v>31</v>
      </c>
      <c r="H101" s="136">
        <v>1</v>
      </c>
      <c r="I101" s="136">
        <v>336</v>
      </c>
      <c r="J101" s="136">
        <v>0</v>
      </c>
      <c r="K101" s="136">
        <v>1</v>
      </c>
      <c r="L101" s="136">
        <f>CDM!B172</f>
        <v>2578854.5724475072</v>
      </c>
      <c r="M101" s="165">
        <f>+(M110-M98)/12+M100</f>
        <v>27290.500000000004</v>
      </c>
      <c r="R101" s="247">
        <f t="shared" si="11"/>
        <v>44955645.523810983</v>
      </c>
      <c r="S101" s="74">
        <f t="shared" si="12"/>
        <v>7.8870760325843906E-2</v>
      </c>
      <c r="T101" s="135"/>
      <c r="AN101" s="136"/>
      <c r="AO101" s="133"/>
      <c r="AP101" s="136"/>
      <c r="AQ101" s="136"/>
      <c r="AR101" s="136"/>
      <c r="AS101" s="32"/>
    </row>
    <row r="102" spans="1:45" x14ac:dyDescent="0.25">
      <c r="A102" s="75">
        <v>43191</v>
      </c>
      <c r="B102" s="136">
        <f>'Power Purchases'!B186</f>
        <v>39557433.333333336</v>
      </c>
      <c r="C102" s="136">
        <f>'Power Purchases'!C186</f>
        <v>292924.32197991008</v>
      </c>
      <c r="D102" s="244">
        <f t="shared" si="10"/>
        <v>42441726.904285304</v>
      </c>
      <c r="E102" s="212">
        <f>[5]en_climate_daily_ON_6158731_201!$Q$122</f>
        <v>437.20000000000005</v>
      </c>
      <c r="F102" s="212">
        <f>[5]en_climate_daily_ON_6158731_201!$S$122</f>
        <v>0</v>
      </c>
      <c r="G102" s="136">
        <v>30</v>
      </c>
      <c r="H102" s="136">
        <v>1</v>
      </c>
      <c r="I102" s="136">
        <v>336</v>
      </c>
      <c r="J102" s="136">
        <v>0</v>
      </c>
      <c r="K102" s="136">
        <v>1</v>
      </c>
      <c r="L102" s="136">
        <f>CDM!B173</f>
        <v>2591369.2489720555</v>
      </c>
      <c r="M102" s="165">
        <f>+(M110-M98)/12+M101</f>
        <v>27322.666666666672</v>
      </c>
      <c r="R102" s="247">
        <f t="shared" si="11"/>
        <v>42796096.796246566</v>
      </c>
      <c r="S102" s="74">
        <f t="shared" si="12"/>
        <v>8.1872436859652079E-2</v>
      </c>
      <c r="T102" s="135"/>
      <c r="AN102" s="136"/>
      <c r="AO102" s="133"/>
      <c r="AP102" s="136"/>
      <c r="AQ102" s="136"/>
      <c r="AR102" s="136"/>
      <c r="AS102" s="32"/>
    </row>
    <row r="103" spans="1:45" x14ac:dyDescent="0.25">
      <c r="A103" s="75">
        <v>43221</v>
      </c>
      <c r="B103" s="136">
        <f>'Power Purchases'!B187</f>
        <v>40201866.666666672</v>
      </c>
      <c r="C103" s="136">
        <f>'Power Purchases'!C187</f>
        <v>360673.50924632017</v>
      </c>
      <c r="D103" s="244">
        <f t="shared" si="10"/>
        <v>43166424.101409592</v>
      </c>
      <c r="E103" s="212">
        <f>[5]en_climate_daily_ON_6158731_201!$Q$153</f>
        <v>75.3</v>
      </c>
      <c r="F103" s="212">
        <f>[5]en_climate_daily_ON_6158731_201!$S$153</f>
        <v>43.4</v>
      </c>
      <c r="G103" s="136">
        <v>31</v>
      </c>
      <c r="H103" s="136">
        <v>1</v>
      </c>
      <c r="I103" s="136">
        <v>352</v>
      </c>
      <c r="J103" s="136">
        <v>0</v>
      </c>
      <c r="K103" s="136">
        <v>1</v>
      </c>
      <c r="L103" s="136">
        <f>CDM!B174</f>
        <v>2603883.9254966038</v>
      </c>
      <c r="M103" s="165">
        <f>+(M110-M98)/12+M102</f>
        <v>27354.833333333339</v>
      </c>
      <c r="R103" s="247">
        <f t="shared" si="11"/>
        <v>43448279.932397835</v>
      </c>
      <c r="S103" s="74">
        <f t="shared" si="12"/>
        <v>8.0752799183400184E-2</v>
      </c>
      <c r="T103" s="135"/>
      <c r="AN103" s="136"/>
      <c r="AO103" s="133"/>
      <c r="AP103" s="136"/>
      <c r="AQ103" s="136"/>
      <c r="AR103" s="136"/>
      <c r="AS103" s="32"/>
    </row>
    <row r="104" spans="1:45" x14ac:dyDescent="0.25">
      <c r="A104" s="75">
        <v>43252</v>
      </c>
      <c r="B104" s="136">
        <f>'Power Purchases'!B188</f>
        <v>42663466.666666672</v>
      </c>
      <c r="C104" s="136">
        <f>'Power Purchases'!C188</f>
        <v>364542.88705635478</v>
      </c>
      <c r="D104" s="244">
        <f t="shared" si="10"/>
        <v>45644408.15574418</v>
      </c>
      <c r="E104" s="212">
        <f>[5]en_climate_daily_ON_6158731_201!$Q$183</f>
        <v>14.799999999999999</v>
      </c>
      <c r="F104" s="212">
        <f>[5]en_climate_daily_ON_6158731_201!$S$183</f>
        <v>60.5</v>
      </c>
      <c r="G104" s="136">
        <v>30</v>
      </c>
      <c r="H104" s="136">
        <v>0</v>
      </c>
      <c r="I104" s="136">
        <v>336</v>
      </c>
      <c r="J104" s="136">
        <v>0</v>
      </c>
      <c r="K104" s="136">
        <v>1</v>
      </c>
      <c r="L104" s="136">
        <f>CDM!B175</f>
        <v>2616398.6020211522</v>
      </c>
      <c r="M104" s="165">
        <f>+(M110-M98)/12+M103</f>
        <v>27387.000000000007</v>
      </c>
      <c r="R104" s="247">
        <f t="shared" si="11"/>
        <v>44544070.650252171</v>
      </c>
      <c r="S104" s="74">
        <f t="shared" si="12"/>
        <v>4.4079961862424813E-2</v>
      </c>
      <c r="T104" s="135"/>
      <c r="AN104" s="136"/>
      <c r="AO104" s="133"/>
      <c r="AP104" s="136"/>
      <c r="AQ104" s="136"/>
      <c r="AR104" s="136"/>
      <c r="AS104" s="32"/>
    </row>
    <row r="105" spans="1:45" x14ac:dyDescent="0.25">
      <c r="A105" s="75">
        <v>43282</v>
      </c>
      <c r="B105" s="136">
        <f>'Power Purchases'!B189</f>
        <v>49594733.333333336</v>
      </c>
      <c r="C105" s="136">
        <f>'Power Purchases'!C189</f>
        <v>401459.76182401151</v>
      </c>
      <c r="D105" s="244">
        <f t="shared" si="10"/>
        <v>52625106.373703048</v>
      </c>
      <c r="E105" s="212">
        <f>[5]en_climate_daily_ON_6158731_201!$Q$214</f>
        <v>0</v>
      </c>
      <c r="F105" s="212">
        <f>[5]en_climate_daily_ON_6158731_201!$S$214</f>
        <v>167.8</v>
      </c>
      <c r="G105" s="136">
        <v>31</v>
      </c>
      <c r="H105" s="136">
        <v>0</v>
      </c>
      <c r="I105" s="136">
        <v>336</v>
      </c>
      <c r="J105" s="136">
        <v>0</v>
      </c>
      <c r="K105" s="136">
        <v>1</v>
      </c>
      <c r="L105" s="136">
        <f>CDM!B176</f>
        <v>2628913.2785457005</v>
      </c>
      <c r="M105" s="165">
        <f>+(M110-M98)/12+M104</f>
        <v>27419.166666666675</v>
      </c>
      <c r="R105" s="247">
        <f t="shared" si="11"/>
        <v>52864586.225780807</v>
      </c>
      <c r="S105" s="74">
        <f t="shared" si="12"/>
        <v>6.5931454262901673E-2</v>
      </c>
      <c r="T105" s="135"/>
      <c r="AN105" s="136"/>
      <c r="AO105" s="133"/>
      <c r="AP105" s="136"/>
      <c r="AQ105" s="136"/>
      <c r="AR105" s="136"/>
      <c r="AS105" s="32"/>
    </row>
    <row r="106" spans="1:45" x14ac:dyDescent="0.25">
      <c r="A106" s="75">
        <v>43313</v>
      </c>
      <c r="B106" s="136">
        <f>'Power Purchases'!B190</f>
        <v>48809233.333333336</v>
      </c>
      <c r="C106" s="136">
        <f>'Power Purchases'!C190</f>
        <v>402407.58777856932</v>
      </c>
      <c r="D106" s="244">
        <f t="shared" si="10"/>
        <v>51853068.876182154</v>
      </c>
      <c r="E106" s="212">
        <f>[5]en_climate_daily_ON_6158731_201!$Q$245</f>
        <v>1.2</v>
      </c>
      <c r="F106" s="212">
        <f>[5]en_climate_daily_ON_6158731_201!$S$245</f>
        <v>162.4</v>
      </c>
      <c r="G106" s="136">
        <v>31</v>
      </c>
      <c r="H106" s="136">
        <v>0</v>
      </c>
      <c r="I106" s="136">
        <v>352</v>
      </c>
      <c r="J106" s="136">
        <v>0</v>
      </c>
      <c r="K106" s="136">
        <v>1</v>
      </c>
      <c r="L106" s="136">
        <f>CDM!B177</f>
        <v>2641427.9550702488</v>
      </c>
      <c r="M106" s="165">
        <f>+(M110-M98)/12+M105</f>
        <v>27451.333333333343</v>
      </c>
      <c r="R106" s="247">
        <f t="shared" si="11"/>
        <v>52779160.458618909</v>
      </c>
      <c r="S106" s="74">
        <f t="shared" si="12"/>
        <v>8.1335576368793058E-2</v>
      </c>
      <c r="T106" s="135"/>
      <c r="AN106" s="136"/>
      <c r="AO106" s="133"/>
      <c r="AP106" s="136"/>
      <c r="AQ106" s="136"/>
      <c r="AR106" s="136"/>
      <c r="AS106" s="32"/>
    </row>
    <row r="107" spans="1:45" x14ac:dyDescent="0.25">
      <c r="A107" s="75">
        <v>43344</v>
      </c>
      <c r="B107" s="136">
        <f>'Power Purchases'!B191</f>
        <v>42308633.333333336</v>
      </c>
      <c r="C107" s="136">
        <f>'Power Purchases'!C191</f>
        <v>360815.62075517158</v>
      </c>
      <c r="D107" s="244">
        <f t="shared" si="10"/>
        <v>45323391.585683309</v>
      </c>
      <c r="E107" s="212">
        <f>[5]en_climate_daily_ON_6158731_201!$Q$275</f>
        <v>41.399999999999991</v>
      </c>
      <c r="F107" s="212">
        <f>[5]en_climate_daily_ON_6158731_201!$S$275</f>
        <v>76.399999999999977</v>
      </c>
      <c r="G107" s="136">
        <v>30</v>
      </c>
      <c r="H107" s="136">
        <v>0</v>
      </c>
      <c r="I107" s="136">
        <v>304</v>
      </c>
      <c r="J107" s="136">
        <v>1</v>
      </c>
      <c r="K107" s="136">
        <v>1</v>
      </c>
      <c r="L107" s="136">
        <f>CDM!B178</f>
        <v>2653942.6315947971</v>
      </c>
      <c r="M107" s="165">
        <f>+(M110-M98)/12+M106</f>
        <v>27483.500000000011</v>
      </c>
      <c r="R107" s="247">
        <f t="shared" si="11"/>
        <v>44699787.219222315</v>
      </c>
      <c r="S107" s="74">
        <f t="shared" si="12"/>
        <v>5.6516925683937923E-2</v>
      </c>
      <c r="T107" s="135"/>
      <c r="AN107" s="136"/>
      <c r="AO107" s="133"/>
      <c r="AP107" s="136"/>
      <c r="AQ107" s="136"/>
      <c r="AR107" s="136"/>
      <c r="AS107" s="32"/>
    </row>
    <row r="108" spans="1:45" x14ac:dyDescent="0.25">
      <c r="A108" s="75">
        <v>43374</v>
      </c>
      <c r="B108" s="136">
        <f>'Power Purchases'!B192</f>
        <v>39783933.333333336</v>
      </c>
      <c r="C108" s="136">
        <f>'Power Purchases'!C192</f>
        <v>324267.21904591308</v>
      </c>
      <c r="D108" s="244">
        <f t="shared" si="10"/>
        <v>42774657.860498592</v>
      </c>
      <c r="E108" s="212">
        <f>[5]en_climate_daily_ON_6158731_201!$Q$306</f>
        <v>289.40000000000003</v>
      </c>
      <c r="F108" s="212">
        <f>[5]en_climate_daily_ON_6158731_201!$S$306</f>
        <v>8.1999999999999993</v>
      </c>
      <c r="G108" s="136">
        <v>31</v>
      </c>
      <c r="H108" s="136">
        <v>0</v>
      </c>
      <c r="I108" s="136">
        <v>352</v>
      </c>
      <c r="J108" s="136">
        <v>1</v>
      </c>
      <c r="K108" s="136">
        <v>1</v>
      </c>
      <c r="L108" s="136">
        <f>CDM!B179</f>
        <v>2666457.3081193455</v>
      </c>
      <c r="M108" s="165">
        <f>+(M110-M98)/12+M107</f>
        <v>27515.666666666679</v>
      </c>
      <c r="R108" s="247">
        <f t="shared" si="11"/>
        <v>44259116.712733857</v>
      </c>
      <c r="S108" s="74">
        <f t="shared" si="12"/>
        <v>0.11248720285912372</v>
      </c>
      <c r="T108" s="135"/>
      <c r="AN108" s="136"/>
      <c r="AO108" s="133"/>
      <c r="AP108" s="136"/>
      <c r="AQ108" s="136"/>
      <c r="AR108" s="136"/>
      <c r="AS108" s="32"/>
    </row>
    <row r="109" spans="1:45" x14ac:dyDescent="0.25">
      <c r="A109" s="75">
        <v>43405</v>
      </c>
      <c r="B109" s="136">
        <f>'Power Purchases'!B193</f>
        <v>41666833.333333336</v>
      </c>
      <c r="C109" s="136">
        <f>'Power Purchases'!C193</f>
        <v>300684.76655282278</v>
      </c>
      <c r="D109" s="244">
        <f t="shared" si="10"/>
        <v>44646490.084530048</v>
      </c>
      <c r="E109" s="212">
        <f>[5]en_climate_daily_ON_6158731_201!$Q$336</f>
        <v>494.1</v>
      </c>
      <c r="F109" s="212">
        <f>[5]en_climate_daily_ON_6158731_201!$S$336</f>
        <v>0</v>
      </c>
      <c r="G109" s="136">
        <v>30</v>
      </c>
      <c r="H109" s="136">
        <v>0</v>
      </c>
      <c r="I109" s="136">
        <v>336</v>
      </c>
      <c r="J109" s="136">
        <v>1</v>
      </c>
      <c r="K109" s="136">
        <v>1</v>
      </c>
      <c r="L109" s="136">
        <f>CDM!B180</f>
        <v>2678971.9846438938</v>
      </c>
      <c r="M109" s="165">
        <f>+(M110-M98)/12+M108</f>
        <v>27547.833333333347</v>
      </c>
      <c r="R109" s="247">
        <f t="shared" si="11"/>
        <v>44481399.939814351</v>
      </c>
      <c r="S109" s="74">
        <f t="shared" si="12"/>
        <v>6.7549328358230937E-2</v>
      </c>
      <c r="T109" s="135"/>
      <c r="AN109" s="136"/>
      <c r="AO109" s="133"/>
      <c r="AP109" s="136"/>
      <c r="AQ109" s="136"/>
      <c r="AR109" s="136"/>
      <c r="AS109" s="32"/>
    </row>
    <row r="110" spans="1:45" x14ac:dyDescent="0.25">
      <c r="A110" s="75">
        <v>43435</v>
      </c>
      <c r="B110" s="136">
        <f>'Power Purchases'!B194</f>
        <v>43526733.333333336</v>
      </c>
      <c r="C110" s="136">
        <f>'Power Purchases'!C194</f>
        <v>315044.48572520504</v>
      </c>
      <c r="D110" s="244">
        <f t="shared" si="10"/>
        <v>46533264.480226979</v>
      </c>
      <c r="E110" s="212">
        <f>[5]en_climate_daily_ON_6158731_201!$Q$367</f>
        <v>563.60000000000014</v>
      </c>
      <c r="F110" s="212">
        <f>[5]en_climate_daily_ON_6158731_201!$S$367</f>
        <v>0</v>
      </c>
      <c r="G110" s="136">
        <v>31</v>
      </c>
      <c r="H110" s="136">
        <v>0</v>
      </c>
      <c r="I110" s="136">
        <v>304</v>
      </c>
      <c r="J110" s="136">
        <v>0</v>
      </c>
      <c r="K110" s="136">
        <v>1</v>
      </c>
      <c r="L110" s="136">
        <f>CDM!B181</f>
        <v>2691486.6611684421</v>
      </c>
      <c r="M110" s="165">
        <f>'Rate Class Customer Model'!I11</f>
        <v>27580</v>
      </c>
      <c r="R110" s="247">
        <f t="shared" si="11"/>
        <v>46269464.522981226</v>
      </c>
      <c r="S110" s="74">
        <f t="shared" si="12"/>
        <v>6.3012566751648957E-2</v>
      </c>
      <c r="T110" s="135"/>
      <c r="AN110" s="136"/>
      <c r="AO110" s="133"/>
      <c r="AP110" s="136"/>
      <c r="AQ110" s="136"/>
      <c r="AR110" s="136"/>
      <c r="AS110" s="32"/>
    </row>
    <row r="111" spans="1:45" x14ac:dyDescent="0.25">
      <c r="A111" s="75">
        <v>43466</v>
      </c>
      <c r="B111" s="136">
        <f>'Power Purchases'!B195</f>
        <v>46152339.999999993</v>
      </c>
      <c r="C111" s="136">
        <f>'Power Purchases'!C195</f>
        <v>309797.92818653339</v>
      </c>
      <c r="D111" s="244">
        <f t="shared" si="10"/>
        <v>49158043.632982403</v>
      </c>
      <c r="E111" s="212">
        <f>[6]en_climate_daily_ON_6158731_201!$Q$32</f>
        <v>764.5</v>
      </c>
      <c r="F111" s="212">
        <f>[6]en_climate_daily_ON_6158731_201!$S$32</f>
        <v>0</v>
      </c>
      <c r="G111" s="136">
        <v>31</v>
      </c>
      <c r="H111" s="136">
        <v>0</v>
      </c>
      <c r="I111" s="136">
        <v>352</v>
      </c>
      <c r="J111" s="136">
        <v>0</v>
      </c>
      <c r="K111" s="136">
        <v>1</v>
      </c>
      <c r="L111" s="136">
        <f>CDM!B182</f>
        <v>2695905.7047958751</v>
      </c>
      <c r="M111" s="165">
        <f>+(M122-M110)/12+M110</f>
        <v>27591.583333333332</v>
      </c>
      <c r="R111" s="247">
        <f t="shared" si="11"/>
        <v>49127178.781953208</v>
      </c>
      <c r="S111" s="74">
        <f t="shared" si="12"/>
        <v>6.4456943720583096E-2</v>
      </c>
      <c r="T111" s="135"/>
      <c r="AN111" s="136"/>
      <c r="AO111" s="133"/>
      <c r="AP111" s="136"/>
      <c r="AQ111" s="136"/>
      <c r="AR111" s="136"/>
      <c r="AS111" s="32"/>
    </row>
    <row r="112" spans="1:45" x14ac:dyDescent="0.25">
      <c r="A112" s="75">
        <v>43497</v>
      </c>
      <c r="B112" s="136">
        <f>'Power Purchases'!B196</f>
        <v>40751000</v>
      </c>
      <c r="C112" s="136">
        <f>'Power Purchases'!C196</f>
        <v>270799.20439801225</v>
      </c>
      <c r="D112" s="244">
        <f t="shared" si="10"/>
        <v>43722123.952821322</v>
      </c>
      <c r="E112" s="212">
        <f>[6]en_climate_daily_ON_6158731_201!$Q$61</f>
        <v>621.70000000000016</v>
      </c>
      <c r="F112" s="212">
        <f>[6]en_climate_daily_ON_6158731_201!$S$61</f>
        <v>0</v>
      </c>
      <c r="G112" s="136">
        <v>28</v>
      </c>
      <c r="H112" s="136">
        <v>0</v>
      </c>
      <c r="I112" s="136">
        <v>304</v>
      </c>
      <c r="J112" s="136">
        <v>0</v>
      </c>
      <c r="K112" s="136">
        <v>1</v>
      </c>
      <c r="L112" s="136">
        <f>CDM!B183</f>
        <v>2700324.7484233081</v>
      </c>
      <c r="M112" s="165">
        <f>+(M122-M110)/12+M111</f>
        <v>27603.166666666664</v>
      </c>
      <c r="R112" s="247">
        <f t="shared" si="11"/>
        <v>43898634.872187138</v>
      </c>
      <c r="S112" s="74">
        <f t="shared" si="12"/>
        <v>7.7240678073842051E-2</v>
      </c>
      <c r="T112" s="135"/>
      <c r="AN112" s="136"/>
      <c r="AO112" s="133"/>
      <c r="AP112" s="136"/>
      <c r="AQ112" s="136"/>
      <c r="AR112" s="136"/>
      <c r="AS112" s="32"/>
    </row>
    <row r="113" spans="1:45" x14ac:dyDescent="0.25">
      <c r="A113" s="75">
        <v>43525</v>
      </c>
      <c r="B113" s="136">
        <f>'Power Purchases'!B197</f>
        <v>42699019.999999993</v>
      </c>
      <c r="C113" s="136">
        <f>'Power Purchases'!C197</f>
        <v>295286.8300038923</v>
      </c>
      <c r="D113" s="244">
        <f t="shared" si="10"/>
        <v>45699050.622054629</v>
      </c>
      <c r="E113" s="212">
        <f>[6]en_climate_daily_ON_6158731_201!$Q$92</f>
        <v>593.90000000000009</v>
      </c>
      <c r="F113" s="212">
        <f>[6]en_climate_daily_ON_6158731_201!$S$92</f>
        <v>0</v>
      </c>
      <c r="G113" s="136">
        <v>31</v>
      </c>
      <c r="H113" s="136">
        <v>1</v>
      </c>
      <c r="I113" s="136">
        <v>336</v>
      </c>
      <c r="J113" s="136">
        <v>0</v>
      </c>
      <c r="K113" s="136">
        <v>1</v>
      </c>
      <c r="L113" s="136">
        <f>CDM!B184</f>
        <v>2704743.7920507411</v>
      </c>
      <c r="M113" s="165">
        <f>+(M122-M110)/12+M112</f>
        <v>27614.749999999996</v>
      </c>
      <c r="R113" s="247">
        <f t="shared" si="11"/>
        <v>45356874.115298808</v>
      </c>
      <c r="S113" s="74">
        <f t="shared" si="12"/>
        <v>6.2246255658767242E-2</v>
      </c>
      <c r="T113" s="135"/>
      <c r="AN113" s="136"/>
      <c r="AO113" s="133"/>
      <c r="AP113" s="136"/>
      <c r="AQ113" s="136"/>
      <c r="AR113" s="136"/>
      <c r="AS113" s="32"/>
    </row>
    <row r="114" spans="1:45" x14ac:dyDescent="0.25">
      <c r="A114" s="75">
        <v>43556</v>
      </c>
      <c r="B114" s="136">
        <f>'Power Purchases'!B198</f>
        <v>38635080</v>
      </c>
      <c r="C114" s="136">
        <f>'Power Purchases'!C198</f>
        <v>289781.40495674399</v>
      </c>
      <c r="D114" s="244">
        <f t="shared" si="10"/>
        <v>41634024.240634918</v>
      </c>
      <c r="E114" s="212">
        <f>[6]en_climate_daily_ON_6158731_201!$Q$122</f>
        <v>346.8</v>
      </c>
      <c r="F114" s="212">
        <f>[6]en_climate_daily_ON_6158731_201!$S$122</f>
        <v>0</v>
      </c>
      <c r="G114" s="136">
        <v>30</v>
      </c>
      <c r="H114" s="136">
        <v>1</v>
      </c>
      <c r="I114" s="136">
        <v>336</v>
      </c>
      <c r="J114" s="136">
        <v>0</v>
      </c>
      <c r="K114" s="136">
        <v>1</v>
      </c>
      <c r="L114" s="136">
        <f>CDM!B185</f>
        <v>2709162.8356781742</v>
      </c>
      <c r="M114" s="165">
        <f>+(M122-M110)/12+M113</f>
        <v>27626.333333333328</v>
      </c>
      <c r="R114" s="247">
        <f t="shared" si="11"/>
        <v>41887047.556384414</v>
      </c>
      <c r="S114" s="74">
        <f t="shared" si="12"/>
        <v>8.4171368517534179E-2</v>
      </c>
      <c r="T114" s="135"/>
      <c r="AN114" s="136"/>
      <c r="AO114" s="133"/>
      <c r="AP114" s="136"/>
      <c r="AQ114" s="136"/>
      <c r="AR114" s="136"/>
      <c r="AS114" s="32"/>
    </row>
    <row r="115" spans="1:45" x14ac:dyDescent="0.25">
      <c r="A115" s="75">
        <v>43586</v>
      </c>
      <c r="B115" s="136">
        <f>'Power Purchases'!B199</f>
        <v>38362240</v>
      </c>
      <c r="C115" s="136">
        <f>'Power Purchases'!C199</f>
        <v>314497.123961784</v>
      </c>
      <c r="D115" s="244">
        <f t="shared" si="10"/>
        <v>41390319.003267393</v>
      </c>
      <c r="E115" s="212">
        <f>[6]en_climate_daily_ON_6158731_201!$Q$153</f>
        <v>180.99999999999997</v>
      </c>
      <c r="F115" s="212">
        <f>[6]en_climate_daily_ON_6158731_201!$S$153</f>
        <v>0</v>
      </c>
      <c r="G115" s="136">
        <v>31</v>
      </c>
      <c r="H115" s="136">
        <v>1</v>
      </c>
      <c r="I115" s="136">
        <v>352</v>
      </c>
      <c r="J115" s="136">
        <v>0</v>
      </c>
      <c r="K115" s="136">
        <v>1</v>
      </c>
      <c r="L115" s="136">
        <f>CDM!B186</f>
        <v>2713581.8793056072</v>
      </c>
      <c r="M115" s="165">
        <f>+(M122-M110)/12+M114</f>
        <v>27637.916666666661</v>
      </c>
      <c r="R115" s="247">
        <f t="shared" si="11"/>
        <v>41483976.192384079</v>
      </c>
      <c r="S115" s="74">
        <f t="shared" si="12"/>
        <v>8.1375232321785146E-2</v>
      </c>
      <c r="T115" s="135"/>
      <c r="AN115" s="136"/>
      <c r="AO115" s="133"/>
      <c r="AP115" s="136"/>
      <c r="AQ115" s="136"/>
      <c r="AR115" s="136"/>
      <c r="AS115" s="32"/>
    </row>
    <row r="116" spans="1:45" x14ac:dyDescent="0.25">
      <c r="A116" s="75">
        <v>43617</v>
      </c>
      <c r="B116" s="136">
        <f>'Power Purchases'!B200</f>
        <v>40119440</v>
      </c>
      <c r="C116" s="136">
        <f>'Power Purchases'!C200</f>
        <v>337365.23551760335</v>
      </c>
      <c r="D116" s="244">
        <f t="shared" si="10"/>
        <v>43174806.158450648</v>
      </c>
      <c r="E116" s="212">
        <f>[6]en_climate_daily_ON_6158731_201!$Q$183</f>
        <v>35.5</v>
      </c>
      <c r="F116" s="212">
        <f>[6]en_climate_daily_ON_6158731_201!$S$183</f>
        <v>41.300000000000004</v>
      </c>
      <c r="G116" s="136">
        <v>30</v>
      </c>
      <c r="H116" s="136">
        <v>0</v>
      </c>
      <c r="I116" s="136">
        <v>320</v>
      </c>
      <c r="J116" s="136">
        <v>0</v>
      </c>
      <c r="K116" s="136">
        <v>1</v>
      </c>
      <c r="L116" s="136">
        <f>CDM!B187</f>
        <v>2718000.9229330402</v>
      </c>
      <c r="M116" s="165">
        <f>+(M122-M110)/12+M115</f>
        <v>27649.499999999993</v>
      </c>
      <c r="R116" s="247">
        <f t="shared" si="11"/>
        <v>43133837.007330075</v>
      </c>
      <c r="S116" s="74">
        <f t="shared" si="12"/>
        <v>7.5135570370126678E-2</v>
      </c>
      <c r="T116" s="135"/>
      <c r="AN116" s="136"/>
      <c r="AO116" s="133"/>
      <c r="AP116" s="136"/>
      <c r="AQ116" s="136"/>
      <c r="AR116" s="136"/>
      <c r="AS116" s="32"/>
    </row>
    <row r="117" spans="1:45" x14ac:dyDescent="0.25">
      <c r="A117" s="75">
        <v>43647</v>
      </c>
      <c r="B117" s="136">
        <f>'Power Purchases'!B201</f>
        <v>50773519.999999993</v>
      </c>
      <c r="C117" s="136">
        <f>'Power Purchases'!C201</f>
        <v>399065.92875638278</v>
      </c>
      <c r="D117" s="244">
        <f t="shared" si="10"/>
        <v>53895005.895316854</v>
      </c>
      <c r="E117" s="212">
        <f>[6]en_climate_daily_ON_6158731_201!$Q$214</f>
        <v>0</v>
      </c>
      <c r="F117" s="212">
        <f>[6]en_climate_daily_ON_6158731_201!$S$214</f>
        <v>166.90000000000003</v>
      </c>
      <c r="G117" s="136">
        <v>31</v>
      </c>
      <c r="H117" s="136">
        <v>0</v>
      </c>
      <c r="I117" s="136">
        <v>352</v>
      </c>
      <c r="J117" s="136">
        <v>0</v>
      </c>
      <c r="K117" s="136">
        <v>1</v>
      </c>
      <c r="L117" s="136">
        <f>CDM!B188</f>
        <v>2722419.9665604732</v>
      </c>
      <c r="M117" s="165">
        <f>+(M122-M110)/12+M116</f>
        <v>27661.083333333325</v>
      </c>
      <c r="R117" s="247">
        <f t="shared" si="11"/>
        <v>53080974.40074148</v>
      </c>
      <c r="S117" s="74">
        <f t="shared" si="12"/>
        <v>4.5446019908438259E-2</v>
      </c>
      <c r="T117" s="135"/>
      <c r="AN117" s="136"/>
      <c r="AO117" s="133"/>
      <c r="AP117" s="136"/>
      <c r="AQ117" s="136"/>
      <c r="AR117" s="136"/>
      <c r="AS117" s="32"/>
    </row>
    <row r="118" spans="1:45" x14ac:dyDescent="0.25">
      <c r="A118" s="75">
        <v>43678</v>
      </c>
      <c r="B118" s="136">
        <f>'Power Purchases'!B202</f>
        <v>45701140</v>
      </c>
      <c r="C118" s="136">
        <f>'Power Purchases'!C202</f>
        <v>369150.47828124731</v>
      </c>
      <c r="D118" s="244">
        <f t="shared" si="10"/>
        <v>48797129.488469154</v>
      </c>
      <c r="E118" s="212">
        <f>[6]en_climate_daily_ON_6158731_201!$Q$245</f>
        <v>0.89999999999999991</v>
      </c>
      <c r="F118" s="212">
        <f>[6]en_climate_daily_ON_6158731_201!$S$245</f>
        <v>103.30000000000003</v>
      </c>
      <c r="G118" s="136">
        <v>31</v>
      </c>
      <c r="H118" s="136">
        <v>0</v>
      </c>
      <c r="I118" s="136">
        <v>336</v>
      </c>
      <c r="J118" s="136">
        <v>0</v>
      </c>
      <c r="K118" s="136">
        <v>1</v>
      </c>
      <c r="L118" s="136">
        <f>CDM!B189</f>
        <v>2726839.0101879062</v>
      </c>
      <c r="M118" s="165">
        <f>+(M122-M110)/12+M117</f>
        <v>27672.666666666657</v>
      </c>
      <c r="R118" s="247">
        <f t="shared" si="11"/>
        <v>48374675.961591609</v>
      </c>
      <c r="S118" s="74">
        <f t="shared" si="12"/>
        <v>5.8500421687327907E-2</v>
      </c>
      <c r="T118" s="135"/>
      <c r="AN118" s="136"/>
      <c r="AO118" s="133"/>
      <c r="AP118" s="136"/>
      <c r="AQ118" s="136"/>
      <c r="AR118" s="136"/>
      <c r="AS118" s="32"/>
    </row>
    <row r="119" spans="1:45" x14ac:dyDescent="0.25">
      <c r="A119" s="75">
        <v>43709</v>
      </c>
      <c r="B119" s="136">
        <f>'Power Purchases'!B203</f>
        <v>39646160</v>
      </c>
      <c r="C119" s="136">
        <f>'Power Purchases'!C203</f>
        <v>329892.40488908021</v>
      </c>
      <c r="D119" s="244">
        <f t="shared" si="10"/>
        <v>42707310.458704419</v>
      </c>
      <c r="E119" s="212">
        <f>[6]en_climate_daily_ON_6158731_201!$Q$275</f>
        <v>38.400000000000006</v>
      </c>
      <c r="F119" s="212">
        <f>[6]en_climate_daily_ON_6158731_201!$S$275</f>
        <v>25.400000000000002</v>
      </c>
      <c r="G119" s="136">
        <v>30</v>
      </c>
      <c r="H119" s="136">
        <v>0</v>
      </c>
      <c r="I119" s="136">
        <v>320</v>
      </c>
      <c r="J119" s="136">
        <v>1</v>
      </c>
      <c r="K119" s="136">
        <v>1</v>
      </c>
      <c r="L119" s="136">
        <f>CDM!B190</f>
        <v>2731258.0538153392</v>
      </c>
      <c r="M119" s="165">
        <f>+(M122-M110)/12+M118</f>
        <v>27684.249999999989</v>
      </c>
      <c r="R119" s="247">
        <f t="shared" si="11"/>
        <v>41391466.393520616</v>
      </c>
      <c r="S119" s="74">
        <f t="shared" si="12"/>
        <v>4.4022079150177876E-2</v>
      </c>
      <c r="T119" s="135"/>
      <c r="AN119" s="136"/>
      <c r="AO119" s="133"/>
      <c r="AP119" s="136"/>
      <c r="AQ119" s="136"/>
      <c r="AR119" s="136"/>
      <c r="AS119" s="32"/>
    </row>
    <row r="120" spans="1:45" x14ac:dyDescent="0.25">
      <c r="A120" s="75">
        <v>43739</v>
      </c>
      <c r="B120" s="136">
        <f>'Power Purchases'!B204</f>
        <v>39458460</v>
      </c>
      <c r="C120" s="136">
        <f>'Power Purchases'!C204</f>
        <v>309154.27689847501</v>
      </c>
      <c r="D120" s="244">
        <f t="shared" si="10"/>
        <v>42503291.374341249</v>
      </c>
      <c r="E120" s="212">
        <f>[6]en_climate_daily_ON_6158731_201!$Q$306</f>
        <v>236.5</v>
      </c>
      <c r="F120" s="212">
        <f>[6]en_climate_daily_ON_6158731_201!$S$306</f>
        <v>5.0999999999999996</v>
      </c>
      <c r="G120" s="136">
        <v>31</v>
      </c>
      <c r="H120" s="136">
        <v>0</v>
      </c>
      <c r="I120" s="136">
        <v>352</v>
      </c>
      <c r="J120" s="136">
        <v>1</v>
      </c>
      <c r="K120" s="136">
        <v>1</v>
      </c>
      <c r="L120" s="136">
        <f>CDM!B191</f>
        <v>2735677.0974427722</v>
      </c>
      <c r="M120" s="165">
        <f>+(M122-M110)/12+M119</f>
        <v>27695.833333333321</v>
      </c>
      <c r="R120" s="247">
        <f t="shared" si="11"/>
        <v>43510932.902847186</v>
      </c>
      <c r="S120" s="74">
        <f t="shared" si="12"/>
        <v>0.1027022570786388</v>
      </c>
      <c r="T120" s="135"/>
      <c r="AN120" s="136"/>
      <c r="AO120" s="133"/>
      <c r="AP120" s="136"/>
      <c r="AQ120" s="136"/>
      <c r="AR120" s="136"/>
      <c r="AS120" s="32"/>
    </row>
    <row r="121" spans="1:45" x14ac:dyDescent="0.25">
      <c r="A121" s="75">
        <v>43770</v>
      </c>
      <c r="B121" s="136">
        <f>'Power Purchases'!B205</f>
        <v>42531519.999999993</v>
      </c>
      <c r="C121" s="136">
        <f>'Power Purchases'!C205</f>
        <v>280826.71019199881</v>
      </c>
      <c r="D121" s="244">
        <f t="shared" si="10"/>
        <v>45552442.851262197</v>
      </c>
      <c r="E121" s="212">
        <f>[6]en_climate_daily_ON_6158731_201!$Q$336</f>
        <v>513.30000000000007</v>
      </c>
      <c r="F121" s="212">
        <f>[6]en_climate_daily_ON_6158731_201!$S$336</f>
        <v>0</v>
      </c>
      <c r="G121" s="136">
        <v>30</v>
      </c>
      <c r="H121" s="136">
        <v>0</v>
      </c>
      <c r="I121" s="136">
        <v>320</v>
      </c>
      <c r="J121" s="136">
        <v>1</v>
      </c>
      <c r="K121" s="136">
        <v>1</v>
      </c>
      <c r="L121" s="136">
        <f>CDM!B192</f>
        <v>2740096.1410702053</v>
      </c>
      <c r="M121" s="165">
        <f>+(M122-M110)/12+M120</f>
        <v>27707.416666666653</v>
      </c>
      <c r="R121" s="247">
        <f t="shared" si="11"/>
        <v>44395307.976294063</v>
      </c>
      <c r="S121" s="74">
        <f t="shared" si="12"/>
        <v>4.3821334772283491E-2</v>
      </c>
      <c r="T121" s="135"/>
      <c r="AN121" s="136"/>
      <c r="AO121" s="133"/>
      <c r="AP121" s="136"/>
      <c r="AQ121" s="136"/>
      <c r="AR121" s="136"/>
      <c r="AS121" s="32"/>
    </row>
    <row r="122" spans="1:45" x14ac:dyDescent="0.25">
      <c r="A122" s="75">
        <v>43800</v>
      </c>
      <c r="B122" s="136">
        <f>'Power Purchases'!B206</f>
        <v>44650100</v>
      </c>
      <c r="C122" s="136">
        <f>'Power Purchases'!C206</f>
        <v>290037.12809251581</v>
      </c>
      <c r="D122" s="244">
        <f t="shared" si="10"/>
        <v>47684652.312790148</v>
      </c>
      <c r="E122" s="212">
        <f>[6]en_climate_daily_ON_6158731_201!$Q$367</f>
        <v>582.4</v>
      </c>
      <c r="F122" s="212">
        <f>[6]en_climate_daily_ON_6158731_201!$S$367</f>
        <v>0</v>
      </c>
      <c r="G122" s="136">
        <v>31</v>
      </c>
      <c r="H122" s="136">
        <v>0</v>
      </c>
      <c r="I122" s="136">
        <v>320</v>
      </c>
      <c r="J122" s="136">
        <v>0</v>
      </c>
      <c r="K122" s="136">
        <v>1</v>
      </c>
      <c r="L122" s="136">
        <f>CDM!B193</f>
        <v>2744515.1846976383</v>
      </c>
      <c r="M122" s="165">
        <f>'Rate Class Customer Model'!I12</f>
        <v>27719</v>
      </c>
      <c r="R122" s="247">
        <f t="shared" si="11"/>
        <v>46737678.954585165</v>
      </c>
      <c r="S122" s="74">
        <f t="shared" si="12"/>
        <v>4.6754183184027916E-2</v>
      </c>
      <c r="T122" s="135"/>
      <c r="AN122" s="136"/>
      <c r="AO122" s="133"/>
      <c r="AP122" s="136"/>
      <c r="AQ122" s="136"/>
      <c r="AR122" s="136"/>
      <c r="AS122" s="32"/>
    </row>
    <row r="123" spans="1:45" x14ac:dyDescent="0.25">
      <c r="A123" s="75">
        <v>43831</v>
      </c>
      <c r="B123" s="136"/>
      <c r="C123" s="136"/>
      <c r="D123" s="136"/>
      <c r="E123" s="212">
        <f>(E3+E15+E27+E39+E51+E63+E75+E87+E99+E111)/10</f>
        <v>712.52</v>
      </c>
      <c r="F123" s="212">
        <f>(F3+F15+F27+F39+F51+F63+F75+F87+F99+F111)/10</f>
        <v>0</v>
      </c>
      <c r="G123" s="136">
        <v>31</v>
      </c>
      <c r="H123" s="136">
        <v>0</v>
      </c>
      <c r="I123" s="136">
        <v>352</v>
      </c>
      <c r="J123" s="136">
        <v>0</v>
      </c>
      <c r="K123" s="136">
        <v>1</v>
      </c>
      <c r="L123" s="136">
        <f>CDM!B194</f>
        <v>2742510.9925475814</v>
      </c>
      <c r="R123" s="247">
        <f t="shared" si="11"/>
        <v>48604475.469032474</v>
      </c>
      <c r="S123" s="37"/>
      <c r="T123" s="135"/>
      <c r="AN123" s="136"/>
      <c r="AO123" s="133"/>
      <c r="AP123" s="136"/>
      <c r="AQ123" s="136"/>
      <c r="AR123" s="136"/>
      <c r="AS123" s="32"/>
    </row>
    <row r="124" spans="1:45" x14ac:dyDescent="0.25">
      <c r="A124" s="75">
        <v>43862</v>
      </c>
      <c r="D124" s="136"/>
      <c r="E124" s="212">
        <f t="shared" ref="E124:F134" si="13">(E4+E16+E28+E40+E52+E64+E76+E88+E100+E112)/10</f>
        <v>628.50999999999988</v>
      </c>
      <c r="F124" s="212">
        <f t="shared" si="13"/>
        <v>0</v>
      </c>
      <c r="G124" s="136">
        <v>29</v>
      </c>
      <c r="H124" s="136">
        <v>0</v>
      </c>
      <c r="I124" s="136">
        <v>304</v>
      </c>
      <c r="J124" s="136">
        <v>0</v>
      </c>
      <c r="K124" s="136">
        <v>1</v>
      </c>
      <c r="L124" s="136">
        <f>CDM!B195</f>
        <v>2740506.8003975246</v>
      </c>
      <c r="R124" s="247">
        <f t="shared" si="11"/>
        <v>44952140.171737872</v>
      </c>
      <c r="S124" s="37"/>
      <c r="T124" s="135"/>
      <c r="AN124" s="136"/>
      <c r="AO124" s="133"/>
      <c r="AP124" s="136"/>
      <c r="AQ124" s="136"/>
      <c r="AR124" s="136"/>
      <c r="AS124" s="32"/>
    </row>
    <row r="125" spans="1:45" x14ac:dyDescent="0.25">
      <c r="A125" s="75">
        <v>43891</v>
      </c>
      <c r="D125" s="136"/>
      <c r="E125" s="212">
        <f t="shared" si="13"/>
        <v>540.39</v>
      </c>
      <c r="F125" s="212">
        <f t="shared" si="13"/>
        <v>0.02</v>
      </c>
      <c r="G125" s="136">
        <v>31</v>
      </c>
      <c r="H125" s="136">
        <v>1</v>
      </c>
      <c r="I125" s="136">
        <v>352</v>
      </c>
      <c r="J125" s="136">
        <v>0</v>
      </c>
      <c r="K125" s="136">
        <v>1</v>
      </c>
      <c r="L125" s="136">
        <f>CDM!B196</f>
        <v>2738502.6082474678</v>
      </c>
      <c r="R125" s="247">
        <f t="shared" si="11"/>
        <v>45099344.740079179</v>
      </c>
      <c r="S125" s="37"/>
      <c r="T125" s="135"/>
      <c r="AN125" s="136"/>
      <c r="AO125" s="133"/>
      <c r="AP125" s="136"/>
      <c r="AQ125" s="136"/>
      <c r="AR125" s="136"/>
      <c r="AS125" s="32"/>
    </row>
    <row r="126" spans="1:45" x14ac:dyDescent="0.25">
      <c r="A126" s="75">
        <v>43922</v>
      </c>
      <c r="D126" s="136"/>
      <c r="E126" s="212">
        <f t="shared" si="13"/>
        <v>334.46000000000004</v>
      </c>
      <c r="F126" s="212">
        <f t="shared" si="13"/>
        <v>0</v>
      </c>
      <c r="G126" s="136">
        <v>30</v>
      </c>
      <c r="H126" s="136">
        <v>1</v>
      </c>
      <c r="I126" s="136">
        <v>336</v>
      </c>
      <c r="J126" s="136">
        <v>0</v>
      </c>
      <c r="K126" s="136">
        <v>1</v>
      </c>
      <c r="L126" s="136">
        <f>CDM!B197</f>
        <v>2736498.416097411</v>
      </c>
      <c r="R126" s="247">
        <f t="shared" si="11"/>
        <v>41762958.312801465</v>
      </c>
      <c r="S126" s="37"/>
      <c r="T126" s="135"/>
      <c r="U126" s="111"/>
      <c r="V126" s="111"/>
      <c r="W126" s="111"/>
      <c r="X126" s="111"/>
      <c r="Y126" s="111"/>
      <c r="AN126" s="136"/>
      <c r="AO126" s="133"/>
      <c r="AP126" s="136"/>
      <c r="AQ126" s="136"/>
      <c r="AR126" s="136"/>
      <c r="AS126" s="32"/>
    </row>
    <row r="127" spans="1:45" x14ac:dyDescent="0.25">
      <c r="A127" s="75">
        <v>43952</v>
      </c>
      <c r="D127" s="136"/>
      <c r="E127" s="212">
        <f t="shared" si="13"/>
        <v>122.9</v>
      </c>
      <c r="F127" s="212">
        <f t="shared" si="13"/>
        <v>25.380000000000003</v>
      </c>
      <c r="G127" s="136">
        <v>31</v>
      </c>
      <c r="H127" s="136">
        <v>1</v>
      </c>
      <c r="I127" s="136">
        <v>320</v>
      </c>
      <c r="J127" s="136">
        <v>0</v>
      </c>
      <c r="K127" s="136">
        <v>1</v>
      </c>
      <c r="L127" s="136">
        <f>CDM!B198</f>
        <v>2734494.2239473541</v>
      </c>
      <c r="R127" s="247">
        <f t="shared" si="11"/>
        <v>42111690.969807379</v>
      </c>
      <c r="S127" s="37"/>
      <c r="T127" s="135"/>
      <c r="U127" s="111"/>
      <c r="AN127" s="136"/>
      <c r="AO127" s="133"/>
      <c r="AP127" s="136"/>
      <c r="AQ127" s="136"/>
      <c r="AR127" s="136"/>
      <c r="AS127" s="32"/>
    </row>
    <row r="128" spans="1:45" x14ac:dyDescent="0.25">
      <c r="A128" s="75">
        <v>43983</v>
      </c>
      <c r="D128" s="136"/>
      <c r="E128" s="212">
        <f t="shared" si="13"/>
        <v>24.6</v>
      </c>
      <c r="F128" s="212">
        <f t="shared" si="13"/>
        <v>62.620000000000005</v>
      </c>
      <c r="G128" s="136">
        <v>30</v>
      </c>
      <c r="H128" s="136">
        <v>0</v>
      </c>
      <c r="I128" s="136">
        <v>352</v>
      </c>
      <c r="J128" s="136">
        <v>0</v>
      </c>
      <c r="K128" s="136">
        <v>1</v>
      </c>
      <c r="L128" s="136">
        <f>CDM!B199</f>
        <v>2732490.0317972973</v>
      </c>
      <c r="R128" s="247">
        <f t="shared" si="11"/>
        <v>45069655.203369625</v>
      </c>
      <c r="S128" s="37"/>
      <c r="T128" s="135"/>
      <c r="U128" s="111"/>
      <c r="AN128" s="136"/>
      <c r="AO128" s="133"/>
      <c r="AP128" s="136"/>
      <c r="AQ128" s="136"/>
      <c r="AR128" s="136"/>
      <c r="AS128" s="32"/>
    </row>
    <row r="129" spans="1:45" x14ac:dyDescent="0.25">
      <c r="A129" s="75">
        <v>44013</v>
      </c>
      <c r="D129" s="136"/>
      <c r="E129" s="212">
        <f t="shared" si="13"/>
        <v>1.1099999999999999</v>
      </c>
      <c r="F129" s="212">
        <f t="shared" si="13"/>
        <v>149.29999999999998</v>
      </c>
      <c r="G129" s="136">
        <v>31</v>
      </c>
      <c r="H129" s="136">
        <v>0</v>
      </c>
      <c r="I129" s="136">
        <v>352</v>
      </c>
      <c r="J129" s="136">
        <v>0</v>
      </c>
      <c r="K129" s="136">
        <v>1</v>
      </c>
      <c r="L129" s="136">
        <f>CDM!B200</f>
        <v>2730485.8396472405</v>
      </c>
      <c r="R129" s="247">
        <f t="shared" si="11"/>
        <v>51864513.059867658</v>
      </c>
      <c r="S129" s="37"/>
      <c r="T129" s="135"/>
      <c r="U129" s="111"/>
      <c r="AN129" s="136"/>
      <c r="AO129" s="133"/>
      <c r="AP129" s="136"/>
      <c r="AQ129" s="136"/>
      <c r="AR129" s="136"/>
      <c r="AS129" s="32"/>
    </row>
    <row r="130" spans="1:45" x14ac:dyDescent="0.25">
      <c r="A130" s="75">
        <v>44044</v>
      </c>
      <c r="D130" s="136"/>
      <c r="E130" s="212">
        <f t="shared" si="13"/>
        <v>3.5400000000000005</v>
      </c>
      <c r="F130" s="212">
        <f t="shared" si="13"/>
        <v>117.36000000000001</v>
      </c>
      <c r="G130" s="136">
        <v>31</v>
      </c>
      <c r="H130" s="136">
        <v>0</v>
      </c>
      <c r="I130" s="136">
        <v>320</v>
      </c>
      <c r="J130" s="136">
        <v>0</v>
      </c>
      <c r="K130" s="136">
        <v>1</v>
      </c>
      <c r="L130" s="136">
        <f>CDM!B201</f>
        <v>2728481.6474971836</v>
      </c>
      <c r="R130" s="247">
        <f t="shared" si="11"/>
        <v>49102762.693727225</v>
      </c>
      <c r="S130" s="37"/>
      <c r="T130" s="135"/>
      <c r="U130" s="111"/>
      <c r="AN130" s="136"/>
      <c r="AO130" s="133"/>
      <c r="AP130" s="136"/>
      <c r="AQ130" s="136"/>
      <c r="AR130" s="136"/>
      <c r="AS130" s="32"/>
    </row>
    <row r="131" spans="1:45" x14ac:dyDescent="0.25">
      <c r="A131" s="75">
        <v>44075</v>
      </c>
      <c r="D131" s="136"/>
      <c r="E131" s="212">
        <f t="shared" si="13"/>
        <v>54.989999999999995</v>
      </c>
      <c r="F131" s="212">
        <f t="shared" si="13"/>
        <v>48.959999999999994</v>
      </c>
      <c r="G131" s="136">
        <v>30</v>
      </c>
      <c r="H131" s="136">
        <v>0</v>
      </c>
      <c r="I131" s="136">
        <v>336</v>
      </c>
      <c r="J131" s="136">
        <v>1</v>
      </c>
      <c r="K131" s="136">
        <v>1</v>
      </c>
      <c r="L131" s="136">
        <f>CDM!B202</f>
        <v>2726477.4553471268</v>
      </c>
      <c r="R131" s="247">
        <f t="shared" si="11"/>
        <v>43480798.629662931</v>
      </c>
      <c r="S131" s="37"/>
      <c r="T131" s="135"/>
      <c r="U131" s="111"/>
      <c r="AN131" s="136"/>
      <c r="AO131" s="133"/>
      <c r="AP131" s="136"/>
      <c r="AQ131" s="136"/>
      <c r="AR131" s="136"/>
      <c r="AS131" s="32"/>
    </row>
    <row r="132" spans="1:45" x14ac:dyDescent="0.25">
      <c r="A132" s="75">
        <v>44105</v>
      </c>
      <c r="D132" s="136"/>
      <c r="E132" s="212">
        <f t="shared" si="13"/>
        <v>227.63000000000002</v>
      </c>
      <c r="F132" s="212">
        <f t="shared" si="13"/>
        <v>3.0699999999999994</v>
      </c>
      <c r="G132" s="136">
        <v>31</v>
      </c>
      <c r="H132" s="136">
        <v>0</v>
      </c>
      <c r="I132" s="136">
        <v>336</v>
      </c>
      <c r="J132" s="136">
        <v>1</v>
      </c>
      <c r="K132" s="136">
        <v>1</v>
      </c>
      <c r="L132" s="136">
        <f>CDM!B203</f>
        <v>2724473.26319707</v>
      </c>
      <c r="R132" s="247">
        <f t="shared" ref="R132:R146" si="14">+$V$19+E132*$V$20+F132*$V$21+G132*$V$22+H132*$V$23+I132*$V$24+J132*$V$25+K132*$V$26</f>
        <v>43000977.91369196</v>
      </c>
      <c r="S132" s="37"/>
      <c r="T132" s="135"/>
      <c r="U132" s="111"/>
      <c r="AN132" s="136"/>
      <c r="AO132" s="133"/>
      <c r="AP132" s="136"/>
      <c r="AQ132" s="136"/>
      <c r="AR132" s="136"/>
      <c r="AS132" s="32"/>
    </row>
    <row r="133" spans="1:45" x14ac:dyDescent="0.25">
      <c r="A133" s="75">
        <v>44136</v>
      </c>
      <c r="D133" s="136"/>
      <c r="E133" s="212">
        <f t="shared" si="13"/>
        <v>424.59</v>
      </c>
      <c r="F133" s="212">
        <f t="shared" si="13"/>
        <v>0</v>
      </c>
      <c r="G133" s="136">
        <v>30</v>
      </c>
      <c r="H133" s="136">
        <v>0</v>
      </c>
      <c r="I133" s="136">
        <v>336</v>
      </c>
      <c r="J133" s="136">
        <v>1</v>
      </c>
      <c r="K133" s="136">
        <v>1</v>
      </c>
      <c r="L133" s="136">
        <f>CDM!B204</f>
        <v>2722469.0710470132</v>
      </c>
      <c r="R133" s="247">
        <f t="shared" si="14"/>
        <v>43782417.498853974</v>
      </c>
      <c r="S133" s="37"/>
      <c r="T133" s="135"/>
      <c r="U133" s="111"/>
      <c r="AN133" s="136"/>
      <c r="AO133" s="133"/>
      <c r="AP133" s="136"/>
      <c r="AQ133" s="136"/>
      <c r="AR133" s="136"/>
      <c r="AS133" s="32"/>
    </row>
    <row r="134" spans="1:45" x14ac:dyDescent="0.25">
      <c r="A134" s="75">
        <v>44166</v>
      </c>
      <c r="D134" s="136"/>
      <c r="E134" s="212">
        <f t="shared" si="13"/>
        <v>589.1099999999999</v>
      </c>
      <c r="F134" s="212">
        <f t="shared" si="13"/>
        <v>0</v>
      </c>
      <c r="G134" s="136">
        <v>31</v>
      </c>
      <c r="H134" s="136">
        <v>0</v>
      </c>
      <c r="I134" s="136">
        <v>352</v>
      </c>
      <c r="J134" s="136">
        <v>0</v>
      </c>
      <c r="K134" s="136">
        <v>1</v>
      </c>
      <c r="L134" s="136">
        <f>CDM!B205</f>
        <v>2720464.8788969563</v>
      </c>
      <c r="R134" s="247">
        <f t="shared" si="14"/>
        <v>47363482.47465872</v>
      </c>
      <c r="S134" s="37"/>
      <c r="T134" s="135"/>
      <c r="U134" s="111"/>
      <c r="AN134" s="136"/>
      <c r="AO134" s="133"/>
      <c r="AP134" s="136"/>
      <c r="AQ134" s="136"/>
      <c r="AR134" s="136"/>
      <c r="AS134" s="32"/>
    </row>
    <row r="135" spans="1:45" x14ac:dyDescent="0.25">
      <c r="A135" s="75">
        <v>44197</v>
      </c>
      <c r="D135" s="136"/>
      <c r="E135" s="212">
        <f>E123</f>
        <v>712.52</v>
      </c>
      <c r="F135" s="212">
        <f>F123</f>
        <v>0</v>
      </c>
      <c r="G135" s="136">
        <v>31</v>
      </c>
      <c r="H135" s="136">
        <v>0</v>
      </c>
      <c r="I135" s="136">
        <v>320</v>
      </c>
      <c r="J135" s="136">
        <v>0</v>
      </c>
      <c r="K135" s="136">
        <v>1</v>
      </c>
      <c r="L135" s="136">
        <f>CDM!B206</f>
        <v>2723412.410460141</v>
      </c>
      <c r="R135" s="247">
        <f t="shared" si="14"/>
        <v>48046146.732138947</v>
      </c>
      <c r="S135" s="37"/>
      <c r="T135" s="135"/>
      <c r="U135" s="111"/>
      <c r="AN135" s="136"/>
      <c r="AO135" s="133"/>
      <c r="AP135" s="136"/>
      <c r="AQ135" s="136"/>
      <c r="AR135" s="136"/>
      <c r="AS135" s="32"/>
    </row>
    <row r="136" spans="1:45" x14ac:dyDescent="0.25">
      <c r="A136" s="75">
        <v>44228</v>
      </c>
      <c r="D136" s="136"/>
      <c r="E136" s="212">
        <f t="shared" ref="E136:F146" si="15">E124</f>
        <v>628.50999999999988</v>
      </c>
      <c r="F136" s="212">
        <f t="shared" si="15"/>
        <v>0</v>
      </c>
      <c r="G136" s="136">
        <v>28</v>
      </c>
      <c r="H136" s="136">
        <v>0</v>
      </c>
      <c r="I136" s="136">
        <v>304</v>
      </c>
      <c r="J136" s="136">
        <v>0</v>
      </c>
      <c r="K136" s="136">
        <v>1</v>
      </c>
      <c r="L136" s="136">
        <f>CDM!B207</f>
        <v>2726359.9420233257</v>
      </c>
      <c r="R136" s="247">
        <f t="shared" si="14"/>
        <v>43967115.2408095</v>
      </c>
      <c r="S136" s="37"/>
      <c r="T136" s="135"/>
      <c r="U136" s="111"/>
      <c r="AN136" s="136"/>
      <c r="AO136" s="133"/>
      <c r="AP136" s="136"/>
      <c r="AQ136" s="136"/>
      <c r="AR136" s="136"/>
      <c r="AS136" s="32"/>
    </row>
    <row r="137" spans="1:45" x14ac:dyDescent="0.25">
      <c r="A137" s="75">
        <v>44256</v>
      </c>
      <c r="D137" s="136"/>
      <c r="E137" s="212">
        <f t="shared" si="15"/>
        <v>540.39</v>
      </c>
      <c r="F137" s="212">
        <f t="shared" si="15"/>
        <v>0.02</v>
      </c>
      <c r="G137" s="136">
        <v>31</v>
      </c>
      <c r="H137" s="136">
        <v>1</v>
      </c>
      <c r="I137" s="136">
        <v>368</v>
      </c>
      <c r="J137" s="136">
        <v>0</v>
      </c>
      <c r="K137" s="136">
        <v>1</v>
      </c>
      <c r="L137" s="136">
        <f>CDM!B208</f>
        <v>2729307.4735865104</v>
      </c>
      <c r="R137" s="247">
        <f t="shared" si="14"/>
        <v>45378509.108525939</v>
      </c>
      <c r="S137" s="37"/>
      <c r="T137" s="135"/>
      <c r="U137" s="111"/>
      <c r="AN137" s="136"/>
      <c r="AO137" s="133"/>
      <c r="AP137" s="136"/>
      <c r="AQ137" s="136"/>
      <c r="AR137" s="136"/>
      <c r="AS137" s="32"/>
    </row>
    <row r="138" spans="1:45" x14ac:dyDescent="0.25">
      <c r="A138" s="75">
        <v>44287</v>
      </c>
      <c r="D138" s="136"/>
      <c r="E138" s="212">
        <f t="shared" si="15"/>
        <v>334.46000000000004</v>
      </c>
      <c r="F138" s="212">
        <f t="shared" si="15"/>
        <v>0</v>
      </c>
      <c r="G138" s="136">
        <v>30</v>
      </c>
      <c r="H138" s="136">
        <v>1</v>
      </c>
      <c r="I138" s="136">
        <v>336</v>
      </c>
      <c r="J138" s="136">
        <v>0</v>
      </c>
      <c r="K138" s="136">
        <v>1</v>
      </c>
      <c r="L138" s="136">
        <f>CDM!B209</f>
        <v>2732255.0051496951</v>
      </c>
      <c r="R138" s="247">
        <f t="shared" si="14"/>
        <v>41762958.312801465</v>
      </c>
      <c r="S138" s="37"/>
      <c r="T138" s="135"/>
      <c r="U138" s="111"/>
      <c r="AN138" s="136"/>
      <c r="AO138" s="133"/>
      <c r="AP138" s="136"/>
      <c r="AQ138" s="136"/>
      <c r="AR138" s="136"/>
      <c r="AS138" s="32"/>
    </row>
    <row r="139" spans="1:45" x14ac:dyDescent="0.25">
      <c r="A139" s="75">
        <v>44317</v>
      </c>
      <c r="D139" s="136"/>
      <c r="E139" s="212">
        <f t="shared" si="15"/>
        <v>122.9</v>
      </c>
      <c r="F139" s="212">
        <f t="shared" si="15"/>
        <v>25.380000000000003</v>
      </c>
      <c r="G139" s="136">
        <v>31</v>
      </c>
      <c r="H139" s="136">
        <v>1</v>
      </c>
      <c r="I139" s="136">
        <v>320</v>
      </c>
      <c r="J139" s="136">
        <v>0</v>
      </c>
      <c r="K139" s="136">
        <v>1</v>
      </c>
      <c r="L139" s="136">
        <f>CDM!B210</f>
        <v>2735202.5367128798</v>
      </c>
      <c r="R139" s="247">
        <f t="shared" si="14"/>
        <v>42111690.969807379</v>
      </c>
      <c r="S139" s="37"/>
      <c r="T139" s="135"/>
      <c r="U139" s="111"/>
      <c r="AN139" s="136"/>
      <c r="AO139" s="133"/>
      <c r="AP139" s="136"/>
      <c r="AQ139" s="136"/>
      <c r="AR139" s="136"/>
      <c r="AS139" s="32"/>
    </row>
    <row r="140" spans="1:45" x14ac:dyDescent="0.25">
      <c r="A140" s="75">
        <v>44348</v>
      </c>
      <c r="D140" s="136"/>
      <c r="E140" s="212">
        <f t="shared" si="15"/>
        <v>24.6</v>
      </c>
      <c r="F140" s="212">
        <f t="shared" si="15"/>
        <v>62.620000000000005</v>
      </c>
      <c r="G140" s="136">
        <v>30</v>
      </c>
      <c r="H140" s="136">
        <v>0</v>
      </c>
      <c r="I140" s="136">
        <v>352</v>
      </c>
      <c r="J140" s="136">
        <v>0</v>
      </c>
      <c r="K140" s="136">
        <v>1</v>
      </c>
      <c r="L140" s="136">
        <f>CDM!B211</f>
        <v>2738150.0682760645</v>
      </c>
      <c r="R140" s="247">
        <f t="shared" si="14"/>
        <v>45069655.203369625</v>
      </c>
      <c r="S140" s="37"/>
      <c r="T140" s="135"/>
      <c r="U140" s="111"/>
      <c r="AN140" s="136"/>
      <c r="AO140" s="133"/>
      <c r="AP140" s="136"/>
      <c r="AQ140" s="136"/>
      <c r="AR140" s="136"/>
      <c r="AS140" s="32"/>
    </row>
    <row r="141" spans="1:45" x14ac:dyDescent="0.25">
      <c r="A141" s="75">
        <v>44378</v>
      </c>
      <c r="D141" s="136"/>
      <c r="E141" s="212">
        <f t="shared" si="15"/>
        <v>1.1099999999999999</v>
      </c>
      <c r="F141" s="212">
        <f t="shared" si="15"/>
        <v>149.29999999999998</v>
      </c>
      <c r="G141" s="136">
        <v>31</v>
      </c>
      <c r="H141" s="136">
        <v>0</v>
      </c>
      <c r="I141" s="136">
        <v>336</v>
      </c>
      <c r="J141" s="136">
        <v>0</v>
      </c>
      <c r="K141" s="136">
        <v>1</v>
      </c>
      <c r="L141" s="136">
        <f>CDM!B212</f>
        <v>2741097.5998392492</v>
      </c>
      <c r="R141" s="247">
        <f t="shared" si="14"/>
        <v>51585348.69142089</v>
      </c>
      <c r="S141" s="37"/>
      <c r="T141" s="135"/>
      <c r="U141" s="111"/>
      <c r="AN141" s="136"/>
      <c r="AO141" s="133"/>
      <c r="AP141" s="136"/>
      <c r="AQ141" s="136"/>
      <c r="AR141" s="136"/>
      <c r="AS141" s="32"/>
    </row>
    <row r="142" spans="1:45" x14ac:dyDescent="0.25">
      <c r="A142" s="75">
        <v>44409</v>
      </c>
      <c r="D142" s="136"/>
      <c r="E142" s="212">
        <f t="shared" si="15"/>
        <v>3.5400000000000005</v>
      </c>
      <c r="F142" s="212">
        <f t="shared" si="15"/>
        <v>117.36000000000001</v>
      </c>
      <c r="G142" s="136">
        <v>31</v>
      </c>
      <c r="H142" s="136">
        <v>0</v>
      </c>
      <c r="I142" s="136">
        <v>336</v>
      </c>
      <c r="J142" s="136">
        <v>0</v>
      </c>
      <c r="K142" s="136">
        <v>1</v>
      </c>
      <c r="L142" s="136">
        <f>CDM!B213</f>
        <v>2744045.1314024338</v>
      </c>
      <c r="R142" s="247">
        <f t="shared" si="14"/>
        <v>49381927.062173985</v>
      </c>
      <c r="S142" s="37"/>
      <c r="T142" s="135"/>
      <c r="AN142" s="136"/>
      <c r="AO142" s="133"/>
      <c r="AP142" s="136"/>
      <c r="AQ142" s="136"/>
      <c r="AR142" s="136"/>
      <c r="AS142" s="32"/>
    </row>
    <row r="143" spans="1:45" x14ac:dyDescent="0.25">
      <c r="A143" s="75">
        <v>44440</v>
      </c>
      <c r="D143" s="136"/>
      <c r="E143" s="212">
        <f t="shared" si="15"/>
        <v>54.989999999999995</v>
      </c>
      <c r="F143" s="212">
        <f t="shared" si="15"/>
        <v>48.959999999999994</v>
      </c>
      <c r="G143" s="136">
        <v>30</v>
      </c>
      <c r="H143" s="136">
        <v>0</v>
      </c>
      <c r="I143" s="136">
        <v>336</v>
      </c>
      <c r="J143" s="136">
        <v>1</v>
      </c>
      <c r="K143" s="136">
        <v>1</v>
      </c>
      <c r="L143" s="136">
        <f>CDM!B214</f>
        <v>2746992.6629656185</v>
      </c>
      <c r="R143" s="247">
        <f t="shared" si="14"/>
        <v>43480798.629662931</v>
      </c>
      <c r="S143" s="37"/>
      <c r="T143" s="135"/>
      <c r="AN143" s="136"/>
      <c r="AO143" s="133"/>
      <c r="AP143" s="136"/>
      <c r="AQ143" s="136"/>
      <c r="AR143" s="136"/>
      <c r="AS143" s="32"/>
    </row>
    <row r="144" spans="1:45" x14ac:dyDescent="0.25">
      <c r="A144" s="75">
        <v>44470</v>
      </c>
      <c r="D144" s="136"/>
      <c r="E144" s="212">
        <f t="shared" si="15"/>
        <v>227.63000000000002</v>
      </c>
      <c r="F144" s="212">
        <f t="shared" si="15"/>
        <v>3.0699999999999994</v>
      </c>
      <c r="G144" s="136">
        <v>31</v>
      </c>
      <c r="H144" s="136">
        <v>0</v>
      </c>
      <c r="I144" s="136">
        <v>320</v>
      </c>
      <c r="J144" s="136">
        <v>1</v>
      </c>
      <c r="K144" s="136">
        <v>1</v>
      </c>
      <c r="L144" s="136">
        <f>CDM!B215</f>
        <v>2749940.1945288032</v>
      </c>
      <c r="R144" s="247">
        <f t="shared" si="14"/>
        <v>42721813.5452452</v>
      </c>
      <c r="S144" s="37"/>
      <c r="T144" s="135"/>
      <c r="AN144" s="136"/>
      <c r="AO144" s="133"/>
      <c r="AP144" s="136"/>
      <c r="AQ144" s="136"/>
      <c r="AR144" s="136"/>
      <c r="AS144" s="32"/>
    </row>
    <row r="145" spans="1:45" x14ac:dyDescent="0.25">
      <c r="A145" s="75">
        <v>44501</v>
      </c>
      <c r="D145" s="136"/>
      <c r="E145" s="212">
        <f t="shared" si="15"/>
        <v>424.59</v>
      </c>
      <c r="F145" s="212">
        <f t="shared" si="15"/>
        <v>0</v>
      </c>
      <c r="G145" s="136">
        <v>30</v>
      </c>
      <c r="H145" s="136">
        <v>0</v>
      </c>
      <c r="I145" s="136">
        <v>352</v>
      </c>
      <c r="J145" s="136">
        <v>1</v>
      </c>
      <c r="K145" s="136">
        <v>1</v>
      </c>
      <c r="L145" s="136">
        <f>CDM!B216</f>
        <v>2752887.7260919879</v>
      </c>
      <c r="R145" s="247">
        <f t="shared" si="14"/>
        <v>44061581.867300741</v>
      </c>
      <c r="S145" s="37"/>
      <c r="T145" s="135"/>
      <c r="AN145" s="136"/>
      <c r="AO145" s="133"/>
      <c r="AP145" s="136"/>
      <c r="AQ145" s="136"/>
      <c r="AR145" s="136"/>
      <c r="AS145" s="32"/>
    </row>
    <row r="146" spans="1:45" x14ac:dyDescent="0.25">
      <c r="A146" s="75">
        <v>44531</v>
      </c>
      <c r="D146" s="136"/>
      <c r="E146" s="212">
        <f t="shared" si="15"/>
        <v>589.1099999999999</v>
      </c>
      <c r="F146" s="212">
        <f t="shared" si="15"/>
        <v>0</v>
      </c>
      <c r="G146" s="136">
        <v>31</v>
      </c>
      <c r="H146" s="136">
        <v>0</v>
      </c>
      <c r="I146" s="136">
        <v>352</v>
      </c>
      <c r="J146" s="136">
        <v>0</v>
      </c>
      <c r="K146" s="136">
        <v>1</v>
      </c>
      <c r="L146" s="136">
        <f>CDM!B217</f>
        <v>2755835.2576551726</v>
      </c>
      <c r="R146" s="247">
        <f t="shared" si="14"/>
        <v>47363482.47465872</v>
      </c>
      <c r="S146" s="37"/>
      <c r="T146" s="135"/>
      <c r="AN146" s="136"/>
      <c r="AO146" s="133"/>
      <c r="AP146" s="136"/>
      <c r="AQ146" s="136"/>
      <c r="AR146" s="136"/>
      <c r="AS146" s="32"/>
    </row>
    <row r="147" spans="1:45" x14ac:dyDescent="0.25">
      <c r="A147" s="75"/>
      <c r="D147" s="136"/>
      <c r="G147" s="136"/>
      <c r="H147" s="136"/>
      <c r="J147" s="136"/>
      <c r="K147" s="136"/>
      <c r="L147" s="136"/>
      <c r="R147" s="76">
        <f>SUM(R3:R146)</f>
        <v>6486557077.6260424</v>
      </c>
      <c r="S147" s="37"/>
      <c r="T147" s="135"/>
      <c r="AN147" s="136"/>
      <c r="AO147" s="133"/>
      <c r="AP147" s="136"/>
      <c r="AQ147" s="136"/>
      <c r="AR147" s="136"/>
      <c r="AS147" s="32"/>
    </row>
    <row r="148" spans="1:45" x14ac:dyDescent="0.25">
      <c r="A148" s="75"/>
      <c r="R148" s="6"/>
      <c r="S148" s="37"/>
      <c r="T148" s="135"/>
      <c r="AN148" s="136"/>
      <c r="AO148" s="133"/>
      <c r="AP148" s="136"/>
      <c r="AQ148" s="136"/>
      <c r="AR148" s="136"/>
      <c r="AS148" s="32"/>
    </row>
    <row r="149" spans="1:45" x14ac:dyDescent="0.25">
      <c r="A149">
        <v>2010</v>
      </c>
      <c r="B149" s="6">
        <f>SUM(B3:B14)</f>
        <v>520540576.92307693</v>
      </c>
      <c r="D149" s="6">
        <f>SUM(D3:D14)</f>
        <v>532007113.72215426</v>
      </c>
      <c r="R149" s="236">
        <f>SUM(R3:R14)</f>
        <v>530651325.45774496</v>
      </c>
      <c r="S149" s="237">
        <f t="shared" ref="S149:S158" si="16">R149-D149</f>
        <v>-1355788.2644093037</v>
      </c>
      <c r="T149" s="238">
        <f>S149/D149</f>
        <v>-2.548440104350516E-3</v>
      </c>
      <c r="AN149" s="136"/>
      <c r="AO149" s="133"/>
      <c r="AP149" s="136"/>
      <c r="AQ149" s="136"/>
      <c r="AR149" s="136"/>
      <c r="AS149" s="32"/>
    </row>
    <row r="150" spans="1:45" x14ac:dyDescent="0.25">
      <c r="A150">
        <v>2011</v>
      </c>
      <c r="B150" s="6">
        <f>SUM(B15:B26)</f>
        <v>519240438.46153849</v>
      </c>
      <c r="D150" s="6">
        <f>SUM(D15:D26)</f>
        <v>532339377.02627134</v>
      </c>
      <c r="R150" s="236">
        <f>SUM(R15:R26)</f>
        <v>531593551.53104627</v>
      </c>
      <c r="S150" s="237">
        <f t="shared" si="16"/>
        <v>-745825.49522507191</v>
      </c>
      <c r="T150" s="238">
        <f t="shared" ref="T150:T158" si="17">S150/D150</f>
        <v>-1.4010338656354269E-3</v>
      </c>
      <c r="AN150" s="136"/>
      <c r="AO150" s="133"/>
      <c r="AP150" s="136"/>
      <c r="AQ150" s="136"/>
      <c r="AR150" s="136"/>
      <c r="AS150" s="32"/>
    </row>
    <row r="151" spans="1:45" x14ac:dyDescent="0.25">
      <c r="A151">
        <v>2012</v>
      </c>
      <c r="B151" s="6">
        <f>SUM(B27:B38)</f>
        <v>512071040.55944055</v>
      </c>
      <c r="D151" s="6">
        <f>SUM(D27:D38)</f>
        <v>526949773.70057029</v>
      </c>
      <c r="R151" s="236">
        <f>SUM(R27:R38)</f>
        <v>532044816.96135008</v>
      </c>
      <c r="S151" s="237">
        <f t="shared" si="16"/>
        <v>5095043.260779798</v>
      </c>
      <c r="T151" s="238">
        <f t="shared" si="17"/>
        <v>9.6689352858038511E-3</v>
      </c>
      <c r="AN151" s="136"/>
      <c r="AO151" s="133"/>
      <c r="AP151" s="136"/>
      <c r="AQ151" s="136"/>
      <c r="AR151" s="136"/>
      <c r="AS151" s="32"/>
    </row>
    <row r="152" spans="1:45" x14ac:dyDescent="0.25">
      <c r="A152" s="17">
        <v>2013</v>
      </c>
      <c r="B152" s="6">
        <f>SUM(B39:B50)</f>
        <v>518517966.66666669</v>
      </c>
      <c r="D152" s="6">
        <f>SUM(D39:D50)</f>
        <v>535649500.58989865</v>
      </c>
      <c r="R152" s="236">
        <f>SUM(R39:R50)</f>
        <v>531013184.46955585</v>
      </c>
      <c r="S152" s="237">
        <f t="shared" si="16"/>
        <v>-4636316.1203427911</v>
      </c>
      <c r="T152" s="238">
        <f t="shared" si="17"/>
        <v>-8.6555034873306534E-3</v>
      </c>
      <c r="AN152" s="136"/>
      <c r="AO152" s="133"/>
      <c r="AP152" s="136"/>
      <c r="AQ152" s="136"/>
      <c r="AR152" s="136"/>
      <c r="AS152" s="32"/>
    </row>
    <row r="153" spans="1:45" x14ac:dyDescent="0.25">
      <c r="A153">
        <v>2014</v>
      </c>
      <c r="B153" s="6">
        <f>SUM(B51:B62)</f>
        <v>529499716.28205132</v>
      </c>
      <c r="D153" s="6">
        <f>SUM(D51:D62)</f>
        <v>548881376.27432632</v>
      </c>
      <c r="R153" s="236">
        <f>SUM(R51:R62)</f>
        <v>539121596.94489396</v>
      </c>
      <c r="S153" s="237">
        <f t="shared" si="16"/>
        <v>-9759779.3294323683</v>
      </c>
      <c r="T153" s="238">
        <f t="shared" si="17"/>
        <v>-1.7781217857452885E-2</v>
      </c>
      <c r="AN153" s="136"/>
      <c r="AO153" s="133"/>
      <c r="AP153" s="136"/>
      <c r="AQ153" s="136"/>
      <c r="AR153" s="136"/>
      <c r="AS153" s="32"/>
    </row>
    <row r="154" spans="1:45" x14ac:dyDescent="0.25">
      <c r="A154">
        <v>2015</v>
      </c>
      <c r="B154" s="6">
        <f>SUM(B63:B74)</f>
        <v>524381523.07692313</v>
      </c>
      <c r="D154" s="6">
        <f>SUM(D63:D74)</f>
        <v>546524959.87960744</v>
      </c>
      <c r="R154" s="236">
        <f>SUM(R63:R74)</f>
        <v>541797117.03281069</v>
      </c>
      <c r="S154" s="237">
        <f t="shared" si="16"/>
        <v>-4727842.846796751</v>
      </c>
      <c r="T154" s="238">
        <f t="shared" si="17"/>
        <v>-8.6507354537626886E-3</v>
      </c>
      <c r="AN154" s="136"/>
      <c r="AO154" s="133"/>
      <c r="AP154" s="136"/>
      <c r="AQ154" s="136"/>
      <c r="AR154" s="136"/>
      <c r="AS154" s="32"/>
    </row>
    <row r="155" spans="1:45" x14ac:dyDescent="0.25">
      <c r="A155">
        <v>2016</v>
      </c>
      <c r="B155" s="6">
        <f>SUM(B75:B86)</f>
        <v>521292346.1538462</v>
      </c>
      <c r="D155" s="6">
        <f>SUM(D75:D86)</f>
        <v>548902224.51638186</v>
      </c>
      <c r="R155" s="236">
        <f>SUM(R75:R86)</f>
        <v>555022856.64684153</v>
      </c>
      <c r="S155" s="237">
        <f t="shared" si="16"/>
        <v>6120632.1304596663</v>
      </c>
      <c r="T155" s="238">
        <f t="shared" si="17"/>
        <v>1.1150678312248299E-2</v>
      </c>
      <c r="AN155" s="136"/>
      <c r="AO155" s="133"/>
      <c r="AP155" s="136"/>
      <c r="AQ155" s="136"/>
      <c r="AR155" s="136"/>
      <c r="AS155" s="32"/>
    </row>
    <row r="156" spans="1:45" x14ac:dyDescent="0.25">
      <c r="A156">
        <v>2017</v>
      </c>
      <c r="B156" s="6">
        <f>SUM(B87:B98)</f>
        <v>494833719.04761904</v>
      </c>
      <c r="D156" s="6">
        <f>SUM(D87:D98)</f>
        <v>527496122.37603909</v>
      </c>
      <c r="R156" s="236">
        <f>SUM(R87:R98)</f>
        <v>538678900.85793579</v>
      </c>
      <c r="S156" s="237">
        <f t="shared" si="16"/>
        <v>11182778.481896698</v>
      </c>
      <c r="T156" s="238">
        <f t="shared" si="17"/>
        <v>2.1199735898579306E-2</v>
      </c>
      <c r="AN156" s="136"/>
      <c r="AO156" s="133"/>
      <c r="AP156" s="136"/>
      <c r="AQ156" s="136"/>
      <c r="AR156" s="136"/>
      <c r="AS156" s="32"/>
    </row>
    <row r="157" spans="1:45" x14ac:dyDescent="0.25">
      <c r="A157">
        <v>2018</v>
      </c>
      <c r="B157" s="6">
        <f>SUM(B99:B110)</f>
        <v>515265533.33333325</v>
      </c>
      <c r="D157" s="6">
        <f>SUM(D99:D110)</f>
        <v>550762184.57449126</v>
      </c>
      <c r="Q157" s="24"/>
      <c r="R157" s="236">
        <f>SUM(R99:R110)</f>
        <v>553128897.63353944</v>
      </c>
      <c r="S157" s="237">
        <f t="shared" si="16"/>
        <v>2366713.0590481758</v>
      </c>
      <c r="T157" s="238">
        <f t="shared" si="17"/>
        <v>4.2971596913042509E-3</v>
      </c>
      <c r="AN157" s="136"/>
      <c r="AO157" s="133"/>
      <c r="AP157" s="136"/>
      <c r="AQ157" s="136"/>
      <c r="AR157" s="136"/>
      <c r="AS157" s="32"/>
    </row>
    <row r="158" spans="1:45" x14ac:dyDescent="0.25">
      <c r="A158">
        <v>2019</v>
      </c>
      <c r="B158" s="6">
        <f>SUM(B111:B122)</f>
        <v>509480020</v>
      </c>
      <c r="D158" s="6">
        <f>SUM(D111:D122)</f>
        <v>545918199.9910953</v>
      </c>
      <c r="Q158" s="24"/>
      <c r="R158" s="236">
        <f>SUM(R111:R122)</f>
        <v>542378585.11511779</v>
      </c>
      <c r="S158" s="237">
        <f t="shared" si="16"/>
        <v>-3539614.8759775162</v>
      </c>
      <c r="T158" s="238">
        <f t="shared" si="17"/>
        <v>-6.4837825081399602E-3</v>
      </c>
    </row>
    <row r="159" spans="1:45" x14ac:dyDescent="0.25">
      <c r="A159" s="17">
        <v>2020</v>
      </c>
      <c r="Q159" s="24"/>
      <c r="R159" s="236">
        <f>SUM(R123:R134)</f>
        <v>546195217.13729048</v>
      </c>
      <c r="S159" s="239"/>
      <c r="T159" s="240"/>
      <c r="U159" s="213"/>
    </row>
    <row r="160" spans="1:45" x14ac:dyDescent="0.25">
      <c r="A160">
        <v>2021</v>
      </c>
      <c r="Q160" s="24"/>
      <c r="R160" s="236">
        <f>SUM(R135:R146)</f>
        <v>544931027.8379153</v>
      </c>
      <c r="S160" s="241"/>
      <c r="T160" s="240"/>
      <c r="U160" s="213"/>
    </row>
    <row r="161" spans="1:45" x14ac:dyDescent="0.25">
      <c r="Q161" s="24"/>
      <c r="R161" s="239"/>
      <c r="S161" s="239"/>
      <c r="T161" s="240"/>
    </row>
    <row r="162" spans="1:45" x14ac:dyDescent="0.25">
      <c r="A162" t="s">
        <v>25</v>
      </c>
      <c r="D162" s="6">
        <f>SUM(D149:D158)</f>
        <v>5395430832.650836</v>
      </c>
      <c r="Q162" s="24"/>
      <c r="R162" s="236">
        <f>SUM(R149:R158)</f>
        <v>5395430832.650836</v>
      </c>
      <c r="S162" s="242">
        <f>R162-D162</f>
        <v>0</v>
      </c>
      <c r="T162" s="243"/>
    </row>
    <row r="163" spans="1:45" x14ac:dyDescent="0.25">
      <c r="Q163" s="24"/>
      <c r="R163" s="244"/>
      <c r="S163" s="239"/>
      <c r="T163" s="243"/>
    </row>
    <row r="164" spans="1:45" x14ac:dyDescent="0.25">
      <c r="Q164" s="24"/>
      <c r="R164" s="236">
        <f>SUM(R149:R160)</f>
        <v>6486557077.6260414</v>
      </c>
      <c r="S164" s="245">
        <f>R147-R164</f>
        <v>0</v>
      </c>
      <c r="T164" s="243"/>
    </row>
    <row r="165" spans="1:45" x14ac:dyDescent="0.25">
      <c r="E165" s="28"/>
      <c r="F165" s="28"/>
      <c r="H165" s="28"/>
      <c r="I165" s="28"/>
      <c r="J165" s="28"/>
      <c r="Q165" s="24"/>
      <c r="R165" s="20"/>
      <c r="S165" s="20" t="s">
        <v>65</v>
      </c>
      <c r="T165" s="20"/>
    </row>
    <row r="166" spans="1:45" x14ac:dyDescent="0.25">
      <c r="Q166" s="24"/>
      <c r="R166" s="28"/>
      <c r="S166" s="24"/>
      <c r="T166" s="5"/>
    </row>
    <row r="167" spans="1:45" x14ac:dyDescent="0.25">
      <c r="T167" s="5"/>
    </row>
    <row r="168" spans="1:45" x14ac:dyDescent="0.25">
      <c r="A168" t="s">
        <v>212</v>
      </c>
      <c r="T168" s="5"/>
    </row>
    <row r="169" spans="1:45" x14ac:dyDescent="0.25">
      <c r="A169" s="75">
        <v>44197</v>
      </c>
      <c r="E169" s="212">
        <f>'HDD CDD'!H23</f>
        <v>714.88526315789454</v>
      </c>
      <c r="F169" s="6">
        <f>'HDD CDD'!H47</f>
        <v>0</v>
      </c>
      <c r="G169" s="136">
        <f>G135</f>
        <v>31</v>
      </c>
      <c r="H169" s="136">
        <f t="shared" ref="H169:L169" si="18">H135</f>
        <v>0</v>
      </c>
      <c r="I169" s="136">
        <f t="shared" si="18"/>
        <v>320</v>
      </c>
      <c r="J169" s="136">
        <f t="shared" si="18"/>
        <v>0</v>
      </c>
      <c r="K169" s="136">
        <f t="shared" si="18"/>
        <v>1</v>
      </c>
      <c r="L169" s="136">
        <f t="shared" si="18"/>
        <v>2723412.410460141</v>
      </c>
      <c r="M169" s="224"/>
      <c r="N169" s="224"/>
      <c r="O169" s="224"/>
      <c r="P169" s="224"/>
      <c r="Q169" s="224"/>
      <c r="R169" s="76">
        <f t="shared" ref="R169:R180" si="19">+$V$19+E169*$V$20+F169*$V$21+G169*$V$22+H169*$V$23+I169*$V$24+J169*$V$25+K169*$V$26+L169*$V$27</f>
        <v>48069931.474127427</v>
      </c>
      <c r="S169" s="37"/>
      <c r="T169" s="135"/>
      <c r="U169" s="111"/>
      <c r="AN169" s="136"/>
      <c r="AO169" s="133"/>
      <c r="AP169" s="136"/>
      <c r="AQ169" s="136"/>
      <c r="AR169" s="136"/>
      <c r="AS169" s="32"/>
    </row>
    <row r="170" spans="1:45" x14ac:dyDescent="0.25">
      <c r="A170" s="75">
        <v>44228</v>
      </c>
      <c r="E170" s="212">
        <f>'HDD CDD'!I23</f>
        <v>633.13691729323307</v>
      </c>
      <c r="F170" s="6">
        <f>'HDD CDD'!I47</f>
        <v>0</v>
      </c>
      <c r="G170" s="136">
        <f t="shared" ref="G170:L180" si="20">G136</f>
        <v>28</v>
      </c>
      <c r="H170" s="136">
        <f t="shared" si="20"/>
        <v>0</v>
      </c>
      <c r="I170" s="136">
        <f t="shared" si="20"/>
        <v>304</v>
      </c>
      <c r="J170" s="136">
        <f t="shared" si="20"/>
        <v>0</v>
      </c>
      <c r="K170" s="136">
        <f t="shared" si="20"/>
        <v>1</v>
      </c>
      <c r="L170" s="136">
        <f t="shared" si="20"/>
        <v>2726359.9420233257</v>
      </c>
      <c r="M170" s="224"/>
      <c r="N170" s="224"/>
      <c r="O170" s="224"/>
      <c r="P170" s="224"/>
      <c r="Q170" s="224"/>
      <c r="R170" s="76">
        <f t="shared" si="19"/>
        <v>44013642.847538687</v>
      </c>
      <c r="S170" s="37"/>
      <c r="T170" s="135"/>
      <c r="U170" s="111"/>
      <c r="AN170" s="136"/>
      <c r="AO170" s="133"/>
      <c r="AP170" s="136"/>
      <c r="AQ170" s="136"/>
      <c r="AR170" s="136"/>
      <c r="AS170" s="32"/>
    </row>
    <row r="171" spans="1:45" x14ac:dyDescent="0.25">
      <c r="A171" s="75">
        <v>44256</v>
      </c>
      <c r="E171" s="212">
        <f>'HDD CDD'!J23</f>
        <v>570.20496240601551</v>
      </c>
      <c r="F171" s="6">
        <f>'HDD CDD'!J47</f>
        <v>1.8646616541353467E-2</v>
      </c>
      <c r="G171" s="136">
        <f t="shared" si="20"/>
        <v>31</v>
      </c>
      <c r="H171" s="136">
        <f t="shared" si="20"/>
        <v>1</v>
      </c>
      <c r="I171" s="136">
        <f t="shared" si="20"/>
        <v>368</v>
      </c>
      <c r="J171" s="136">
        <f t="shared" si="20"/>
        <v>0</v>
      </c>
      <c r="K171" s="136">
        <f t="shared" si="20"/>
        <v>1</v>
      </c>
      <c r="L171" s="136">
        <f t="shared" si="20"/>
        <v>2729307.4735865104</v>
      </c>
      <c r="M171" s="224"/>
      <c r="N171" s="224"/>
      <c r="O171" s="224"/>
      <c r="P171" s="224"/>
      <c r="Q171" s="224"/>
      <c r="R171" s="76">
        <f t="shared" si="19"/>
        <v>45678229.629824661</v>
      </c>
      <c r="S171" s="37"/>
      <c r="T171" s="135"/>
      <c r="U171" s="111"/>
      <c r="AN171" s="136"/>
      <c r="AO171" s="133"/>
      <c r="AP171" s="136"/>
      <c r="AQ171" s="136"/>
      <c r="AR171" s="136"/>
      <c r="AS171" s="32"/>
    </row>
    <row r="172" spans="1:45" x14ac:dyDescent="0.25">
      <c r="A172" s="75">
        <v>44287</v>
      </c>
      <c r="E172" s="212">
        <f>'HDD CDD'!K23</f>
        <v>347.85443609022559</v>
      </c>
      <c r="F172" s="6">
        <f>'HDD CDD'!K47</f>
        <v>0</v>
      </c>
      <c r="G172" s="136">
        <f t="shared" si="20"/>
        <v>30</v>
      </c>
      <c r="H172" s="136">
        <f t="shared" si="20"/>
        <v>1</v>
      </c>
      <c r="I172" s="136">
        <f t="shared" si="20"/>
        <v>336</v>
      </c>
      <c r="J172" s="136">
        <f t="shared" si="20"/>
        <v>0</v>
      </c>
      <c r="K172" s="136">
        <f t="shared" si="20"/>
        <v>1</v>
      </c>
      <c r="L172" s="136">
        <f t="shared" si="20"/>
        <v>2732255.0051496951</v>
      </c>
      <c r="M172" s="224"/>
      <c r="N172" s="224"/>
      <c r="O172" s="224"/>
      <c r="P172" s="224"/>
      <c r="Q172" s="224"/>
      <c r="R172" s="76">
        <f t="shared" si="19"/>
        <v>41897650.81220635</v>
      </c>
      <c r="S172" s="37"/>
      <c r="T172" s="135"/>
      <c r="U172" s="111"/>
      <c r="AN172" s="136"/>
      <c r="AO172" s="133"/>
      <c r="AP172" s="136"/>
      <c r="AQ172" s="136"/>
      <c r="AR172" s="136"/>
      <c r="AS172" s="32"/>
    </row>
    <row r="173" spans="1:45" x14ac:dyDescent="0.25">
      <c r="A173" s="75">
        <v>44317</v>
      </c>
      <c r="E173" s="212">
        <f>'HDD CDD'!L23</f>
        <v>116.77075187969967</v>
      </c>
      <c r="F173" s="6">
        <f>'HDD CDD'!L47</f>
        <v>27.570751879699174</v>
      </c>
      <c r="G173" s="136">
        <f t="shared" si="20"/>
        <v>31</v>
      </c>
      <c r="H173" s="136">
        <f t="shared" si="20"/>
        <v>1</v>
      </c>
      <c r="I173" s="136">
        <f t="shared" si="20"/>
        <v>320</v>
      </c>
      <c r="J173" s="136">
        <f t="shared" si="20"/>
        <v>0</v>
      </c>
      <c r="K173" s="136">
        <f t="shared" si="20"/>
        <v>1</v>
      </c>
      <c r="L173" s="136">
        <f t="shared" si="20"/>
        <v>2735202.5367128798</v>
      </c>
      <c r="M173" s="224"/>
      <c r="N173" s="224"/>
      <c r="O173" s="224"/>
      <c r="P173" s="224"/>
      <c r="Q173" s="224"/>
      <c r="R173" s="76">
        <f t="shared" si="19"/>
        <v>42202863.991741218</v>
      </c>
      <c r="S173" s="37"/>
      <c r="T173" s="135"/>
      <c r="U173" s="111"/>
      <c r="AN173" s="136"/>
      <c r="AO173" s="133"/>
      <c r="AP173" s="136"/>
      <c r="AQ173" s="136"/>
      <c r="AR173" s="136"/>
      <c r="AS173" s="32"/>
    </row>
    <row r="174" spans="1:45" x14ac:dyDescent="0.25">
      <c r="A174" s="75">
        <v>44348</v>
      </c>
      <c r="E174" s="212">
        <f>'HDD CDD'!M23</f>
        <v>22.306691729323347</v>
      </c>
      <c r="F174" s="6">
        <f>'HDD CDD'!M47</f>
        <v>59.702932330827252</v>
      </c>
      <c r="G174" s="136">
        <f t="shared" si="20"/>
        <v>30</v>
      </c>
      <c r="H174" s="136">
        <f t="shared" si="20"/>
        <v>0</v>
      </c>
      <c r="I174" s="136">
        <f t="shared" si="20"/>
        <v>352</v>
      </c>
      <c r="J174" s="136">
        <f t="shared" si="20"/>
        <v>0</v>
      </c>
      <c r="K174" s="136">
        <f t="shared" si="20"/>
        <v>1</v>
      </c>
      <c r="L174" s="136">
        <f t="shared" si="20"/>
        <v>2738150.0682760645</v>
      </c>
      <c r="M174" s="224"/>
      <c r="N174" s="224"/>
      <c r="O174" s="224"/>
      <c r="P174" s="224"/>
      <c r="Q174" s="224"/>
      <c r="R174" s="76">
        <f t="shared" si="19"/>
        <v>44843124.69101648</v>
      </c>
      <c r="S174" s="37"/>
      <c r="T174" s="135"/>
      <c r="U174" s="111"/>
      <c r="AN174" s="136"/>
      <c r="AO174" s="133"/>
      <c r="AP174" s="136"/>
      <c r="AQ174" s="136"/>
      <c r="AR174" s="136"/>
      <c r="AS174" s="32"/>
    </row>
    <row r="175" spans="1:45" x14ac:dyDescent="0.25">
      <c r="A175" s="75">
        <v>44378</v>
      </c>
      <c r="E175" s="212">
        <f>'HDD CDD'!N23</f>
        <v>0</v>
      </c>
      <c r="F175" s="6">
        <f>'HDD CDD'!N47</f>
        <v>154.03842105263175</v>
      </c>
      <c r="G175" s="136">
        <f t="shared" si="20"/>
        <v>31</v>
      </c>
      <c r="H175" s="136">
        <f t="shared" si="20"/>
        <v>0</v>
      </c>
      <c r="I175" s="136">
        <f t="shared" si="20"/>
        <v>336</v>
      </c>
      <c r="J175" s="136">
        <f t="shared" si="20"/>
        <v>0</v>
      </c>
      <c r="K175" s="136">
        <f t="shared" si="20"/>
        <v>1</v>
      </c>
      <c r="L175" s="136">
        <f t="shared" si="20"/>
        <v>2741097.5998392492</v>
      </c>
      <c r="M175" s="224"/>
      <c r="N175" s="224"/>
      <c r="O175" s="224"/>
      <c r="P175" s="224"/>
      <c r="Q175" s="224"/>
      <c r="R175" s="76">
        <f t="shared" si="19"/>
        <v>51904697.845031746</v>
      </c>
      <c r="S175" s="37"/>
      <c r="T175" s="135"/>
      <c r="U175" s="111"/>
      <c r="AN175" s="136"/>
      <c r="AO175" s="133"/>
      <c r="AP175" s="136"/>
      <c r="AQ175" s="136"/>
      <c r="AR175" s="136"/>
      <c r="AS175" s="32"/>
    </row>
    <row r="176" spans="1:45" x14ac:dyDescent="0.25">
      <c r="A176" s="75">
        <v>44409</v>
      </c>
      <c r="E176" s="212">
        <f>'HDD CDD'!O23</f>
        <v>3.7367669172932096</v>
      </c>
      <c r="F176" s="6">
        <f>'HDD CDD'!O47</f>
        <v>114.05969924812028</v>
      </c>
      <c r="G176" s="136">
        <f t="shared" si="20"/>
        <v>31</v>
      </c>
      <c r="H176" s="136">
        <f t="shared" si="20"/>
        <v>0</v>
      </c>
      <c r="I176" s="136">
        <f t="shared" si="20"/>
        <v>336</v>
      </c>
      <c r="J176" s="136">
        <f t="shared" si="20"/>
        <v>0</v>
      </c>
      <c r="K176" s="136">
        <f t="shared" si="20"/>
        <v>1</v>
      </c>
      <c r="L176" s="136">
        <f t="shared" si="20"/>
        <v>2744045.1314024338</v>
      </c>
      <c r="M176" s="224"/>
      <c r="N176" s="224"/>
      <c r="O176" s="224"/>
      <c r="P176" s="224"/>
      <c r="Q176" s="224"/>
      <c r="R176" s="76">
        <f t="shared" si="19"/>
        <v>49153705.36769148</v>
      </c>
      <c r="S176" s="37"/>
      <c r="T176" s="135"/>
      <c r="AN176" s="136"/>
      <c r="AO176" s="133"/>
      <c r="AP176" s="136"/>
      <c r="AQ176" s="136"/>
      <c r="AR176" s="136"/>
      <c r="AS176" s="32"/>
    </row>
    <row r="177" spans="1:45" x14ac:dyDescent="0.25">
      <c r="A177" s="75">
        <v>44440</v>
      </c>
      <c r="E177" s="212">
        <f>'HDD CDD'!P23</f>
        <v>45.631428571428614</v>
      </c>
      <c r="F177" s="6">
        <f>'HDD CDD'!P47</f>
        <v>54.051127819549038</v>
      </c>
      <c r="G177" s="136">
        <f t="shared" si="20"/>
        <v>30</v>
      </c>
      <c r="H177" s="136">
        <f t="shared" si="20"/>
        <v>0</v>
      </c>
      <c r="I177" s="136">
        <f t="shared" si="20"/>
        <v>336</v>
      </c>
      <c r="J177" s="136">
        <f t="shared" si="20"/>
        <v>1</v>
      </c>
      <c r="K177" s="136">
        <f t="shared" si="20"/>
        <v>1</v>
      </c>
      <c r="L177" s="136">
        <f t="shared" si="20"/>
        <v>2746992.6629656185</v>
      </c>
      <c r="M177" s="224"/>
      <c r="N177" s="224"/>
      <c r="O177" s="224"/>
      <c r="P177" s="224"/>
      <c r="Q177" s="224"/>
      <c r="R177" s="76">
        <f t="shared" si="19"/>
        <v>43741803.114503644</v>
      </c>
      <c r="S177" s="37"/>
      <c r="T177" s="135"/>
      <c r="AN177" s="136"/>
      <c r="AO177" s="133"/>
      <c r="AP177" s="136"/>
      <c r="AQ177" s="136"/>
      <c r="AR177" s="136"/>
      <c r="AS177" s="32"/>
    </row>
    <row r="178" spans="1:45" x14ac:dyDescent="0.25">
      <c r="A178" s="75">
        <v>44470</v>
      </c>
      <c r="E178" s="212">
        <f>'HDD CDD'!Q23</f>
        <v>209.59351879699216</v>
      </c>
      <c r="F178" s="6">
        <f>'HDD CDD'!Q47</f>
        <v>4.0399999999999991</v>
      </c>
      <c r="G178" s="136">
        <f t="shared" si="20"/>
        <v>31</v>
      </c>
      <c r="H178" s="136">
        <f t="shared" si="20"/>
        <v>0</v>
      </c>
      <c r="I178" s="136">
        <f t="shared" si="20"/>
        <v>320</v>
      </c>
      <c r="J178" s="136">
        <f t="shared" si="20"/>
        <v>1</v>
      </c>
      <c r="K178" s="136">
        <f t="shared" si="20"/>
        <v>1</v>
      </c>
      <c r="L178" s="136">
        <f t="shared" si="20"/>
        <v>2749940.1945288032</v>
      </c>
      <c r="M178" s="224"/>
      <c r="N178" s="224"/>
      <c r="O178" s="224"/>
      <c r="P178" s="224"/>
      <c r="Q178" s="224"/>
      <c r="R178" s="76">
        <f t="shared" si="19"/>
        <v>42608100.102272794</v>
      </c>
      <c r="S178" s="37"/>
      <c r="T178" s="135"/>
      <c r="AN178" s="136"/>
      <c r="AO178" s="133"/>
      <c r="AP178" s="136"/>
      <c r="AQ178" s="136"/>
      <c r="AR178" s="136"/>
      <c r="AS178" s="32"/>
    </row>
    <row r="179" spans="1:45" x14ac:dyDescent="0.25">
      <c r="A179" s="75">
        <v>44501</v>
      </c>
      <c r="E179" s="212">
        <f>'HDD CDD'!R23</f>
        <v>447.04992481202953</v>
      </c>
      <c r="F179" s="6">
        <f>'HDD CDD'!R47</f>
        <v>0</v>
      </c>
      <c r="G179" s="136">
        <f t="shared" si="20"/>
        <v>30</v>
      </c>
      <c r="H179" s="136">
        <f t="shared" si="20"/>
        <v>0</v>
      </c>
      <c r="I179" s="136">
        <f t="shared" si="20"/>
        <v>352</v>
      </c>
      <c r="J179" s="136">
        <f t="shared" si="20"/>
        <v>1</v>
      </c>
      <c r="K179" s="136">
        <f t="shared" si="20"/>
        <v>1</v>
      </c>
      <c r="L179" s="136">
        <f t="shared" si="20"/>
        <v>2752887.7260919879</v>
      </c>
      <c r="M179" s="224"/>
      <c r="N179" s="224"/>
      <c r="O179" s="224"/>
      <c r="P179" s="224"/>
      <c r="Q179" s="224"/>
      <c r="R179" s="76">
        <f t="shared" si="19"/>
        <v>44287435.601567738</v>
      </c>
      <c r="S179" s="37"/>
      <c r="T179" s="135"/>
      <c r="AN179" s="136"/>
      <c r="AO179" s="133"/>
      <c r="AP179" s="136"/>
      <c r="AQ179" s="136"/>
      <c r="AR179" s="136"/>
      <c r="AS179" s="32"/>
    </row>
    <row r="180" spans="1:45" x14ac:dyDescent="0.25">
      <c r="A180" s="75">
        <v>44531</v>
      </c>
      <c r="E180" s="212">
        <f>'HDD CDD'!S23</f>
        <v>574.00684210526288</v>
      </c>
      <c r="F180" s="6">
        <f>'HDD CDD'!S47</f>
        <v>0</v>
      </c>
      <c r="G180" s="136">
        <f t="shared" si="20"/>
        <v>31</v>
      </c>
      <c r="H180" s="136">
        <f t="shared" si="20"/>
        <v>0</v>
      </c>
      <c r="I180" s="136">
        <f t="shared" si="20"/>
        <v>352</v>
      </c>
      <c r="J180" s="136">
        <f t="shared" si="20"/>
        <v>0</v>
      </c>
      <c r="K180" s="136">
        <f t="shared" si="20"/>
        <v>1</v>
      </c>
      <c r="L180" s="136">
        <f t="shared" si="20"/>
        <v>2755835.2576551726</v>
      </c>
      <c r="M180" s="224"/>
      <c r="N180" s="224"/>
      <c r="O180" s="224"/>
      <c r="P180" s="224"/>
      <c r="Q180" s="224"/>
      <c r="R180" s="76">
        <f t="shared" si="19"/>
        <v>47211607.317537829</v>
      </c>
      <c r="S180" s="37">
        <f>SUM(R169:R180)</f>
        <v>545612792.79506004</v>
      </c>
      <c r="T180" s="135"/>
      <c r="AN180" s="136"/>
      <c r="AO180" s="133"/>
      <c r="AP180" s="136"/>
      <c r="AQ180" s="136"/>
      <c r="AR180" s="136"/>
      <c r="AS180" s="32"/>
    </row>
    <row r="181" spans="1:45" x14ac:dyDescent="0.25">
      <c r="T181" s="5"/>
    </row>
    <row r="182" spans="1:45" x14ac:dyDescent="0.25">
      <c r="T182" s="5"/>
    </row>
    <row r="183" spans="1:45" x14ac:dyDescent="0.25">
      <c r="T183" s="5"/>
    </row>
    <row r="184" spans="1:45" x14ac:dyDescent="0.25">
      <c r="T184" s="5"/>
    </row>
    <row r="185" spans="1:45" x14ac:dyDescent="0.25">
      <c r="T185" s="5"/>
    </row>
    <row r="186" spans="1:45" x14ac:dyDescent="0.25">
      <c r="T186" s="5"/>
    </row>
    <row r="187" spans="1:45" x14ac:dyDescent="0.25">
      <c r="T187" s="5"/>
    </row>
    <row r="188" spans="1:45" x14ac:dyDescent="0.25">
      <c r="T188" s="5"/>
    </row>
    <row r="189" spans="1:45" x14ac:dyDescent="0.25">
      <c r="T189" s="5"/>
    </row>
    <row r="190" spans="1:45" x14ac:dyDescent="0.25">
      <c r="T190" s="5"/>
    </row>
    <row r="191" spans="1:45" x14ac:dyDescent="0.25">
      <c r="T191" s="5"/>
    </row>
    <row r="192" spans="1:45" x14ac:dyDescent="0.25">
      <c r="T192" s="5"/>
    </row>
    <row r="193" spans="20:20" x14ac:dyDescent="0.25">
      <c r="T193" s="5"/>
    </row>
    <row r="194" spans="20:20" x14ac:dyDescent="0.25">
      <c r="T194" s="5"/>
    </row>
    <row r="195" spans="20:20" x14ac:dyDescent="0.25">
      <c r="T195" s="5"/>
    </row>
    <row r="196" spans="20:20" x14ac:dyDescent="0.25">
      <c r="T196" s="5"/>
    </row>
    <row r="197" spans="20:20" x14ac:dyDescent="0.25">
      <c r="T197" s="5"/>
    </row>
    <row r="198" spans="20:20" x14ac:dyDescent="0.25">
      <c r="T198" s="5"/>
    </row>
    <row r="199" spans="20:20" x14ac:dyDescent="0.25">
      <c r="T199" s="5"/>
    </row>
    <row r="200" spans="20:20" x14ac:dyDescent="0.25">
      <c r="T200" s="5"/>
    </row>
    <row r="201" spans="20:20" x14ac:dyDescent="0.25">
      <c r="T201" s="5"/>
    </row>
    <row r="202" spans="20:20" x14ac:dyDescent="0.25">
      <c r="T202" s="5"/>
    </row>
    <row r="203" spans="20:20" x14ac:dyDescent="0.25">
      <c r="T203" s="5"/>
    </row>
    <row r="204" spans="20:20" x14ac:dyDescent="0.25">
      <c r="T204" s="5"/>
    </row>
    <row r="205" spans="20:20" x14ac:dyDescent="0.25">
      <c r="T205" s="5"/>
    </row>
    <row r="206" spans="20:20" x14ac:dyDescent="0.25">
      <c r="T206" s="5"/>
    </row>
    <row r="207" spans="20:20" x14ac:dyDescent="0.25">
      <c r="T207" s="5"/>
    </row>
    <row r="208" spans="20:20" x14ac:dyDescent="0.25">
      <c r="T208" s="5"/>
    </row>
    <row r="209" spans="20:20" x14ac:dyDescent="0.25">
      <c r="T209" s="5"/>
    </row>
    <row r="210" spans="20:20" x14ac:dyDescent="0.25">
      <c r="T210" s="5"/>
    </row>
    <row r="211" spans="20:20" x14ac:dyDescent="0.25">
      <c r="T211" s="5"/>
    </row>
    <row r="212" spans="20:20" x14ac:dyDescent="0.25">
      <c r="T212" s="5"/>
    </row>
    <row r="213" spans="20:20" x14ac:dyDescent="0.25">
      <c r="T213" s="5"/>
    </row>
    <row r="214" spans="20:20" x14ac:dyDescent="0.25">
      <c r="T214" s="5"/>
    </row>
    <row r="215" spans="20:20" x14ac:dyDescent="0.25">
      <c r="T215" s="5"/>
    </row>
    <row r="216" spans="20:20" x14ac:dyDescent="0.25">
      <c r="T216" s="5"/>
    </row>
    <row r="217" spans="20:20" x14ac:dyDescent="0.25">
      <c r="T217" s="5"/>
    </row>
    <row r="218" spans="20:20" x14ac:dyDescent="0.25">
      <c r="T218" s="5"/>
    </row>
    <row r="219" spans="20:20" x14ac:dyDescent="0.25">
      <c r="T219" s="5"/>
    </row>
    <row r="220" spans="20:20" x14ac:dyDescent="0.25">
      <c r="T220" s="5"/>
    </row>
    <row r="221" spans="20:20" x14ac:dyDescent="0.25">
      <c r="T221" s="5"/>
    </row>
    <row r="222" spans="20:20" x14ac:dyDescent="0.25">
      <c r="T222" s="5"/>
    </row>
    <row r="223" spans="20:20" x14ac:dyDescent="0.25">
      <c r="T223" s="5"/>
    </row>
    <row r="224" spans="20:20" x14ac:dyDescent="0.25">
      <c r="T224" s="5"/>
    </row>
    <row r="225" spans="20:20" x14ac:dyDescent="0.25">
      <c r="T225" s="5"/>
    </row>
    <row r="226" spans="20:20" x14ac:dyDescent="0.25">
      <c r="T226" s="5" t="e">
        <f>#REF!/#REF!</f>
        <v>#REF!</v>
      </c>
    </row>
    <row r="227" spans="20:20" x14ac:dyDescent="0.25">
      <c r="T227" s="5" t="e">
        <f>#REF!/#REF!</f>
        <v>#REF!</v>
      </c>
    </row>
    <row r="228" spans="20:20" x14ac:dyDescent="0.25">
      <c r="T228" s="5" t="e">
        <f>#REF!/#REF!</f>
        <v>#REF!</v>
      </c>
    </row>
    <row r="229" spans="20:20" x14ac:dyDescent="0.25">
      <c r="T229" s="5" t="e">
        <f>#REF!/#REF!</f>
        <v>#REF!</v>
      </c>
    </row>
    <row r="230" spans="20:20" x14ac:dyDescent="0.25">
      <c r="T230" s="5" t="e">
        <f>#REF!/#REF!</f>
        <v>#REF!</v>
      </c>
    </row>
    <row r="231" spans="20:20" x14ac:dyDescent="0.25">
      <c r="T231" s="5" t="e">
        <f>#REF!/#REF!</f>
        <v>#REF!</v>
      </c>
    </row>
    <row r="232" spans="20:20" x14ac:dyDescent="0.25">
      <c r="T232" s="5" t="e">
        <f>#REF!/#REF!</f>
        <v>#REF!</v>
      </c>
    </row>
    <row r="233" spans="20:20" x14ac:dyDescent="0.25">
      <c r="T233" s="5">
        <f>S149/B149</f>
        <v>-2.604577480632515E-3</v>
      </c>
    </row>
    <row r="234" spans="20:20" x14ac:dyDescent="0.25">
      <c r="T234" s="5">
        <f>S150/B150</f>
        <v>-1.4363779089218937E-3</v>
      </c>
    </row>
    <row r="235" spans="20:20" x14ac:dyDescent="0.25">
      <c r="T235" s="5">
        <f>S151/B151</f>
        <v>9.9498758125697445E-3</v>
      </c>
    </row>
    <row r="236" spans="20:20" x14ac:dyDescent="0.25">
      <c r="T236" s="5">
        <f>S152/B152</f>
        <v>-8.9414763198037515E-3</v>
      </c>
    </row>
    <row r="237" spans="20:20" x14ac:dyDescent="0.25">
      <c r="T237" s="5">
        <f>S153/B153</f>
        <v>-1.8432076598570973E-2</v>
      </c>
    </row>
    <row r="241" spans="20:20" x14ac:dyDescent="0.25">
      <c r="T241" s="24"/>
    </row>
    <row r="242" spans="20:20" x14ac:dyDescent="0.25">
      <c r="T242" s="24"/>
    </row>
    <row r="243" spans="20:20" x14ac:dyDescent="0.25">
      <c r="T243" s="24"/>
    </row>
    <row r="244" spans="20:20" x14ac:dyDescent="0.25">
      <c r="T244" s="24"/>
    </row>
    <row r="245" spans="20:20" x14ac:dyDescent="0.25">
      <c r="T245" s="24"/>
    </row>
    <row r="246" spans="20:20" x14ac:dyDescent="0.25">
      <c r="T246" s="24"/>
    </row>
    <row r="247" spans="20:20" x14ac:dyDescent="0.25">
      <c r="T247" s="24"/>
    </row>
    <row r="248" spans="20:20" x14ac:dyDescent="0.25">
      <c r="T248" s="24"/>
    </row>
    <row r="249" spans="20:20" x14ac:dyDescent="0.25">
      <c r="T249" s="24"/>
    </row>
    <row r="250" spans="20:20" x14ac:dyDescent="0.25">
      <c r="T250" s="24"/>
    </row>
  </sheetData>
  <pageMargins left="0.39370078740157483" right="0.74803149606299213" top="0.74803149606299213" bottom="0.74803149606299213" header="0.51181102362204722" footer="0.51181102362204722"/>
  <pageSetup scale="66" fitToWidth="3" fitToHeight="4" orientation="landscape" r:id="rId1"/>
  <headerFooter alignWithMargins="0"/>
  <rowBreaks count="1" manualBreakCount="1">
    <brk id="167" max="28" man="1"/>
  </rowBreaks>
  <colBreaks count="1" manualBreakCount="1">
    <brk id="20" max="17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2:S56"/>
  <sheetViews>
    <sheetView zoomScaleNormal="100" zoomScaleSheetLayoutView="100" workbookViewId="0">
      <pane xSplit="1" ySplit="2" topLeftCell="B21" activePane="bottomRight" state="frozen"/>
      <selection activeCell="R79" sqref="R79"/>
      <selection pane="topRight" activeCell="R79" sqref="R79"/>
      <selection pane="bottomLeft" activeCell="R79" sqref="R79"/>
      <selection pane="bottomRight" activeCell="G30" sqref="G30:G31"/>
    </sheetView>
  </sheetViews>
  <sheetFormatPr defaultColWidth="9.33203125" defaultRowHeight="13.2" x14ac:dyDescent="0.25"/>
  <cols>
    <col min="1" max="1" width="11" customWidth="1"/>
    <col min="2" max="5" width="18" style="1" customWidth="1"/>
    <col min="6" max="6" width="15.6640625" style="1" customWidth="1"/>
    <col min="7" max="7" width="17.33203125" style="6" customWidth="1"/>
    <col min="8" max="8" width="15" style="6" customWidth="1"/>
    <col min="9" max="9" width="16.6640625" style="6" customWidth="1"/>
    <col min="10" max="10" width="17" style="6" customWidth="1"/>
    <col min="11" max="11" width="21.5546875" style="6" customWidth="1"/>
    <col min="12" max="12" width="17.6640625" style="6" customWidth="1"/>
    <col min="13" max="13" width="14.6640625" style="6" customWidth="1"/>
    <col min="14" max="14" width="12.5546875" style="6" customWidth="1"/>
    <col min="15" max="16" width="12.33203125" style="6" bestFit="1" customWidth="1"/>
    <col min="17" max="17" width="11.5546875" style="6" bestFit="1" customWidth="1"/>
    <col min="18" max="18" width="10.88671875" style="6" bestFit="1" customWidth="1"/>
    <col min="19" max="19" width="11.33203125" style="6" bestFit="1" customWidth="1"/>
  </cols>
  <sheetData>
    <row r="2" spans="1:14" ht="42" customHeight="1" x14ac:dyDescent="0.25">
      <c r="B2" s="2" t="s">
        <v>8</v>
      </c>
      <c r="C2" s="2" t="s">
        <v>9</v>
      </c>
      <c r="D2" s="2" t="s">
        <v>50</v>
      </c>
      <c r="E2" s="2" t="s">
        <v>10</v>
      </c>
      <c r="F2" s="2" t="s">
        <v>1</v>
      </c>
      <c r="G2" s="7" t="s">
        <v>2</v>
      </c>
      <c r="H2" s="6" t="s">
        <v>67</v>
      </c>
      <c r="I2" s="6" t="s">
        <v>68</v>
      </c>
      <c r="J2" s="6" t="s">
        <v>80</v>
      </c>
      <c r="K2" s="6" t="s">
        <v>81</v>
      </c>
      <c r="L2" s="6" t="s">
        <v>76</v>
      </c>
      <c r="M2" s="6" t="s">
        <v>71</v>
      </c>
      <c r="N2" s="6" t="s">
        <v>69</v>
      </c>
    </row>
    <row r="3" spans="1:14" x14ac:dyDescent="0.25">
      <c r="A3">
        <f>'Purchased Power Model'!A149</f>
        <v>2010</v>
      </c>
      <c r="B3" s="6">
        <f>'Purchased Power Model'!D149</f>
        <v>532007113.72215426</v>
      </c>
      <c r="C3" s="6">
        <f>'Purchased Power Model'!R149</f>
        <v>530651325.45774496</v>
      </c>
      <c r="D3" s="37">
        <f t="shared" ref="D3:D12" si="0">C3-B3</f>
        <v>-1355788.2644093037</v>
      </c>
      <c r="E3" s="5">
        <f t="shared" ref="E3:E12" si="1">D3/B3</f>
        <v>-2.548440104350516E-3</v>
      </c>
      <c r="F3" s="47">
        <f t="shared" ref="F3:F12" si="2">1+(B3-G3)/G3</f>
        <v>1.0818399099896141</v>
      </c>
      <c r="G3" s="123">
        <f t="shared" ref="G3:G12" si="3">SUM(H3:N3)</f>
        <v>491761404.63080317</v>
      </c>
      <c r="H3" s="28">
        <v>215023348.72000325</v>
      </c>
      <c r="I3" s="28">
        <v>54778252.31000001</v>
      </c>
      <c r="J3" s="28">
        <v>115517109.04079999</v>
      </c>
      <c r="K3" s="28">
        <v>102247109.22999999</v>
      </c>
      <c r="L3" s="28">
        <v>571306.28</v>
      </c>
      <c r="M3" s="28">
        <v>2708302.56</v>
      </c>
      <c r="N3" s="28">
        <v>915976.48999999941</v>
      </c>
    </row>
    <row r="4" spans="1:14" x14ac:dyDescent="0.25">
      <c r="A4">
        <f>'Purchased Power Model'!A150</f>
        <v>2011</v>
      </c>
      <c r="B4" s="6">
        <f>'Purchased Power Model'!D150</f>
        <v>532339377.02627134</v>
      </c>
      <c r="C4" s="6">
        <f>'Purchased Power Model'!R150</f>
        <v>531593551.53104627</v>
      </c>
      <c r="D4" s="37">
        <f t="shared" si="0"/>
        <v>-745825.49522507191</v>
      </c>
      <c r="E4" s="5">
        <f t="shared" si="1"/>
        <v>-1.4010338656354269E-3</v>
      </c>
      <c r="F4" s="47">
        <f t="shared" si="2"/>
        <v>1.0878014266793177</v>
      </c>
      <c r="G4" s="123">
        <f t="shared" si="3"/>
        <v>489371832</v>
      </c>
      <c r="H4" s="28">
        <v>208222717</v>
      </c>
      <c r="I4" s="28">
        <v>56992328</v>
      </c>
      <c r="J4" s="28">
        <v>114834153</v>
      </c>
      <c r="K4" s="28">
        <v>105252631</v>
      </c>
      <c r="L4" s="28">
        <v>435096</v>
      </c>
      <c r="M4" s="28">
        <v>2743202</v>
      </c>
      <c r="N4" s="28">
        <v>891705</v>
      </c>
    </row>
    <row r="5" spans="1:14" x14ac:dyDescent="0.25">
      <c r="A5">
        <f>'Purchased Power Model'!A151</f>
        <v>2012</v>
      </c>
      <c r="B5" s="6">
        <f>'Purchased Power Model'!D151</f>
        <v>526949773.70057029</v>
      </c>
      <c r="C5" s="6">
        <f>'Purchased Power Model'!R151</f>
        <v>532044816.96135008</v>
      </c>
      <c r="D5" s="37">
        <f t="shared" si="0"/>
        <v>5095043.260779798</v>
      </c>
      <c r="E5" s="5">
        <f t="shared" si="1"/>
        <v>9.6689352858038511E-3</v>
      </c>
      <c r="F5" s="47">
        <f t="shared" si="2"/>
        <v>1.0786341088483971</v>
      </c>
      <c r="G5" s="123">
        <f t="shared" si="3"/>
        <v>488534313.33000195</v>
      </c>
      <c r="H5" s="28">
        <v>213770411.52000195</v>
      </c>
      <c r="I5" s="28">
        <v>56941927.850000031</v>
      </c>
      <c r="J5" s="28">
        <v>112013765.17000002</v>
      </c>
      <c r="K5" s="28">
        <v>101713649.52</v>
      </c>
      <c r="L5" s="28">
        <v>439445.95</v>
      </c>
      <c r="M5" s="28">
        <v>2762363.48</v>
      </c>
      <c r="N5" s="28">
        <v>892749.83999999973</v>
      </c>
    </row>
    <row r="6" spans="1:14" x14ac:dyDescent="0.25">
      <c r="A6">
        <f>'Purchased Power Model'!A152</f>
        <v>2013</v>
      </c>
      <c r="B6" s="6">
        <f>'Purchased Power Model'!D152</f>
        <v>535649500.58989865</v>
      </c>
      <c r="C6" s="6">
        <f>'Purchased Power Model'!R152</f>
        <v>531013184.46955585</v>
      </c>
      <c r="D6" s="37">
        <f t="shared" si="0"/>
        <v>-4636316.1203427911</v>
      </c>
      <c r="E6" s="5">
        <f t="shared" si="1"/>
        <v>-8.6555034873306534E-3</v>
      </c>
      <c r="F6" s="47">
        <f t="shared" si="2"/>
        <v>1.0809835828900838</v>
      </c>
      <c r="G6" s="123">
        <f t="shared" si="3"/>
        <v>495520476.96950489</v>
      </c>
      <c r="H6" s="28">
        <v>207797230.02000487</v>
      </c>
      <c r="I6" s="28">
        <v>56899094.840000011</v>
      </c>
      <c r="J6" s="28">
        <v>115098501.22</v>
      </c>
      <c r="K6" s="28">
        <v>111612294.22000001</v>
      </c>
      <c r="L6" s="28">
        <v>443840.40950000001</v>
      </c>
      <c r="M6" s="28">
        <v>2769251.2600000002</v>
      </c>
      <c r="N6" s="28">
        <v>900265</v>
      </c>
    </row>
    <row r="7" spans="1:14" x14ac:dyDescent="0.25">
      <c r="A7">
        <f>'Purchased Power Model'!A153</f>
        <v>2014</v>
      </c>
      <c r="B7" s="6">
        <f>'Purchased Power Model'!D153</f>
        <v>548881376.27432632</v>
      </c>
      <c r="C7" s="6">
        <f>'Purchased Power Model'!R153</f>
        <v>539121596.94489396</v>
      </c>
      <c r="D7" s="37">
        <f t="shared" si="0"/>
        <v>-9759779.3294323683</v>
      </c>
      <c r="E7" s="5">
        <f t="shared" si="1"/>
        <v>-1.7781217857452885E-2</v>
      </c>
      <c r="F7" s="47">
        <f t="shared" si="2"/>
        <v>1.0937872083417561</v>
      </c>
      <c r="G7" s="123">
        <f t="shared" si="3"/>
        <v>501817329.813595</v>
      </c>
      <c r="H7" s="28">
        <v>203392794</v>
      </c>
      <c r="I7" s="28">
        <v>51541092</v>
      </c>
      <c r="J7" s="28">
        <v>126051551</v>
      </c>
      <c r="K7" s="28">
        <v>116678000</v>
      </c>
      <c r="L7" s="28">
        <v>448278.81359500001</v>
      </c>
      <c r="M7" s="28">
        <v>2782603</v>
      </c>
      <c r="N7" s="28">
        <v>923011</v>
      </c>
    </row>
    <row r="8" spans="1:14" x14ac:dyDescent="0.25">
      <c r="A8">
        <f>'Purchased Power Model'!A154</f>
        <v>2015</v>
      </c>
      <c r="B8" s="6">
        <f>'Purchased Power Model'!D154</f>
        <v>546524959.87960744</v>
      </c>
      <c r="C8" s="6">
        <f>'Purchased Power Model'!R154</f>
        <v>541797117.03281069</v>
      </c>
      <c r="D8" s="37">
        <f t="shared" si="0"/>
        <v>-4727842.846796751</v>
      </c>
      <c r="E8" s="5">
        <f t="shared" si="1"/>
        <v>-8.6507354537626886E-3</v>
      </c>
      <c r="F8" s="47">
        <f t="shared" si="2"/>
        <v>1.0711297926858339</v>
      </c>
      <c r="G8" s="123">
        <f t="shared" si="3"/>
        <v>510232246</v>
      </c>
      <c r="H8" s="28">
        <v>203353342</v>
      </c>
      <c r="I8" s="28">
        <v>50702250</v>
      </c>
      <c r="J8" s="28">
        <v>140066367</v>
      </c>
      <c r="K8" s="28">
        <v>112112962</v>
      </c>
      <c r="L8" s="28">
        <v>326944</v>
      </c>
      <c r="M8" s="28">
        <v>2765164</v>
      </c>
      <c r="N8" s="28">
        <v>905217</v>
      </c>
    </row>
    <row r="9" spans="1:14" x14ac:dyDescent="0.25">
      <c r="A9">
        <f>'Purchased Power Model'!A155</f>
        <v>2016</v>
      </c>
      <c r="B9" s="6">
        <f>'Purchased Power Model'!D155</f>
        <v>548902224.51638186</v>
      </c>
      <c r="C9" s="6">
        <f>'Purchased Power Model'!R155</f>
        <v>555022856.64684153</v>
      </c>
      <c r="D9" s="37">
        <f t="shared" si="0"/>
        <v>6120632.1304596663</v>
      </c>
      <c r="E9" s="5">
        <f t="shared" si="1"/>
        <v>1.1150678312248299E-2</v>
      </c>
      <c r="F9" s="47">
        <f t="shared" si="2"/>
        <v>1.0907164434947434</v>
      </c>
      <c r="G9" s="123">
        <f t="shared" si="3"/>
        <v>503249243</v>
      </c>
      <c r="H9" s="28">
        <v>204439774</v>
      </c>
      <c r="I9" s="28">
        <v>51296823</v>
      </c>
      <c r="J9" s="28">
        <v>137289389</v>
      </c>
      <c r="K9" s="28">
        <v>107193041</v>
      </c>
      <c r="L9" s="28">
        <v>273180</v>
      </c>
      <c r="M9" s="28">
        <v>1832979</v>
      </c>
      <c r="N9" s="28">
        <v>924057</v>
      </c>
    </row>
    <row r="10" spans="1:14" x14ac:dyDescent="0.25">
      <c r="A10">
        <f>'Purchased Power Model'!A156</f>
        <v>2017</v>
      </c>
      <c r="B10" s="6">
        <f>'Purchased Power Model'!D156</f>
        <v>527496122.37603909</v>
      </c>
      <c r="C10" s="6">
        <f>'Purchased Power Model'!R156</f>
        <v>538678900.85793579</v>
      </c>
      <c r="D10" s="37">
        <f t="shared" si="0"/>
        <v>11182778.481896698</v>
      </c>
      <c r="E10" s="5">
        <f t="shared" si="1"/>
        <v>2.1199735898579306E-2</v>
      </c>
      <c r="F10" s="47">
        <f t="shared" si="2"/>
        <v>1.0961449619416797</v>
      </c>
      <c r="G10" s="123">
        <f t="shared" si="3"/>
        <v>481228433</v>
      </c>
      <c r="H10" s="28">
        <v>193694443</v>
      </c>
      <c r="I10" s="28">
        <v>50527239</v>
      </c>
      <c r="J10" s="28">
        <v>135373696</v>
      </c>
      <c r="K10" s="28">
        <v>99309703</v>
      </c>
      <c r="L10" s="28">
        <v>260238</v>
      </c>
      <c r="M10" s="28">
        <v>1128400</v>
      </c>
      <c r="N10" s="28">
        <v>934714</v>
      </c>
    </row>
    <row r="11" spans="1:14" x14ac:dyDescent="0.25">
      <c r="A11">
        <f>'Purchased Power Model'!A157</f>
        <v>2018</v>
      </c>
      <c r="B11" s="6">
        <f>'Purchased Power Model'!D157</f>
        <v>550762184.57449126</v>
      </c>
      <c r="C11" s="6">
        <f>'Purchased Power Model'!R157</f>
        <v>553128897.63353944</v>
      </c>
      <c r="D11" s="37">
        <f t="shared" si="0"/>
        <v>2366713.0590481758</v>
      </c>
      <c r="E11" s="5">
        <f t="shared" si="1"/>
        <v>4.2971596913042509E-3</v>
      </c>
      <c r="F11" s="47">
        <f t="shared" si="2"/>
        <v>1.1027528093124892</v>
      </c>
      <c r="G11" s="123">
        <f t="shared" si="3"/>
        <v>499443012</v>
      </c>
      <c r="H11" s="28">
        <v>208411376</v>
      </c>
      <c r="I11" s="28">
        <v>51979121</v>
      </c>
      <c r="J11" s="28">
        <v>144914027</v>
      </c>
      <c r="K11" s="28">
        <v>91829369</v>
      </c>
      <c r="L11" s="28">
        <v>261914</v>
      </c>
      <c r="M11" s="28">
        <v>1093732</v>
      </c>
      <c r="N11" s="28">
        <v>953473</v>
      </c>
    </row>
    <row r="12" spans="1:14" x14ac:dyDescent="0.25">
      <c r="A12">
        <f>'Purchased Power Model'!A158</f>
        <v>2019</v>
      </c>
      <c r="B12" s="6">
        <f>'Purchased Power Model'!D158</f>
        <v>545918199.9910953</v>
      </c>
      <c r="C12" s="6">
        <f>'Purchased Power Model'!R158</f>
        <v>542378585.11511779</v>
      </c>
      <c r="D12" s="37">
        <f t="shared" si="0"/>
        <v>-3539614.8759775162</v>
      </c>
      <c r="E12" s="5">
        <f t="shared" si="1"/>
        <v>-6.4837825081399602E-3</v>
      </c>
      <c r="F12" s="47">
        <f t="shared" si="2"/>
        <v>1.1051858051307055</v>
      </c>
      <c r="G12" s="123">
        <f t="shared" si="3"/>
        <v>493960560.70999932</v>
      </c>
      <c r="H12" s="28">
        <v>202110917.7699993</v>
      </c>
      <c r="I12" s="28">
        <v>50654667.66999992</v>
      </c>
      <c r="J12" s="28">
        <v>150365344.72</v>
      </c>
      <c r="K12" s="28">
        <v>88636118.290000007</v>
      </c>
      <c r="L12" s="28">
        <v>251878.97000000003</v>
      </c>
      <c r="M12" s="28">
        <v>979603.88</v>
      </c>
      <c r="N12" s="28">
        <v>962029.40999999968</v>
      </c>
    </row>
    <row r="13" spans="1:14" x14ac:dyDescent="0.25">
      <c r="A13">
        <f>'Purchased Power Model'!A159</f>
        <v>2020</v>
      </c>
      <c r="B13" s="6"/>
      <c r="C13" s="6">
        <f>'Purchased Power Model'!R159</f>
        <v>546195217.13729048</v>
      </c>
      <c r="D13" s="37"/>
      <c r="E13" s="5"/>
      <c r="F13" s="47"/>
      <c r="G13" s="123">
        <f>C13/$F$16</f>
        <v>501603837.37061244</v>
      </c>
      <c r="H13" s="28"/>
      <c r="I13" s="28"/>
      <c r="J13" s="28"/>
      <c r="K13" s="28"/>
      <c r="L13" s="28"/>
      <c r="M13" s="28"/>
      <c r="N13" s="28"/>
    </row>
    <row r="14" spans="1:14" x14ac:dyDescent="0.25">
      <c r="A14">
        <f>'Purchased Power Model'!A160</f>
        <v>2021</v>
      </c>
      <c r="B14" s="6"/>
      <c r="C14" s="6">
        <f>'Purchased Power Model'!R160</f>
        <v>544931027.8379153</v>
      </c>
      <c r="D14" s="37"/>
      <c r="E14" s="5"/>
      <c r="F14" s="47"/>
      <c r="G14" s="123">
        <f>C14/$F$16</f>
        <v>500442856.49082184</v>
      </c>
      <c r="H14" s="28"/>
      <c r="I14" s="28"/>
      <c r="J14" s="28"/>
      <c r="K14" s="28"/>
      <c r="L14" s="28"/>
      <c r="M14" s="28"/>
      <c r="N14" s="28"/>
    </row>
    <row r="15" spans="1:14" x14ac:dyDescent="0.25">
      <c r="B15" s="6"/>
      <c r="C15" s="6"/>
      <c r="D15" s="37"/>
      <c r="E15" s="5"/>
      <c r="F15" s="47"/>
      <c r="G15" s="123"/>
      <c r="H15" s="28"/>
      <c r="I15" s="28"/>
      <c r="J15" s="28"/>
      <c r="K15" s="28"/>
      <c r="L15" s="28"/>
      <c r="M15" s="28"/>
      <c r="N15" s="28"/>
    </row>
    <row r="16" spans="1:14" x14ac:dyDescent="0.25">
      <c r="B16" s="6"/>
      <c r="C16" s="6"/>
      <c r="F16" s="25">
        <f>AVERAGE(F3:F12)</f>
        <v>1.088897604931462</v>
      </c>
      <c r="G16" s="28"/>
      <c r="H16" s="28"/>
      <c r="I16" s="28"/>
      <c r="J16" s="28"/>
      <c r="K16" s="28"/>
      <c r="L16" s="28"/>
      <c r="M16" s="28"/>
      <c r="N16" s="28"/>
    </row>
    <row r="17" spans="1:18" x14ac:dyDescent="0.25">
      <c r="B17" s="6"/>
      <c r="C17" s="6"/>
      <c r="F17" s="25"/>
      <c r="G17" s="28"/>
      <c r="H17" s="28"/>
      <c r="I17" s="28"/>
      <c r="J17" s="28"/>
      <c r="K17" s="28"/>
      <c r="L17" s="28"/>
      <c r="M17" s="28"/>
      <c r="N17" s="28"/>
    </row>
    <row r="19" spans="1:18" x14ac:dyDescent="0.25">
      <c r="G19" s="1"/>
      <c r="H19" s="1"/>
      <c r="I19" s="1"/>
      <c r="J19" s="1"/>
      <c r="K19" s="1"/>
      <c r="L19" s="1"/>
      <c r="M19" s="1"/>
      <c r="N19" s="1"/>
    </row>
    <row r="20" spans="1:18" x14ac:dyDescent="0.25">
      <c r="F20" s="25"/>
      <c r="G20" s="1"/>
      <c r="H20" s="1"/>
      <c r="I20" s="1"/>
      <c r="J20" s="1"/>
      <c r="K20" s="1"/>
      <c r="L20" s="1"/>
      <c r="M20" s="1"/>
      <c r="N20" s="1"/>
    </row>
    <row r="21" spans="1:18" x14ac:dyDescent="0.25">
      <c r="A21" s="23" t="s">
        <v>18</v>
      </c>
      <c r="B21" s="13"/>
    </row>
    <row r="22" spans="1:18" x14ac:dyDescent="0.25">
      <c r="A22">
        <f>A12</f>
        <v>2019</v>
      </c>
      <c r="B22" s="219"/>
      <c r="C22" s="219"/>
      <c r="D22" s="219"/>
      <c r="E22" s="219"/>
      <c r="F22" s="219"/>
      <c r="H22" s="28">
        <f>H12/'Rate Class Customer Model'!B12</f>
        <v>9870.6250131861343</v>
      </c>
      <c r="I22" s="28">
        <f>I12/'Rate Class Customer Model'!C12</f>
        <v>27771.199380482412</v>
      </c>
      <c r="J22" s="28">
        <f>J12/'Rate Class Customer Model'!D12</f>
        <v>692927.85585253453</v>
      </c>
      <c r="K22" s="28">
        <f>K12/'Rate Class Customer Model'!E12</f>
        <v>8057828.9354545465</v>
      </c>
      <c r="L22" s="28">
        <f>L12/'Rate Class Customer Model'!F12</f>
        <v>1439.3084000000001</v>
      </c>
      <c r="M22" s="28">
        <f>M12/'Rate Class Customer Model'!G12</f>
        <v>202.69064349265466</v>
      </c>
      <c r="N22" s="28">
        <f>N12/'Rate Class Customer Model'!H12</f>
        <v>5256.9913114754081</v>
      </c>
    </row>
    <row r="23" spans="1:18" x14ac:dyDescent="0.25">
      <c r="B23" s="219"/>
      <c r="C23" s="219"/>
      <c r="D23" s="219"/>
      <c r="E23" s="219"/>
      <c r="F23" s="219"/>
      <c r="H23" s="28"/>
    </row>
    <row r="24" spans="1:18" x14ac:dyDescent="0.25">
      <c r="D24" s="6"/>
      <c r="H24" s="26"/>
      <c r="I24" s="26"/>
      <c r="J24" s="26"/>
      <c r="K24" s="26"/>
      <c r="L24" s="26"/>
      <c r="M24" s="26"/>
      <c r="N24" s="26"/>
    </row>
    <row r="25" spans="1:18" x14ac:dyDescent="0.25">
      <c r="A25" s="21" t="s">
        <v>53</v>
      </c>
    </row>
    <row r="26" spans="1:18" x14ac:dyDescent="0.25">
      <c r="A26">
        <v>2020</v>
      </c>
      <c r="G26" s="123">
        <f>SUM(H26:N26)</f>
        <v>496530651.18456727</v>
      </c>
      <c r="H26" s="37">
        <f>H22*'Rate Class Customer Model'!B13</f>
        <v>203957741.52928889</v>
      </c>
      <c r="I26" s="37">
        <f>I22*'Rate Class Customer Model'!C13</f>
        <v>51377934.385278322</v>
      </c>
      <c r="J26" s="37">
        <f>J22*'Rate Class Customer Model'!D13</f>
        <v>150365344.72</v>
      </c>
      <c r="K26" s="37">
        <f>K22*'Rate Class Customer Model'!E13</f>
        <v>88636118.290000007</v>
      </c>
      <c r="L26" s="37">
        <f>L22*'Rate Class Customer Model'!F13</f>
        <v>251878.97000000003</v>
      </c>
      <c r="M26" s="37">
        <f>M22*'Rate Class Customer Model'!G13</f>
        <v>979603.88</v>
      </c>
      <c r="N26" s="37">
        <f>N22*'Rate Class Customer Model'!H13</f>
        <v>962029.40999999968</v>
      </c>
    </row>
    <row r="27" spans="1:18" x14ac:dyDescent="0.25">
      <c r="A27">
        <v>2021</v>
      </c>
      <c r="G27" s="123">
        <f>SUM(H27:N27)</f>
        <v>499127944.41205919</v>
      </c>
      <c r="H27" s="37">
        <f>H22*'Rate Class Customer Model'!B14</f>
        <v>205821440.96276525</v>
      </c>
      <c r="I27" s="37">
        <f>I22*'Rate Class Customer Model'!C14</f>
        <v>52111528.179293826</v>
      </c>
      <c r="J27" s="37">
        <f>J22*'Rate Class Customer Model'!D14</f>
        <v>150365344.72</v>
      </c>
      <c r="K27" s="37">
        <f>K22*'Rate Class Customer Model'!E14</f>
        <v>88636118.290000007</v>
      </c>
      <c r="L27" s="37">
        <f>L22*'Rate Class Customer Model'!F14</f>
        <v>251878.97000000003</v>
      </c>
      <c r="M27" s="37">
        <f>M22*'Rate Class Customer Model'!G14</f>
        <v>979603.88</v>
      </c>
      <c r="N27" s="37">
        <f>N22*'Rate Class Customer Model'!H14</f>
        <v>962029.40999999968</v>
      </c>
    </row>
    <row r="28" spans="1:18" x14ac:dyDescent="0.25">
      <c r="G28" s="37"/>
      <c r="H28" s="37"/>
      <c r="I28" s="37"/>
      <c r="J28" s="37"/>
      <c r="K28" s="37"/>
      <c r="L28" s="37"/>
      <c r="M28" s="37"/>
      <c r="N28" s="37"/>
    </row>
    <row r="29" spans="1:18" x14ac:dyDescent="0.25">
      <c r="A29" s="21" t="s">
        <v>52</v>
      </c>
      <c r="G29" s="143"/>
      <c r="H29" s="37"/>
      <c r="I29" s="37"/>
      <c r="J29" s="37"/>
      <c r="K29" s="37"/>
      <c r="L29" s="37"/>
      <c r="M29" s="37"/>
      <c r="N29" s="37"/>
    </row>
    <row r="30" spans="1:18" x14ac:dyDescent="0.25">
      <c r="A30">
        <v>2020</v>
      </c>
      <c r="G30" s="123">
        <f>G13</f>
        <v>501603837.37061244</v>
      </c>
      <c r="H30" s="37">
        <f t="shared" ref="H30:N31" si="4">H26+H38+H46+H50</f>
        <v>214719451.29549128</v>
      </c>
      <c r="I30" s="37">
        <f t="shared" si="4"/>
        <v>49614698.961205542</v>
      </c>
      <c r="J30" s="37">
        <f t="shared" si="4"/>
        <v>142156886.81910318</v>
      </c>
      <c r="K30" s="37">
        <f t="shared" si="4"/>
        <v>72933151.710916847</v>
      </c>
      <c r="L30" s="37">
        <f t="shared" si="4"/>
        <v>251878.97000000003</v>
      </c>
      <c r="M30" s="37">
        <f t="shared" si="4"/>
        <v>979603.88</v>
      </c>
      <c r="N30" s="37">
        <f t="shared" si="4"/>
        <v>962029.40999999968</v>
      </c>
      <c r="O30" s="37">
        <f>SUM(H30:N30)</f>
        <v>481617701.04671687</v>
      </c>
      <c r="P30" s="37">
        <f>O30-G30</f>
        <v>-19986136.323895574</v>
      </c>
      <c r="Q30" s="37">
        <f>O46</f>
        <v>-11395978.853895536</v>
      </c>
      <c r="R30" s="37">
        <f>P30-Q30</f>
        <v>-8590157.4700000379</v>
      </c>
    </row>
    <row r="31" spans="1:18" x14ac:dyDescent="0.25">
      <c r="A31">
        <v>2021</v>
      </c>
      <c r="G31" s="123">
        <f>G14</f>
        <v>500442856.49082184</v>
      </c>
      <c r="H31" s="37">
        <f t="shared" si="4"/>
        <v>216810964.92262158</v>
      </c>
      <c r="I31" s="37">
        <f t="shared" si="4"/>
        <v>49161676.162328787</v>
      </c>
      <c r="J31" s="37">
        <f t="shared" si="4"/>
        <v>138233750.69821975</v>
      </c>
      <c r="K31" s="37">
        <f t="shared" si="4"/>
        <v>71107043.664132237</v>
      </c>
      <c r="L31" s="37">
        <f t="shared" si="4"/>
        <v>251878.97000000003</v>
      </c>
      <c r="M31" s="37">
        <f t="shared" si="4"/>
        <v>979603.88</v>
      </c>
      <c r="N31" s="37">
        <f t="shared" si="4"/>
        <v>962029.40999999968</v>
      </c>
      <c r="O31" s="37">
        <f>SUM(H31:N31)</f>
        <v>477506947.70730239</v>
      </c>
      <c r="P31" s="37">
        <f>O31-G31</f>
        <v>-22935908.783519447</v>
      </c>
      <c r="Q31" s="37">
        <f>O47</f>
        <v>-14345751.313519366</v>
      </c>
      <c r="R31" s="37">
        <f>P31-Q31</f>
        <v>-8590157.4700000808</v>
      </c>
    </row>
    <row r="32" spans="1:18" x14ac:dyDescent="0.25">
      <c r="G32" s="143"/>
      <c r="H32" s="37"/>
      <c r="I32" s="37"/>
      <c r="J32" s="37"/>
      <c r="K32" s="37"/>
      <c r="L32" s="37"/>
      <c r="M32" s="37"/>
      <c r="N32" s="37"/>
    </row>
    <row r="33" spans="1:19" x14ac:dyDescent="0.25">
      <c r="A33" t="s">
        <v>54</v>
      </c>
      <c r="G33" s="143"/>
      <c r="H33" s="67">
        <f>(100%+J33)/2</f>
        <v>0.8</v>
      </c>
      <c r="I33" s="67">
        <f>H33</f>
        <v>0.8</v>
      </c>
      <c r="J33" s="67">
        <v>0.6</v>
      </c>
      <c r="K33" s="67">
        <v>0.15140000000000001</v>
      </c>
      <c r="L33" s="67">
        <v>0</v>
      </c>
      <c r="M33" s="67">
        <v>0</v>
      </c>
      <c r="N33" s="67">
        <v>0</v>
      </c>
    </row>
    <row r="34" spans="1:19" x14ac:dyDescent="0.25">
      <c r="A34">
        <v>2020</v>
      </c>
      <c r="G34" s="141"/>
      <c r="H34" s="37">
        <f>H26*H33</f>
        <v>163166193.22343111</v>
      </c>
      <c r="I34" s="37">
        <f t="shared" ref="I34:N34" si="5">I26*I33</f>
        <v>41102347.508222662</v>
      </c>
      <c r="J34" s="37">
        <f t="shared" si="5"/>
        <v>90219206.832000002</v>
      </c>
      <c r="K34" s="37">
        <f t="shared" si="5"/>
        <v>13419508.309106002</v>
      </c>
      <c r="L34" s="37">
        <f t="shared" si="5"/>
        <v>0</v>
      </c>
      <c r="M34" s="37">
        <f t="shared" si="5"/>
        <v>0</v>
      </c>
      <c r="N34" s="37">
        <f t="shared" si="5"/>
        <v>0</v>
      </c>
      <c r="O34" s="37">
        <f>SUM(H34:N34)</f>
        <v>307907255.87275976</v>
      </c>
    </row>
    <row r="35" spans="1:19" x14ac:dyDescent="0.25">
      <c r="A35">
        <v>2021</v>
      </c>
      <c r="G35" s="141"/>
      <c r="H35" s="37">
        <f>H27*H33</f>
        <v>164657152.7702122</v>
      </c>
      <c r="I35" s="37">
        <f t="shared" ref="I35:N35" si="6">I27*I33</f>
        <v>41689222.543435067</v>
      </c>
      <c r="J35" s="37">
        <f t="shared" si="6"/>
        <v>90219206.832000002</v>
      </c>
      <c r="K35" s="37">
        <f t="shared" si="6"/>
        <v>13419508.309106002</v>
      </c>
      <c r="L35" s="37">
        <f t="shared" si="6"/>
        <v>0</v>
      </c>
      <c r="M35" s="37">
        <f t="shared" si="6"/>
        <v>0</v>
      </c>
      <c r="N35" s="37">
        <f t="shared" si="6"/>
        <v>0</v>
      </c>
      <c r="O35" s="37">
        <f>SUM(H35:N35)</f>
        <v>309985090.45475328</v>
      </c>
    </row>
    <row r="36" spans="1:19" ht="12" customHeight="1" x14ac:dyDescent="0.25">
      <c r="G36" s="37"/>
      <c r="H36" s="37"/>
      <c r="I36" s="37"/>
      <c r="J36" s="37"/>
      <c r="K36" s="37"/>
      <c r="L36" s="37"/>
      <c r="M36" s="37"/>
      <c r="N36" s="37"/>
    </row>
    <row r="37" spans="1:19" x14ac:dyDescent="0.25">
      <c r="A37" t="s">
        <v>55</v>
      </c>
      <c r="G37" s="37"/>
      <c r="H37" s="37"/>
      <c r="I37" s="37"/>
      <c r="J37" s="37"/>
      <c r="K37" s="37"/>
      <c r="L37" s="37"/>
      <c r="M37" s="37"/>
      <c r="N37" s="37"/>
    </row>
    <row r="38" spans="1:19" x14ac:dyDescent="0.25">
      <c r="A38">
        <v>2020</v>
      </c>
      <c r="G38" s="143">
        <f>G13-G26</f>
        <v>5073186.1860451698</v>
      </c>
      <c r="H38" s="37">
        <f t="shared" ref="H38:N38" si="7">H34/$O$34*$G$38</f>
        <v>2688382.4973347108</v>
      </c>
      <c r="I38" s="37">
        <f t="shared" si="7"/>
        <v>677216.45922794531</v>
      </c>
      <c r="J38" s="37">
        <f t="shared" si="7"/>
        <v>1486482.7804031835</v>
      </c>
      <c r="K38" s="37">
        <f t="shared" si="7"/>
        <v>221104.44907933034</v>
      </c>
      <c r="L38" s="37">
        <f t="shared" si="7"/>
        <v>0</v>
      </c>
      <c r="M38" s="37">
        <f t="shared" si="7"/>
        <v>0</v>
      </c>
      <c r="N38" s="37">
        <f t="shared" si="7"/>
        <v>0</v>
      </c>
      <c r="O38" s="37">
        <f>SUM(H38:N38)</f>
        <v>5073186.1860451698</v>
      </c>
    </row>
    <row r="39" spans="1:19" x14ac:dyDescent="0.25">
      <c r="A39">
        <v>2021</v>
      </c>
      <c r="G39" s="143">
        <f>G14-G27</f>
        <v>1314912.0787626505</v>
      </c>
      <c r="H39" s="37">
        <f t="shared" ref="H39:N39" si="8">H35/$O$35*$G$39</f>
        <v>698451.91171806282</v>
      </c>
      <c r="I39" s="37">
        <f t="shared" si="8"/>
        <v>176839.67379259606</v>
      </c>
      <c r="J39" s="37">
        <f t="shared" si="8"/>
        <v>382696.87301976362</v>
      </c>
      <c r="K39" s="37">
        <f t="shared" si="8"/>
        <v>56923.620232228044</v>
      </c>
      <c r="L39" s="37">
        <f t="shared" si="8"/>
        <v>0</v>
      </c>
      <c r="M39" s="37">
        <f t="shared" si="8"/>
        <v>0</v>
      </c>
      <c r="N39" s="37">
        <f t="shared" si="8"/>
        <v>0</v>
      </c>
      <c r="O39" s="37">
        <f>SUM(H39:N39)</f>
        <v>1314912.0787626505</v>
      </c>
    </row>
    <row r="41" spans="1:19" x14ac:dyDescent="0.25">
      <c r="A41" s="226" t="s">
        <v>200</v>
      </c>
      <c r="B41" s="219"/>
      <c r="C41" s="219"/>
      <c r="D41" s="219"/>
      <c r="E41" s="219"/>
      <c r="F41" s="219"/>
      <c r="H41"/>
      <c r="I41"/>
      <c r="J41"/>
      <c r="K41"/>
      <c r="L41"/>
      <c r="M41"/>
      <c r="R41"/>
      <c r="S41"/>
    </row>
    <row r="42" spans="1:19" x14ac:dyDescent="0.25">
      <c r="A42" s="226">
        <v>2020</v>
      </c>
      <c r="B42" s="219"/>
      <c r="C42" s="219"/>
      <c r="D42" s="219"/>
      <c r="E42" s="219"/>
      <c r="F42" s="234" t="s">
        <v>224</v>
      </c>
      <c r="G42" s="235"/>
      <c r="H42" s="228">
        <v>0.05</v>
      </c>
      <c r="I42" s="228">
        <v>-0.06</v>
      </c>
      <c r="J42" s="228">
        <v>-0.09</v>
      </c>
      <c r="K42" s="228">
        <v>-0.09</v>
      </c>
      <c r="L42" s="228">
        <v>0</v>
      </c>
      <c r="M42" s="228">
        <v>0</v>
      </c>
      <c r="N42" s="228">
        <v>0</v>
      </c>
      <c r="O42" s="28"/>
      <c r="R42"/>
      <c r="S42"/>
    </row>
    <row r="43" spans="1:19" x14ac:dyDescent="0.25">
      <c r="A43" s="226">
        <v>2021</v>
      </c>
      <c r="B43" s="219"/>
      <c r="C43" s="219"/>
      <c r="D43" s="219"/>
      <c r="E43" s="219"/>
      <c r="F43" s="24"/>
      <c r="G43" s="28"/>
      <c r="H43" s="228">
        <v>0.05</v>
      </c>
      <c r="I43" s="228">
        <v>-0.06</v>
      </c>
      <c r="J43" s="228">
        <v>-0.09</v>
      </c>
      <c r="K43" s="228">
        <v>-0.09</v>
      </c>
      <c r="L43" s="228">
        <v>0</v>
      </c>
      <c r="M43" s="228">
        <v>0</v>
      </c>
      <c r="N43" s="228">
        <v>0</v>
      </c>
      <c r="O43" s="28"/>
      <c r="R43"/>
      <c r="S43"/>
    </row>
    <row r="44" spans="1:19" x14ac:dyDescent="0.25">
      <c r="B44"/>
      <c r="C44"/>
      <c r="D44"/>
      <c r="E44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/>
      <c r="Q44"/>
      <c r="R44"/>
      <c r="S44"/>
    </row>
    <row r="45" spans="1:19" x14ac:dyDescent="0.25">
      <c r="A45" s="226" t="s">
        <v>201</v>
      </c>
      <c r="B45" s="219"/>
      <c r="C45" s="219"/>
      <c r="D45" s="219"/>
      <c r="E45" s="219"/>
      <c r="F45" s="24"/>
      <c r="G45" s="28"/>
      <c r="H45" s="32"/>
      <c r="I45" s="32"/>
      <c r="J45" s="32"/>
      <c r="K45" s="32"/>
      <c r="L45" s="32"/>
      <c r="M45" s="32"/>
      <c r="N45" s="28"/>
      <c r="O45" s="28"/>
      <c r="R45"/>
      <c r="S45"/>
    </row>
    <row r="46" spans="1:19" x14ac:dyDescent="0.25">
      <c r="A46" s="226">
        <v>2020</v>
      </c>
      <c r="B46" s="219"/>
      <c r="C46" s="219"/>
      <c r="D46" s="219"/>
      <c r="E46" s="219"/>
      <c r="F46" s="24"/>
      <c r="G46" s="227" t="s">
        <v>202</v>
      </c>
      <c r="H46" s="37">
        <f>H26*H42*9.5/12</f>
        <v>8073327.2688676855</v>
      </c>
      <c r="I46" s="37">
        <f t="shared" ref="I46:N46" si="9">I26*I42*9.5/12</f>
        <v>-2440451.8833007202</v>
      </c>
      <c r="J46" s="37">
        <f t="shared" si="9"/>
        <v>-10713530.8113</v>
      </c>
      <c r="K46" s="37">
        <f t="shared" si="9"/>
        <v>-6315323.4281625003</v>
      </c>
      <c r="L46" s="37">
        <f t="shared" si="9"/>
        <v>0</v>
      </c>
      <c r="M46" s="37">
        <f t="shared" si="9"/>
        <v>0</v>
      </c>
      <c r="N46" s="37">
        <f t="shared" si="9"/>
        <v>0</v>
      </c>
      <c r="O46" s="37">
        <f>SUM(H46:N46)</f>
        <v>-11395978.853895536</v>
      </c>
      <c r="P46" s="229">
        <f>O46/O30</f>
        <v>-2.3661877105281327E-2</v>
      </c>
      <c r="R46"/>
      <c r="S46"/>
    </row>
    <row r="47" spans="1:19" x14ac:dyDescent="0.25">
      <c r="A47" s="226">
        <v>2021</v>
      </c>
      <c r="B47" s="219"/>
      <c r="C47" s="219"/>
      <c r="D47" s="219"/>
      <c r="E47" s="219"/>
      <c r="F47" s="24"/>
      <c r="G47" s="227" t="s">
        <v>203</v>
      </c>
      <c r="H47" s="37">
        <f>H43*H27</f>
        <v>10291072.048138263</v>
      </c>
      <c r="I47" s="37">
        <f t="shared" ref="I47:N47" si="10">I43*I27</f>
        <v>-3126691.6907576295</v>
      </c>
      <c r="J47" s="37">
        <f t="shared" si="10"/>
        <v>-13532881.024799999</v>
      </c>
      <c r="K47" s="37">
        <f t="shared" si="10"/>
        <v>-7977250.6461000005</v>
      </c>
      <c r="L47" s="37">
        <f t="shared" si="10"/>
        <v>0</v>
      </c>
      <c r="M47" s="37">
        <f t="shared" si="10"/>
        <v>0</v>
      </c>
      <c r="N47" s="37">
        <f t="shared" si="10"/>
        <v>0</v>
      </c>
      <c r="O47" s="37">
        <f>SUM(H47:N47)</f>
        <v>-14345751.313519366</v>
      </c>
      <c r="P47" s="229">
        <f>O47/O31</f>
        <v>-3.0043021117072598E-2</v>
      </c>
      <c r="R47"/>
      <c r="S47"/>
    </row>
    <row r="48" spans="1:19" x14ac:dyDescent="0.25">
      <c r="G48" s="142"/>
    </row>
    <row r="49" spans="1:15" x14ac:dyDescent="0.25">
      <c r="A49" t="s">
        <v>218</v>
      </c>
      <c r="G49" s="142"/>
    </row>
    <row r="50" spans="1:15" x14ac:dyDescent="0.25">
      <c r="A50" s="226">
        <v>2020</v>
      </c>
      <c r="J50" s="6">
        <f>J56</f>
        <v>1018590.1300000015</v>
      </c>
      <c r="K50" s="37">
        <f>K56</f>
        <v>-9608747.6000000015</v>
      </c>
      <c r="O50" s="37">
        <f>SUM(H50:N50)</f>
        <v>-8590157.4700000007</v>
      </c>
    </row>
    <row r="51" spans="1:15" x14ac:dyDescent="0.25">
      <c r="A51" s="226">
        <v>2021</v>
      </c>
      <c r="J51" s="6">
        <f>J50</f>
        <v>1018590.1300000015</v>
      </c>
      <c r="K51" s="37">
        <f>K50</f>
        <v>-9608747.6000000015</v>
      </c>
      <c r="O51" s="37">
        <f>SUM(H51:N51)</f>
        <v>-8590157.4700000007</v>
      </c>
    </row>
    <row r="52" spans="1:15" x14ac:dyDescent="0.25">
      <c r="L52" s="233" t="s">
        <v>219</v>
      </c>
      <c r="N52" s="233" t="s">
        <v>220</v>
      </c>
    </row>
    <row r="53" spans="1:15" x14ac:dyDescent="0.25">
      <c r="K53" s="37">
        <v>-3169000</v>
      </c>
      <c r="L53" s="233">
        <v>1</v>
      </c>
      <c r="N53" s="233"/>
    </row>
    <row r="54" spans="1:15" x14ac:dyDescent="0.25">
      <c r="J54" s="6">
        <v>173845.97999999998</v>
      </c>
      <c r="K54" s="37">
        <v>-5595003.4500000002</v>
      </c>
      <c r="L54" s="233">
        <v>2</v>
      </c>
      <c r="N54" s="233"/>
    </row>
    <row r="55" spans="1:15" x14ac:dyDescent="0.25">
      <c r="J55" s="6">
        <v>844744.15000000154</v>
      </c>
      <c r="K55" s="37">
        <v>-844744.150000002</v>
      </c>
      <c r="L55" s="233">
        <v>3</v>
      </c>
      <c r="N55" s="233"/>
    </row>
    <row r="56" spans="1:15" x14ac:dyDescent="0.25">
      <c r="J56" s="37">
        <f>SUM(J53:J55)</f>
        <v>1018590.1300000015</v>
      </c>
      <c r="K56" s="37">
        <f>SUM(K53:K55)</f>
        <v>-9608747.6000000015</v>
      </c>
      <c r="L56" s="233" t="s">
        <v>222</v>
      </c>
    </row>
  </sheetData>
  <pageMargins left="0" right="0.15748031496062992" top="0.15748031496062992" bottom="0.15748031496062992" header="0.11811023622047245" footer="0.1181102362204724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view="pageBreakPreview" zoomScaleNormal="100" zoomScaleSheetLayoutView="100" workbookViewId="0">
      <pane xSplit="1" ySplit="2" topLeftCell="B3" activePane="bottomRight" state="frozen"/>
      <selection activeCell="R79" sqref="R79"/>
      <selection pane="topRight" activeCell="R79" sqref="R79"/>
      <selection pane="bottomLeft" activeCell="R79" sqref="R79"/>
      <selection pane="bottomRight" activeCell="R79" sqref="R79"/>
    </sheetView>
  </sheetViews>
  <sheetFormatPr defaultColWidth="9.33203125" defaultRowHeight="13.2" x14ac:dyDescent="0.25"/>
  <cols>
    <col min="1" max="1" width="21.6640625" customWidth="1"/>
    <col min="2" max="2" width="15" style="6" customWidth="1"/>
    <col min="3" max="4" width="14.33203125" style="6" bestFit="1" customWidth="1"/>
    <col min="5" max="6" width="14.33203125" style="6" customWidth="1"/>
    <col min="7" max="7" width="17.5546875" style="6" customWidth="1"/>
    <col min="8" max="8" width="12.5546875" style="6" customWidth="1"/>
    <col min="9" max="10" width="12.6640625" style="6" bestFit="1" customWidth="1"/>
    <col min="11" max="11" width="11.6640625" style="6" bestFit="1" customWidth="1"/>
    <col min="12" max="12" width="10.6640625" style="6" bestFit="1" customWidth="1"/>
    <col min="13" max="14" width="9.33203125" style="6"/>
  </cols>
  <sheetData>
    <row r="1" spans="1:10" x14ac:dyDescent="0.25">
      <c r="A1" t="s">
        <v>176</v>
      </c>
      <c r="B1" s="251" t="s">
        <v>177</v>
      </c>
      <c r="C1" s="251"/>
      <c r="D1" s="251"/>
      <c r="E1" s="251"/>
      <c r="F1" s="251" t="s">
        <v>178</v>
      </c>
      <c r="G1" s="251"/>
      <c r="H1" s="251"/>
    </row>
    <row r="2" spans="1:10" ht="42" customHeight="1" x14ac:dyDescent="0.25">
      <c r="B2" s="65" t="str">
        <f>'Rate Class Energy Model'!H2</f>
        <v>Residential</v>
      </c>
      <c r="C2" s="65" t="str">
        <f>'Rate Class Energy Model'!I2</f>
        <v>GS&lt;50</v>
      </c>
      <c r="D2" s="65" t="str">
        <f>'Rate Class Energy Model'!J2</f>
        <v>GS&gt;50 to 999</v>
      </c>
      <c r="E2" s="65" t="str">
        <f>'Rate Class Energy Model'!K2</f>
        <v>GS&gt; 1000 to 4999</v>
      </c>
      <c r="F2" s="65" t="str">
        <f>'Rate Class Energy Model'!L2</f>
        <v>Sentinels</v>
      </c>
      <c r="G2" s="65" t="str">
        <f>'Rate Class Energy Model'!M2</f>
        <v>Streetlights</v>
      </c>
      <c r="H2" s="65" t="str">
        <f>'Rate Class Energy Model'!N2</f>
        <v>USL</v>
      </c>
      <c r="I2" s="66" t="s">
        <v>11</v>
      </c>
    </row>
    <row r="3" spans="1:10" x14ac:dyDescent="0.25">
      <c r="A3" s="4">
        <v>2010</v>
      </c>
      <c r="B3" s="151">
        <v>18866.499999999993</v>
      </c>
      <c r="C3" s="151">
        <v>1605.5000000000005</v>
      </c>
      <c r="D3" s="151">
        <v>167.99999999999994</v>
      </c>
      <c r="E3" s="151">
        <v>10.999999999999996</v>
      </c>
      <c r="F3" s="151">
        <v>327.50000000000011</v>
      </c>
      <c r="G3" s="151">
        <v>4361.5</v>
      </c>
      <c r="H3" s="151">
        <v>137.5</v>
      </c>
      <c r="I3" s="151">
        <f t="shared" ref="I3:I14" si="0">SUM(B3:H3)</f>
        <v>25477.499999999993</v>
      </c>
    </row>
    <row r="4" spans="1:10" x14ac:dyDescent="0.25">
      <c r="A4" s="4">
        <v>2011</v>
      </c>
      <c r="B4" s="151">
        <v>19136</v>
      </c>
      <c r="C4" s="151">
        <v>1708</v>
      </c>
      <c r="D4" s="151">
        <v>156</v>
      </c>
      <c r="E4" s="151">
        <v>12</v>
      </c>
      <c r="F4" s="151">
        <v>161</v>
      </c>
      <c r="G4" s="151">
        <v>4387</v>
      </c>
      <c r="H4" s="151">
        <v>144</v>
      </c>
      <c r="I4" s="151">
        <f t="shared" si="0"/>
        <v>25704</v>
      </c>
    </row>
    <row r="5" spans="1:10" x14ac:dyDescent="0.25">
      <c r="A5" s="4">
        <v>2012</v>
      </c>
      <c r="B5" s="151">
        <v>19194</v>
      </c>
      <c r="C5" s="151">
        <v>1710</v>
      </c>
      <c r="D5" s="151">
        <v>200</v>
      </c>
      <c r="E5" s="151">
        <v>12</v>
      </c>
      <c r="F5" s="151">
        <v>153</v>
      </c>
      <c r="G5" s="151">
        <v>4417</v>
      </c>
      <c r="H5" s="151">
        <v>151</v>
      </c>
      <c r="I5" s="151">
        <f t="shared" si="0"/>
        <v>25837</v>
      </c>
      <c r="J5" s="124"/>
    </row>
    <row r="6" spans="1:10" x14ac:dyDescent="0.25">
      <c r="A6" s="4">
        <v>2013</v>
      </c>
      <c r="B6" s="151">
        <v>19511</v>
      </c>
      <c r="C6" s="151">
        <v>1710</v>
      </c>
      <c r="D6" s="151">
        <v>207</v>
      </c>
      <c r="E6" s="151">
        <v>13</v>
      </c>
      <c r="F6" s="151">
        <v>177</v>
      </c>
      <c r="G6" s="151">
        <v>4477</v>
      </c>
      <c r="H6" s="151">
        <v>146</v>
      </c>
      <c r="I6" s="151">
        <f t="shared" si="0"/>
        <v>26241</v>
      </c>
    </row>
    <row r="7" spans="1:10" x14ac:dyDescent="0.25">
      <c r="A7" s="4">
        <v>2014</v>
      </c>
      <c r="B7" s="151">
        <v>19623</v>
      </c>
      <c r="C7" s="151">
        <v>1701</v>
      </c>
      <c r="D7" s="151">
        <v>198</v>
      </c>
      <c r="E7" s="151">
        <f t="shared" ref="E7:H7" si="1">+E6*1.01</f>
        <v>13.13</v>
      </c>
      <c r="F7" s="151">
        <v>170</v>
      </c>
      <c r="G7" s="151">
        <v>4477</v>
      </c>
      <c r="H7" s="151">
        <f t="shared" si="1"/>
        <v>147.46</v>
      </c>
      <c r="I7" s="151">
        <f t="shared" si="0"/>
        <v>26329.59</v>
      </c>
      <c r="J7" s="66"/>
    </row>
    <row r="8" spans="1:10" x14ac:dyDescent="0.25">
      <c r="A8" s="4">
        <v>2015</v>
      </c>
      <c r="B8" s="151">
        <v>19801</v>
      </c>
      <c r="C8" s="151">
        <v>1920</v>
      </c>
      <c r="D8" s="151">
        <v>195</v>
      </c>
      <c r="E8" s="151">
        <v>13</v>
      </c>
      <c r="F8" s="151">
        <v>172</v>
      </c>
      <c r="G8" s="151">
        <v>4595</v>
      </c>
      <c r="H8" s="151">
        <v>144</v>
      </c>
      <c r="I8" s="151">
        <f t="shared" si="0"/>
        <v>26840</v>
      </c>
      <c r="J8" s="137"/>
    </row>
    <row r="9" spans="1:10" x14ac:dyDescent="0.25">
      <c r="A9" s="4">
        <v>2016</v>
      </c>
      <c r="B9" s="151">
        <v>20057</v>
      </c>
      <c r="C9" s="151">
        <v>1844</v>
      </c>
      <c r="D9" s="151">
        <v>198</v>
      </c>
      <c r="E9" s="151">
        <v>13</v>
      </c>
      <c r="F9" s="151">
        <v>170</v>
      </c>
      <c r="G9" s="151">
        <v>4680</v>
      </c>
      <c r="H9" s="151">
        <v>148</v>
      </c>
      <c r="I9" s="151">
        <f t="shared" si="0"/>
        <v>27110</v>
      </c>
      <c r="J9" s="137"/>
    </row>
    <row r="10" spans="1:10" x14ac:dyDescent="0.25">
      <c r="A10" s="4">
        <v>2017</v>
      </c>
      <c r="B10" s="151">
        <v>20188</v>
      </c>
      <c r="C10" s="151">
        <v>1810</v>
      </c>
      <c r="D10" s="151">
        <v>186</v>
      </c>
      <c r="E10" s="151">
        <v>11</v>
      </c>
      <c r="F10" s="151">
        <v>173</v>
      </c>
      <c r="G10" s="151">
        <v>4674</v>
      </c>
      <c r="H10" s="151">
        <v>152</v>
      </c>
      <c r="I10" s="151">
        <f t="shared" si="0"/>
        <v>27194</v>
      </c>
      <c r="J10" s="137"/>
    </row>
    <row r="11" spans="1:10" x14ac:dyDescent="0.25">
      <c r="A11" s="4">
        <v>2018</v>
      </c>
      <c r="B11" s="151">
        <v>20332</v>
      </c>
      <c r="C11" s="151">
        <v>1895</v>
      </c>
      <c r="D11" s="151">
        <v>205</v>
      </c>
      <c r="E11" s="151">
        <v>10</v>
      </c>
      <c r="F11" s="151">
        <v>175</v>
      </c>
      <c r="G11" s="151">
        <v>4778</v>
      </c>
      <c r="H11" s="151">
        <v>185</v>
      </c>
      <c r="I11" s="151">
        <f t="shared" si="0"/>
        <v>27580</v>
      </c>
      <c r="J11" s="137"/>
    </row>
    <row r="12" spans="1:10" x14ac:dyDescent="0.25">
      <c r="A12" s="4">
        <v>2019</v>
      </c>
      <c r="B12" s="151">
        <v>20476</v>
      </c>
      <c r="C12" s="151">
        <v>1824</v>
      </c>
      <c r="D12" s="151">
        <v>217</v>
      </c>
      <c r="E12" s="151">
        <v>11</v>
      </c>
      <c r="F12" s="151">
        <v>175</v>
      </c>
      <c r="G12" s="151">
        <v>4833</v>
      </c>
      <c r="H12" s="151">
        <v>183</v>
      </c>
      <c r="I12" s="151">
        <f t="shared" si="0"/>
        <v>27719</v>
      </c>
      <c r="J12" s="137"/>
    </row>
    <row r="13" spans="1:10" x14ac:dyDescent="0.25">
      <c r="A13" s="4">
        <v>2020</v>
      </c>
      <c r="B13" s="99">
        <f>B12*B32</f>
        <v>20663.103021016646</v>
      </c>
      <c r="C13" s="99">
        <f>C12*C32</f>
        <v>1850.0437694954837</v>
      </c>
      <c r="D13" s="99">
        <f>D12*D32</f>
        <v>217</v>
      </c>
      <c r="E13" s="99">
        <f t="shared" ref="E13:H13" si="2">E12*E32</f>
        <v>11</v>
      </c>
      <c r="F13" s="99">
        <f t="shared" si="2"/>
        <v>175</v>
      </c>
      <c r="G13" s="99">
        <f t="shared" si="2"/>
        <v>4833</v>
      </c>
      <c r="H13" s="99">
        <f t="shared" si="2"/>
        <v>183</v>
      </c>
      <c r="I13" s="99">
        <f t="shared" si="0"/>
        <v>27932.146790512132</v>
      </c>
      <c r="J13" s="137"/>
    </row>
    <row r="14" spans="1:10" x14ac:dyDescent="0.25">
      <c r="A14" s="4">
        <v>2021</v>
      </c>
      <c r="B14" s="99">
        <f>B13*B32</f>
        <v>20851.915728518619</v>
      </c>
      <c r="C14" s="99">
        <f t="shared" ref="C14:H14" si="3">C13*C32</f>
        <v>1876.4594018909311</v>
      </c>
      <c r="D14" s="99">
        <f t="shared" si="3"/>
        <v>217</v>
      </c>
      <c r="E14" s="99">
        <f t="shared" si="3"/>
        <v>11</v>
      </c>
      <c r="F14" s="99">
        <f t="shared" si="3"/>
        <v>175</v>
      </c>
      <c r="G14" s="99">
        <f t="shared" si="3"/>
        <v>4833</v>
      </c>
      <c r="H14" s="99">
        <f t="shared" si="3"/>
        <v>183</v>
      </c>
      <c r="I14" s="99">
        <f t="shared" si="0"/>
        <v>28147.375130409549</v>
      </c>
      <c r="J14" s="137"/>
    </row>
    <row r="15" spans="1:10" x14ac:dyDescent="0.25">
      <c r="A15" s="22"/>
    </row>
    <row r="16" spans="1:10" x14ac:dyDescent="0.25">
      <c r="A16" s="21" t="s">
        <v>51</v>
      </c>
      <c r="C16" s="137"/>
    </row>
    <row r="17" spans="1:12" x14ac:dyDescent="0.25">
      <c r="A17" s="22"/>
    </row>
    <row r="18" spans="1:12" ht="26.4" x14ac:dyDescent="0.25">
      <c r="A18" s="22"/>
      <c r="B18" s="65" t="s">
        <v>67</v>
      </c>
      <c r="C18" s="65" t="s">
        <v>68</v>
      </c>
      <c r="D18" s="65" t="s">
        <v>80</v>
      </c>
      <c r="E18" s="65" t="s">
        <v>81</v>
      </c>
      <c r="F18" s="65" t="s">
        <v>76</v>
      </c>
      <c r="G18" s="65" t="s">
        <v>71</v>
      </c>
      <c r="H18" s="65" t="s">
        <v>69</v>
      </c>
      <c r="I18" s="66"/>
    </row>
    <row r="19" spans="1:12" x14ac:dyDescent="0.25">
      <c r="B19" s="5"/>
      <c r="C19" s="5"/>
      <c r="D19" s="5"/>
      <c r="E19" s="5"/>
      <c r="F19" s="5"/>
      <c r="G19" s="5"/>
      <c r="H19" s="5"/>
    </row>
    <row r="20" spans="1:12" x14ac:dyDescent="0.25">
      <c r="A20" s="4">
        <v>2011</v>
      </c>
      <c r="B20" s="25">
        <f>B4/B3</f>
        <v>1.014284578485676</v>
      </c>
      <c r="C20" s="25">
        <f t="shared" ref="C20:H20" si="4">C4/C3</f>
        <v>1.0638430395515412</v>
      </c>
      <c r="D20" s="25">
        <f t="shared" si="4"/>
        <v>0.92857142857142894</v>
      </c>
      <c r="E20" s="25">
        <f t="shared" si="4"/>
        <v>1.0909090909090913</v>
      </c>
      <c r="F20" s="25">
        <f t="shared" si="4"/>
        <v>0.49160305343511435</v>
      </c>
      <c r="G20" s="25">
        <f t="shared" si="4"/>
        <v>1.0058466124039895</v>
      </c>
      <c r="H20" s="25">
        <f t="shared" si="4"/>
        <v>1.0472727272727274</v>
      </c>
      <c r="L20" s="137"/>
    </row>
    <row r="21" spans="1:12" x14ac:dyDescent="0.25">
      <c r="A21" s="4">
        <v>2012</v>
      </c>
      <c r="B21" s="25">
        <f t="shared" ref="B21:H28" si="5">B5/B4</f>
        <v>1.0030309364548495</v>
      </c>
      <c r="C21" s="25">
        <f t="shared" si="5"/>
        <v>1.0011709601873535</v>
      </c>
      <c r="D21" s="25">
        <f t="shared" si="5"/>
        <v>1.2820512820512822</v>
      </c>
      <c r="E21" s="25">
        <f t="shared" si="5"/>
        <v>1</v>
      </c>
      <c r="F21" s="25">
        <f t="shared" si="5"/>
        <v>0.9503105590062112</v>
      </c>
      <c r="G21" s="25">
        <f t="shared" si="5"/>
        <v>1.0068383861408707</v>
      </c>
      <c r="H21" s="25">
        <f t="shared" si="5"/>
        <v>1.0486111111111112</v>
      </c>
    </row>
    <row r="22" spans="1:12" x14ac:dyDescent="0.25">
      <c r="A22" s="4">
        <v>2013</v>
      </c>
      <c r="B22" s="25">
        <f t="shared" si="5"/>
        <v>1.0165155777847243</v>
      </c>
      <c r="C22" s="25">
        <f t="shared" si="5"/>
        <v>1</v>
      </c>
      <c r="D22" s="25">
        <f t="shared" si="5"/>
        <v>1.0349999999999999</v>
      </c>
      <c r="E22" s="25">
        <f t="shared" si="5"/>
        <v>1.0833333333333333</v>
      </c>
      <c r="F22" s="25">
        <f t="shared" si="5"/>
        <v>1.1568627450980393</v>
      </c>
      <c r="G22" s="25">
        <f t="shared" si="5"/>
        <v>1.013583880461852</v>
      </c>
      <c r="H22" s="25">
        <f t="shared" si="5"/>
        <v>0.9668874172185431</v>
      </c>
    </row>
    <row r="23" spans="1:12" x14ac:dyDescent="0.25">
      <c r="A23" s="4">
        <v>2014</v>
      </c>
      <c r="B23" s="25">
        <f t="shared" si="5"/>
        <v>1.0057403515965353</v>
      </c>
      <c r="C23" s="25">
        <f t="shared" si="5"/>
        <v>0.99473684210526314</v>
      </c>
      <c r="D23" s="25">
        <f t="shared" si="5"/>
        <v>0.95652173913043481</v>
      </c>
      <c r="E23" s="25">
        <f t="shared" si="5"/>
        <v>1.01</v>
      </c>
      <c r="F23" s="25">
        <f t="shared" si="5"/>
        <v>0.96045197740112997</v>
      </c>
      <c r="G23" s="25">
        <f t="shared" si="5"/>
        <v>1</v>
      </c>
      <c r="H23" s="25">
        <f t="shared" si="5"/>
        <v>1.01</v>
      </c>
    </row>
    <row r="24" spans="1:12" x14ac:dyDescent="0.25">
      <c r="A24" s="4">
        <v>2015</v>
      </c>
      <c r="B24" s="25">
        <f t="shared" si="5"/>
        <v>1.0090709881261786</v>
      </c>
      <c r="C24" s="25">
        <f t="shared" si="5"/>
        <v>1.128747795414462</v>
      </c>
      <c r="D24" s="25">
        <f t="shared" si="5"/>
        <v>0.98484848484848486</v>
      </c>
      <c r="E24" s="25">
        <f t="shared" si="5"/>
        <v>0.99009900990099009</v>
      </c>
      <c r="F24" s="25">
        <f t="shared" si="5"/>
        <v>1.0117647058823529</v>
      </c>
      <c r="G24" s="25">
        <f t="shared" si="5"/>
        <v>1.0263569354478446</v>
      </c>
      <c r="H24" s="25">
        <f t="shared" si="5"/>
        <v>0.97653600976536004</v>
      </c>
    </row>
    <row r="25" spans="1:12" x14ac:dyDescent="0.25">
      <c r="A25" s="4">
        <v>2016</v>
      </c>
      <c r="B25" s="25">
        <f t="shared" si="5"/>
        <v>1.0129286399676785</v>
      </c>
      <c r="C25" s="25">
        <f t="shared" si="5"/>
        <v>0.9604166666666667</v>
      </c>
      <c r="D25" s="25">
        <f t="shared" si="5"/>
        <v>1.0153846153846153</v>
      </c>
      <c r="E25" s="25">
        <f t="shared" si="5"/>
        <v>1</v>
      </c>
      <c r="F25" s="25">
        <f t="shared" si="5"/>
        <v>0.98837209302325579</v>
      </c>
      <c r="G25" s="25">
        <f t="shared" si="5"/>
        <v>1.0184983677910773</v>
      </c>
      <c r="H25" s="25">
        <f t="shared" si="5"/>
        <v>1.0277777777777777</v>
      </c>
    </row>
    <row r="26" spans="1:12" x14ac:dyDescent="0.25">
      <c r="A26" s="4">
        <v>2017</v>
      </c>
      <c r="B26" s="25">
        <f t="shared" si="5"/>
        <v>1.006531385551179</v>
      </c>
      <c r="C26" s="25">
        <f t="shared" si="5"/>
        <v>0.98156182212581344</v>
      </c>
      <c r="D26" s="25">
        <f t="shared" si="5"/>
        <v>0.93939393939393945</v>
      </c>
      <c r="E26" s="25">
        <f t="shared" si="5"/>
        <v>0.84615384615384615</v>
      </c>
      <c r="F26" s="25">
        <f t="shared" si="5"/>
        <v>1.0176470588235293</v>
      </c>
      <c r="G26" s="25">
        <f t="shared" si="5"/>
        <v>0.99871794871794872</v>
      </c>
      <c r="H26" s="25">
        <f t="shared" si="5"/>
        <v>1.027027027027027</v>
      </c>
    </row>
    <row r="27" spans="1:12" x14ac:dyDescent="0.25">
      <c r="A27" s="4">
        <v>2018</v>
      </c>
      <c r="B27" s="25">
        <f t="shared" si="5"/>
        <v>1.0071329502674857</v>
      </c>
      <c r="C27" s="25">
        <f t="shared" si="5"/>
        <v>1.0469613259668509</v>
      </c>
      <c r="D27" s="25">
        <f t="shared" si="5"/>
        <v>1.1021505376344085</v>
      </c>
      <c r="E27" s="25">
        <f t="shared" si="5"/>
        <v>0.90909090909090906</v>
      </c>
      <c r="F27" s="25">
        <f t="shared" si="5"/>
        <v>1.0115606936416186</v>
      </c>
      <c r="G27" s="25">
        <f t="shared" si="5"/>
        <v>1.0222507488232777</v>
      </c>
      <c r="H27" s="25">
        <f t="shared" si="5"/>
        <v>1.2171052631578947</v>
      </c>
    </row>
    <row r="28" spans="1:12" x14ac:dyDescent="0.25">
      <c r="A28" s="4">
        <v>2019</v>
      </c>
      <c r="B28" s="25">
        <f t="shared" si="5"/>
        <v>1.0070824316348612</v>
      </c>
      <c r="C28" s="25">
        <f t="shared" si="5"/>
        <v>0.96253298153034306</v>
      </c>
      <c r="D28" s="25">
        <f t="shared" si="5"/>
        <v>1.0585365853658537</v>
      </c>
      <c r="E28" s="25">
        <f t="shared" si="5"/>
        <v>1.1000000000000001</v>
      </c>
      <c r="F28" s="25">
        <f t="shared" si="5"/>
        <v>1</v>
      </c>
      <c r="G28" s="25">
        <f t="shared" si="5"/>
        <v>1.0115110925073252</v>
      </c>
      <c r="H28" s="25">
        <f t="shared" si="5"/>
        <v>0.98918918918918919</v>
      </c>
    </row>
    <row r="30" spans="1:12" x14ac:dyDescent="0.25">
      <c r="A30" s="140" t="s">
        <v>199</v>
      </c>
      <c r="B30" s="26">
        <f>GEOMEAN(B20:B28)</f>
        <v>1.0091376744001097</v>
      </c>
      <c r="C30" s="26">
        <f t="shared" ref="C30:H30" si="6">GEOMEAN(C20:C28)</f>
        <v>1.0142783823988397</v>
      </c>
      <c r="D30" s="26">
        <f t="shared" si="6"/>
        <v>1.0288452343155892</v>
      </c>
      <c r="E30" s="26">
        <f t="shared" si="6"/>
        <v>1</v>
      </c>
      <c r="F30" s="26">
        <f t="shared" si="6"/>
        <v>0.93273554464021791</v>
      </c>
      <c r="G30" s="26">
        <f t="shared" si="6"/>
        <v>1.0114709995127704</v>
      </c>
      <c r="H30" s="26">
        <f t="shared" si="6"/>
        <v>1.0322722812051179</v>
      </c>
    </row>
    <row r="31" spans="1:12" x14ac:dyDescent="0.25">
      <c r="A31" s="4"/>
      <c r="B31" s="26"/>
      <c r="C31" s="26"/>
      <c r="D31" s="26"/>
      <c r="E31" s="26"/>
      <c r="F31" s="26"/>
      <c r="G31" s="26"/>
      <c r="H31" s="26"/>
    </row>
    <row r="32" spans="1:12" x14ac:dyDescent="0.25">
      <c r="A32" s="225" t="s">
        <v>198</v>
      </c>
      <c r="B32" s="26">
        <f>B30</f>
        <v>1.0091376744001097</v>
      </c>
      <c r="C32" s="26">
        <f>C30</f>
        <v>1.0142783823988397</v>
      </c>
      <c r="D32" s="26">
        <v>1</v>
      </c>
      <c r="E32" s="26">
        <v>1</v>
      </c>
      <c r="F32" s="26">
        <v>1</v>
      </c>
      <c r="G32" s="26">
        <v>1</v>
      </c>
      <c r="H32" s="26">
        <v>1</v>
      </c>
    </row>
    <row r="33" spans="1:14" x14ac:dyDescent="0.25">
      <c r="A33" s="4"/>
      <c r="B33" s="26"/>
      <c r="C33" s="26"/>
      <c r="D33" s="26"/>
      <c r="E33" s="26"/>
      <c r="F33" s="26"/>
      <c r="G33" s="26"/>
      <c r="H33" s="26"/>
    </row>
    <row r="34" spans="1:14" x14ac:dyDescent="0.25">
      <c r="A34" s="4"/>
      <c r="B34" s="26"/>
      <c r="C34" s="26"/>
      <c r="D34" s="26"/>
      <c r="E34" s="26"/>
      <c r="F34" s="26"/>
      <c r="G34" s="26"/>
      <c r="H34" s="26"/>
    </row>
    <row r="35" spans="1:14" x14ac:dyDescent="0.25"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5"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5"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5"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5">
      <c r="B44" s="26"/>
      <c r="C44" s="26"/>
      <c r="D44" s="26"/>
      <c r="E44" s="26"/>
      <c r="F44" s="26"/>
      <c r="G44" s="26"/>
      <c r="H44" s="26"/>
    </row>
    <row r="45" spans="1:14" x14ac:dyDescent="0.25">
      <c r="B45" s="26"/>
      <c r="C45" s="26"/>
      <c r="D45" s="26"/>
      <c r="E45" s="26"/>
      <c r="F45" s="26"/>
      <c r="G45" s="26"/>
      <c r="H45" s="26"/>
    </row>
    <row r="46" spans="1:14" x14ac:dyDescent="0.25">
      <c r="B46" s="26"/>
      <c r="C46" s="26"/>
      <c r="D46" s="26"/>
      <c r="E46" s="26"/>
      <c r="F46" s="26"/>
      <c r="G46" s="26"/>
      <c r="H46" s="26"/>
    </row>
    <row r="47" spans="1:14" x14ac:dyDescent="0.25">
      <c r="B47" s="26"/>
      <c r="C47" s="26"/>
      <c r="D47" s="26"/>
      <c r="E47" s="26"/>
      <c r="F47" s="26"/>
      <c r="G47" s="26"/>
      <c r="H47" s="26"/>
    </row>
    <row r="48" spans="1:14" x14ac:dyDescent="0.25">
      <c r="B48" s="26"/>
      <c r="C48" s="26"/>
      <c r="D48" s="26"/>
      <c r="E48" s="26"/>
      <c r="F48" s="26"/>
      <c r="G48" s="26"/>
      <c r="H48" s="26"/>
    </row>
    <row r="49" spans="1:11" x14ac:dyDescent="0.25">
      <c r="B49" s="26"/>
      <c r="C49" s="26"/>
      <c r="D49" s="26"/>
      <c r="E49" s="26"/>
      <c r="F49" s="26"/>
      <c r="G49" s="26"/>
      <c r="H49" s="26"/>
    </row>
    <row r="50" spans="1:11" x14ac:dyDescent="0.25">
      <c r="B50" s="26"/>
      <c r="C50" s="26"/>
      <c r="D50" s="26"/>
      <c r="E50" s="26"/>
      <c r="F50" s="26"/>
      <c r="G50" s="26"/>
      <c r="H50" s="26"/>
    </row>
    <row r="51" spans="1:11" hidden="1" x14ac:dyDescent="0.25">
      <c r="B51" s="26"/>
      <c r="C51" s="26"/>
      <c r="D51" s="26"/>
      <c r="E51" s="26"/>
      <c r="F51" s="26"/>
      <c r="G51" s="26"/>
      <c r="H51" s="26"/>
    </row>
    <row r="52" spans="1:11" hidden="1" x14ac:dyDescent="0.25">
      <c r="B52" s="26"/>
      <c r="C52" s="26"/>
      <c r="G52" s="26"/>
      <c r="H52" s="26"/>
    </row>
    <row r="53" spans="1:11" hidden="1" x14ac:dyDescent="0.25">
      <c r="D53" s="6" t="e">
        <f>#REF!*#REF!</f>
        <v>#REF!</v>
      </c>
    </row>
    <row r="54" spans="1:11" hidden="1" x14ac:dyDescent="0.25">
      <c r="A54">
        <v>2008</v>
      </c>
      <c r="B54" s="6" t="e">
        <f>#REF!*#REF!</f>
        <v>#REF!</v>
      </c>
      <c r="C54" s="6" t="e">
        <f>#REF!*#REF!</f>
        <v>#REF!</v>
      </c>
      <c r="D54" s="6" t="e">
        <f>#REF!*#REF!</f>
        <v>#REF!</v>
      </c>
      <c r="G54" s="6" t="e">
        <f>#REF!*#REF!</f>
        <v>#REF!</v>
      </c>
      <c r="H54" s="6" t="e">
        <f>#REF!*#REF!</f>
        <v>#REF!</v>
      </c>
      <c r="I54" s="6" t="e">
        <f>SUM(B54:H54)</f>
        <v>#REF!</v>
      </c>
      <c r="J54" s="6" t="e">
        <f>SUM(#REF!)</f>
        <v>#REF!</v>
      </c>
      <c r="K54" s="6" t="e">
        <f>J54-I54</f>
        <v>#REF!</v>
      </c>
    </row>
    <row r="55" spans="1:11" hidden="1" x14ac:dyDescent="0.25">
      <c r="A55">
        <v>2009</v>
      </c>
      <c r="B55" s="6" t="e">
        <f>#REF!*#REF!</f>
        <v>#REF!</v>
      </c>
      <c r="C55" s="6" t="e">
        <f>#REF!*#REF!</f>
        <v>#REF!</v>
      </c>
      <c r="G55" s="6" t="e">
        <f>#REF!*#REF!</f>
        <v>#REF!</v>
      </c>
      <c r="H55" s="6" t="e">
        <f>#REF!*#REF!</f>
        <v>#REF!</v>
      </c>
      <c r="I55" s="6" t="e">
        <f>SUM(B55:H55)</f>
        <v>#REF!</v>
      </c>
      <c r="J55" s="6" t="e">
        <f>SUM(#REF!)</f>
        <v>#REF!</v>
      </c>
      <c r="K55" s="6" t="e">
        <f>J55-I55</f>
        <v>#REF!</v>
      </c>
    </row>
    <row r="56" spans="1:11" hidden="1" x14ac:dyDescent="0.25"/>
    <row r="57" spans="1:11" hidden="1" x14ac:dyDescent="0.25">
      <c r="A57" t="s">
        <v>19</v>
      </c>
    </row>
    <row r="58" spans="1:11" hidden="1" x14ac:dyDescent="0.25">
      <c r="D58" s="27">
        <v>0.65</v>
      </c>
      <c r="E58" s="27"/>
      <c r="F58" s="27"/>
    </row>
    <row r="59" spans="1:11" hidden="1" x14ac:dyDescent="0.25">
      <c r="A59">
        <v>2008</v>
      </c>
      <c r="B59" s="27">
        <v>1</v>
      </c>
      <c r="C59" s="27">
        <v>1</v>
      </c>
      <c r="D59" s="27">
        <v>0.65</v>
      </c>
      <c r="E59" s="27"/>
      <c r="F59" s="27"/>
      <c r="G59" s="27">
        <v>0</v>
      </c>
      <c r="H59" s="27">
        <v>0</v>
      </c>
    </row>
    <row r="60" spans="1:11" hidden="1" x14ac:dyDescent="0.25">
      <c r="A60">
        <v>2009</v>
      </c>
      <c r="B60" s="27">
        <v>1</v>
      </c>
      <c r="C60" s="27">
        <v>1</v>
      </c>
      <c r="G60" s="27">
        <v>0</v>
      </c>
      <c r="H60" s="27">
        <v>0</v>
      </c>
    </row>
    <row r="61" spans="1:11" hidden="1" x14ac:dyDescent="0.25"/>
    <row r="62" spans="1:11" hidden="1" x14ac:dyDescent="0.25">
      <c r="A62" t="s">
        <v>20</v>
      </c>
    </row>
    <row r="63" spans="1:11" hidden="1" x14ac:dyDescent="0.25">
      <c r="D63" s="6" t="e">
        <f>D53*D58</f>
        <v>#REF!</v>
      </c>
    </row>
    <row r="64" spans="1:11" hidden="1" x14ac:dyDescent="0.25">
      <c r="A64">
        <v>2008</v>
      </c>
      <c r="B64" s="6" t="e">
        <f>B54*B59</f>
        <v>#REF!</v>
      </c>
      <c r="C64" s="6" t="e">
        <f>C54*C59</f>
        <v>#REF!</v>
      </c>
      <c r="D64" s="6" t="e">
        <f>D54*D59</f>
        <v>#REF!</v>
      </c>
      <c r="G64" s="6" t="e">
        <f>G54*G59</f>
        <v>#REF!</v>
      </c>
      <c r="H64" s="6" t="e">
        <f>H54*H59</f>
        <v>#REF!</v>
      </c>
      <c r="I64" s="6" t="e">
        <f>SUM(B64:H64)</f>
        <v>#REF!</v>
      </c>
    </row>
    <row r="65" spans="1:10" hidden="1" x14ac:dyDescent="0.25">
      <c r="A65">
        <v>2009</v>
      </c>
      <c r="B65" s="6" t="e">
        <f>B55*B60</f>
        <v>#REF!</v>
      </c>
      <c r="C65" s="6" t="e">
        <f>C55*C60</f>
        <v>#REF!</v>
      </c>
      <c r="G65" s="6" t="e">
        <f>G55*G60</f>
        <v>#REF!</v>
      </c>
      <c r="H65" s="6" t="e">
        <f>H55*H60</f>
        <v>#REF!</v>
      </c>
      <c r="I65" s="6" t="e">
        <f>SUM(B65:H65)</f>
        <v>#REF!</v>
      </c>
    </row>
    <row r="66" spans="1:10" hidden="1" x14ac:dyDescent="0.25"/>
    <row r="67" spans="1:10" hidden="1" x14ac:dyDescent="0.25">
      <c r="A67" t="s">
        <v>21</v>
      </c>
    </row>
    <row r="68" spans="1:10" hidden="1" x14ac:dyDescent="0.25">
      <c r="D68" s="6" t="e">
        <f>D63/$I$64*$K$54</f>
        <v>#REF!</v>
      </c>
    </row>
    <row r="69" spans="1:10" hidden="1" x14ac:dyDescent="0.25">
      <c r="A69">
        <v>2008</v>
      </c>
      <c r="B69" s="6" t="e">
        <f>B64/$I$64*$K$54</f>
        <v>#REF!</v>
      </c>
      <c r="C69" s="6" t="e">
        <f>C64/$I$64*$K$54</f>
        <v>#REF!</v>
      </c>
      <c r="D69" s="6" t="e">
        <f>D64/$I$65*$K$55</f>
        <v>#REF!</v>
      </c>
      <c r="G69" s="6" t="e">
        <f>G64/$I$64*$K$54</f>
        <v>#REF!</v>
      </c>
      <c r="H69" s="6" t="e">
        <f>H64/$I$64*$K$54</f>
        <v>#REF!</v>
      </c>
    </row>
    <row r="70" spans="1:10" hidden="1" x14ac:dyDescent="0.25">
      <c r="A70">
        <v>2009</v>
      </c>
      <c r="B70" s="6" t="e">
        <f>B65/$I$65*$K$55</f>
        <v>#REF!</v>
      </c>
      <c r="C70" s="6" t="e">
        <f>C65/$I$65*$K$55</f>
        <v>#REF!</v>
      </c>
      <c r="G70" s="6" t="e">
        <f>G65/$I$65*$K$55</f>
        <v>#REF!</v>
      </c>
      <c r="H70" s="6" t="e">
        <f>H65/$I$65*$K$55</f>
        <v>#REF!</v>
      </c>
    </row>
    <row r="71" spans="1:10" hidden="1" x14ac:dyDescent="0.25"/>
    <row r="72" spans="1:10" hidden="1" x14ac:dyDescent="0.25">
      <c r="A72" t="s">
        <v>22</v>
      </c>
    </row>
    <row r="73" spans="1:10" hidden="1" x14ac:dyDescent="0.25">
      <c r="D73" s="6" t="e">
        <f>D53+D68</f>
        <v>#REF!</v>
      </c>
      <c r="J73" s="6" t="s">
        <v>23</v>
      </c>
    </row>
    <row r="74" spans="1:10" hidden="1" x14ac:dyDescent="0.25">
      <c r="A74">
        <v>2008</v>
      </c>
      <c r="B74" s="6" t="e">
        <f>B54+B69</f>
        <v>#REF!</v>
      </c>
      <c r="C74" s="6" t="e">
        <f>C54+C69</f>
        <v>#REF!</v>
      </c>
      <c r="D74" s="6" t="e">
        <f>D54+D69</f>
        <v>#REF!</v>
      </c>
      <c r="G74" s="6" t="e">
        <f>G54+G69</f>
        <v>#REF!</v>
      </c>
      <c r="H74" s="6" t="e">
        <f>H54+H69</f>
        <v>#REF!</v>
      </c>
      <c r="I74" s="6" t="e">
        <f>SUM(B74:H74)</f>
        <v>#REF!</v>
      </c>
      <c r="J74" s="6" t="e">
        <f>I74-J54</f>
        <v>#REF!</v>
      </c>
    </row>
    <row r="75" spans="1:10" hidden="1" x14ac:dyDescent="0.25">
      <c r="A75">
        <v>2009</v>
      </c>
      <c r="B75" s="6" t="e">
        <f>B55+B70</f>
        <v>#REF!</v>
      </c>
      <c r="C75" s="6" t="e">
        <f>C55+C70</f>
        <v>#REF!</v>
      </c>
      <c r="G75" s="6" t="e">
        <f>G55+G70</f>
        <v>#REF!</v>
      </c>
      <c r="H75" s="6" t="e">
        <f>H55+H70</f>
        <v>#REF!</v>
      </c>
      <c r="I75" s="6" t="e">
        <f>SUM(B75:H75)</f>
        <v>#REF!</v>
      </c>
      <c r="J75" s="6" t="e">
        <f>I75-J55</f>
        <v>#REF!</v>
      </c>
    </row>
    <row r="76" spans="1:10" hidden="1" x14ac:dyDescent="0.25"/>
    <row r="77" spans="1:10" hidden="1" x14ac:dyDescent="0.25">
      <c r="A77" t="s">
        <v>24</v>
      </c>
    </row>
    <row r="78" spans="1:10" hidden="1" x14ac:dyDescent="0.25">
      <c r="D78" s="16" t="e">
        <f>(D53-D73)/D53</f>
        <v>#REF!</v>
      </c>
      <c r="E78" s="16"/>
      <c r="F78" s="16"/>
    </row>
    <row r="79" spans="1:10" hidden="1" x14ac:dyDescent="0.25">
      <c r="A79">
        <v>2008</v>
      </c>
      <c r="B79" s="16" t="e">
        <f>(B54-B74)/B54</f>
        <v>#REF!</v>
      </c>
      <c r="C79" s="16" t="e">
        <f>(C54-C74)/C54</f>
        <v>#REF!</v>
      </c>
      <c r="D79" s="16" t="e">
        <f>(D54-D74)/D54</f>
        <v>#REF!</v>
      </c>
      <c r="E79" s="16"/>
      <c r="F79" s="16"/>
      <c r="G79" s="16" t="e">
        <f>(G54-G74)/G54</f>
        <v>#REF!</v>
      </c>
      <c r="H79" s="16" t="e">
        <f>(H54-H74)/H54</f>
        <v>#REF!</v>
      </c>
    </row>
    <row r="80" spans="1:10" hidden="1" x14ac:dyDescent="0.25">
      <c r="A80">
        <v>2009</v>
      </c>
      <c r="B80" s="16" t="e">
        <f>(B55-B75)/B55</f>
        <v>#REF!</v>
      </c>
      <c r="C80" s="16" t="e">
        <f>(C55-C75)/C55</f>
        <v>#REF!</v>
      </c>
      <c r="G80" s="16" t="e">
        <f>(G55-G75)/G55</f>
        <v>#REF!</v>
      </c>
      <c r="H80" s="16" t="e">
        <f>(H55-H75)/H55</f>
        <v>#REF!</v>
      </c>
    </row>
    <row r="81" hidden="1" x14ac:dyDescent="0.25"/>
    <row r="82" hidden="1" x14ac:dyDescent="0.25"/>
    <row r="83" hidden="1" x14ac:dyDescent="0.25"/>
  </sheetData>
  <mergeCells count="2">
    <mergeCell ref="B1:E1"/>
    <mergeCell ref="F1:H1"/>
  </mergeCells>
  <pageMargins left="0.38" right="0.75" top="0.73" bottom="0.74" header="0.5" footer="0.5"/>
  <pageSetup scale="70" orientation="portrait" r:id="rId1"/>
  <headerFooter alignWithMargins="0"/>
  <ignoredErrors>
    <ignoredError sqref="I3:I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opLeftCell="A6" zoomScaleNormal="100" workbookViewId="0">
      <selection activeCell="R79" sqref="R79"/>
    </sheetView>
  </sheetViews>
  <sheetFormatPr defaultColWidth="9.33203125" defaultRowHeight="13.2" x14ac:dyDescent="0.25"/>
  <cols>
    <col min="1" max="1" width="11" customWidth="1"/>
    <col min="2" max="2" width="14.33203125" style="6" bestFit="1" customWidth="1"/>
    <col min="3" max="4" width="14.33203125" style="6" customWidth="1"/>
    <col min="5" max="5" width="17.6640625" style="6" customWidth="1"/>
    <col min="6" max="7" width="12.6640625" style="6" bestFit="1" customWidth="1"/>
    <col min="8" max="8" width="11.6640625" style="6" bestFit="1" customWidth="1"/>
    <col min="9" max="9" width="10.6640625" style="6" bestFit="1" customWidth="1"/>
    <col min="10" max="11" width="9.33203125" style="6"/>
  </cols>
  <sheetData>
    <row r="1" spans="1:6" ht="42" customHeight="1" x14ac:dyDescent="0.25">
      <c r="A1" t="s">
        <v>170</v>
      </c>
      <c r="B1" s="8" t="str">
        <f>'Rate Class Customer Model'!D2</f>
        <v>GS&gt;50 to 999</v>
      </c>
      <c r="C1" s="8" t="str">
        <f>'Rate Class Customer Model'!E2</f>
        <v>GS&gt; 1000 to 4999</v>
      </c>
      <c r="D1" s="8" t="str">
        <f>'Rate Class Customer Model'!F2</f>
        <v>Sentinels</v>
      </c>
      <c r="E1" s="8" t="str">
        <f>'Rate Class Customer Model'!G2</f>
        <v>Streetlights</v>
      </c>
      <c r="F1" s="6" t="s">
        <v>11</v>
      </c>
    </row>
    <row r="2" spans="1:6" x14ac:dyDescent="0.25">
      <c r="A2" s="31">
        <v>2010</v>
      </c>
      <c r="B2" s="151">
        <v>320892.79120000004</v>
      </c>
      <c r="C2" s="152">
        <v>285634.91000000003</v>
      </c>
      <c r="D2" s="152">
        <v>585.82999999999993</v>
      </c>
      <c r="E2" s="151">
        <v>7569.3000000000011</v>
      </c>
      <c r="F2" s="6">
        <f t="shared" ref="F2:F13" si="0">SUM(B2:E2)</f>
        <v>614682.83120000002</v>
      </c>
    </row>
    <row r="3" spans="1:6" x14ac:dyDescent="0.25">
      <c r="A3" s="31">
        <v>2011</v>
      </c>
      <c r="B3" s="151">
        <v>318710.76</v>
      </c>
      <c r="C3" s="152">
        <v>294618.27999999997</v>
      </c>
      <c r="D3" s="152">
        <v>530.20999999999992</v>
      </c>
      <c r="E3" s="151">
        <v>7634.1600000000008</v>
      </c>
      <c r="F3" s="6">
        <f t="shared" si="0"/>
        <v>621493.41</v>
      </c>
    </row>
    <row r="4" spans="1:6" x14ac:dyDescent="0.25">
      <c r="A4" s="31">
        <v>2012</v>
      </c>
      <c r="B4" s="151">
        <v>313359.68</v>
      </c>
      <c r="C4" s="152">
        <v>289208.77999999997</v>
      </c>
      <c r="D4" s="152">
        <v>649.59999999999991</v>
      </c>
      <c r="E4" s="152">
        <v>7680.7800000000007</v>
      </c>
      <c r="F4" s="6">
        <f t="shared" si="0"/>
        <v>610898.84</v>
      </c>
    </row>
    <row r="5" spans="1:6" x14ac:dyDescent="0.25">
      <c r="A5" s="31">
        <v>2013</v>
      </c>
      <c r="B5" s="151">
        <v>321135.30999999994</v>
      </c>
      <c r="C5" s="151">
        <v>296491.61</v>
      </c>
      <c r="D5" s="151">
        <v>675.93</v>
      </c>
      <c r="E5" s="151">
        <v>7730.8799999999992</v>
      </c>
      <c r="F5" s="6">
        <f t="shared" si="0"/>
        <v>626033.73</v>
      </c>
    </row>
    <row r="6" spans="1:6" x14ac:dyDescent="0.25">
      <c r="A6" s="31">
        <v>2014</v>
      </c>
      <c r="B6" s="151">
        <v>362945.97000000003</v>
      </c>
      <c r="C6" s="151">
        <v>307814.96999999991</v>
      </c>
      <c r="D6" s="151">
        <f>+D5/D4*D5</f>
        <v>703.32722429187197</v>
      </c>
      <c r="E6" s="151">
        <v>7764.2099999999982</v>
      </c>
      <c r="F6" s="6">
        <f t="shared" si="0"/>
        <v>679228.47722429177</v>
      </c>
    </row>
    <row r="7" spans="1:6" x14ac:dyDescent="0.25">
      <c r="A7" s="31">
        <v>2015</v>
      </c>
      <c r="B7" s="151">
        <v>394735</v>
      </c>
      <c r="C7" s="151">
        <v>289796</v>
      </c>
      <c r="D7" s="151">
        <v>750</v>
      </c>
      <c r="E7" s="151">
        <v>7730</v>
      </c>
      <c r="F7" s="6">
        <f t="shared" si="0"/>
        <v>693011</v>
      </c>
    </row>
    <row r="8" spans="1:6" x14ac:dyDescent="0.25">
      <c r="A8" s="31">
        <v>2016</v>
      </c>
      <c r="B8" s="151">
        <v>390924</v>
      </c>
      <c r="C8" s="151">
        <v>273610</v>
      </c>
      <c r="D8" s="151">
        <v>739</v>
      </c>
      <c r="E8" s="151">
        <v>5129</v>
      </c>
      <c r="F8" s="6">
        <f t="shared" si="0"/>
        <v>670402</v>
      </c>
    </row>
    <row r="9" spans="1:6" x14ac:dyDescent="0.25">
      <c r="A9" s="31">
        <v>2017</v>
      </c>
      <c r="B9" s="151">
        <v>394783</v>
      </c>
      <c r="C9" s="151">
        <v>262132</v>
      </c>
      <c r="D9" s="151">
        <v>704</v>
      </c>
      <c r="E9" s="151">
        <v>3155</v>
      </c>
      <c r="F9" s="6">
        <f t="shared" si="0"/>
        <v>660774</v>
      </c>
    </row>
    <row r="10" spans="1:6" x14ac:dyDescent="0.25">
      <c r="A10" s="31">
        <v>2018</v>
      </c>
      <c r="B10" s="151">
        <v>410875</v>
      </c>
      <c r="C10" s="151">
        <v>248453</v>
      </c>
      <c r="D10" s="151">
        <v>695</v>
      </c>
      <c r="E10" s="151">
        <v>3043</v>
      </c>
      <c r="F10" s="6">
        <f t="shared" si="0"/>
        <v>663066</v>
      </c>
    </row>
    <row r="11" spans="1:6" x14ac:dyDescent="0.25">
      <c r="A11" s="31">
        <v>2019</v>
      </c>
      <c r="B11" s="151">
        <v>418610</v>
      </c>
      <c r="C11" s="151">
        <v>219090.77000000002</v>
      </c>
      <c r="D11" s="151">
        <v>679.7399999999999</v>
      </c>
      <c r="E11" s="151">
        <v>3104.73</v>
      </c>
      <c r="F11" s="6">
        <f t="shared" si="0"/>
        <v>641485.24</v>
      </c>
    </row>
    <row r="12" spans="1:6" x14ac:dyDescent="0.25">
      <c r="A12" s="31">
        <v>2020</v>
      </c>
      <c r="B12" s="99">
        <f>('Rate Class Energy Model'!J30 - 'Rate Class Energy Model'!J50)*'Rate Class Load Model'!B30+B33</f>
        <v>396698.70517665747</v>
      </c>
      <c r="C12" s="99">
        <f>('Rate Class Energy Model'!K30 - 'Rate Class Energy Model'!K50)*'Rate Class Load Model'!C30+C33</f>
        <v>174827.028646691</v>
      </c>
      <c r="D12" s="99">
        <f>'Rate Class Energy Model'!L30*'Rate Class Load Model'!D30</f>
        <v>679.7399999999999</v>
      </c>
      <c r="E12" s="99">
        <f>'Rate Class Energy Model'!M30*'Rate Class Load Model'!E30</f>
        <v>3104.73</v>
      </c>
      <c r="F12" s="6">
        <f t="shared" si="0"/>
        <v>575310.20382334851</v>
      </c>
    </row>
    <row r="13" spans="1:6" x14ac:dyDescent="0.25">
      <c r="A13" s="31">
        <v>2021</v>
      </c>
      <c r="B13" s="99">
        <f>('Rate Class Energy Model'!J31 - 'Rate Class Energy Model'!J51)*'Rate Class Load Model'!B30+B34</f>
        <v>385776.87997404096</v>
      </c>
      <c r="C13" s="99">
        <f>('Rate Class Energy Model'!K31 - 'Rate Class Energy Model'!K51)*'Rate Class Load Model'!C30+C34</f>
        <v>170313.25451271731</v>
      </c>
      <c r="D13" s="99">
        <f>'Rate Class Energy Model'!L31*'Rate Class Load Model'!D30</f>
        <v>679.7399999999999</v>
      </c>
      <c r="E13" s="99">
        <f>'Rate Class Energy Model'!M31*'Rate Class Load Model'!E30</f>
        <v>3104.73</v>
      </c>
      <c r="F13" s="6">
        <f t="shared" si="0"/>
        <v>559874.60448675824</v>
      </c>
    </row>
    <row r="14" spans="1:6" x14ac:dyDescent="0.25">
      <c r="A14" s="4"/>
      <c r="B14" s="29"/>
      <c r="C14" s="29"/>
      <c r="D14" s="29"/>
      <c r="E14" s="29"/>
    </row>
    <row r="15" spans="1:6" x14ac:dyDescent="0.25">
      <c r="A15" s="4"/>
      <c r="B15" s="29"/>
      <c r="C15" s="29"/>
      <c r="D15" s="29"/>
      <c r="E15" s="29"/>
    </row>
    <row r="16" spans="1:6" x14ac:dyDescent="0.25">
      <c r="A16" s="166" t="s">
        <v>175</v>
      </c>
      <c r="B16" s="29"/>
      <c r="C16" s="29"/>
      <c r="D16" s="29"/>
      <c r="E16" s="29"/>
    </row>
    <row r="17" spans="1:9" x14ac:dyDescent="0.25">
      <c r="A17" s="4">
        <v>2010</v>
      </c>
      <c r="B17" s="29">
        <f>B2/'Rate Class Energy Model'!J3</f>
        <v>2.7778810763578105E-3</v>
      </c>
      <c r="C17" s="29">
        <f>C2/'Rate Class Energy Model'!K3</f>
        <v>2.7935744311115723E-3</v>
      </c>
      <c r="D17" s="29">
        <f>D2/'Rate Class Energy Model'!L3</f>
        <v>1.0254219505516373E-3</v>
      </c>
      <c r="E17" s="29">
        <f>E2/'Rate Class Energy Model'!M3</f>
        <v>2.7948502179165687E-3</v>
      </c>
    </row>
    <row r="18" spans="1:9" x14ac:dyDescent="0.25">
      <c r="A18" s="4">
        <v>2011</v>
      </c>
      <c r="B18" s="29">
        <f>B3/'Rate Class Energy Model'!J4</f>
        <v>2.775400450770077E-3</v>
      </c>
      <c r="C18" s="29">
        <f>C3/'Rate Class Energy Model'!K4</f>
        <v>2.7991535907544197E-3</v>
      </c>
      <c r="D18" s="29">
        <f>D3/'Rate Class Energy Model'!L4</f>
        <v>1.2186046297828523E-3</v>
      </c>
      <c r="E18" s="29">
        <f>E3/'Rate Class Energy Model'!M4</f>
        <v>2.7829376035742176E-3</v>
      </c>
    </row>
    <row r="19" spans="1:9" x14ac:dyDescent="0.25">
      <c r="A19" s="4">
        <v>2012</v>
      </c>
      <c r="B19" s="29">
        <f>B4/'Rate Class Energy Model'!J5</f>
        <v>2.7975104624366762E-3</v>
      </c>
      <c r="C19" s="29">
        <f>C4/'Rate Class Energy Model'!K5</f>
        <v>2.8433625316249492E-3</v>
      </c>
      <c r="D19" s="29">
        <f>D4/'Rate Class Energy Model'!L5</f>
        <v>1.4782250240331033E-3</v>
      </c>
      <c r="E19" s="29">
        <f>E4/'Rate Class Energy Model'!M5</f>
        <v>2.7805102607278897E-3</v>
      </c>
    </row>
    <row r="20" spans="1:9" x14ac:dyDescent="0.25">
      <c r="A20" s="4">
        <v>2013</v>
      </c>
      <c r="B20" s="29">
        <f>B5/'Rate Class Energy Model'!J6</f>
        <v>2.790091153195643E-3</v>
      </c>
      <c r="C20" s="29">
        <f>C5/'Rate Class Energy Model'!K6</f>
        <v>2.6564422142921159E-3</v>
      </c>
      <c r="D20" s="29">
        <f>D5/'Rate Class Energy Model'!L6</f>
        <v>1.5229122574969144E-3</v>
      </c>
      <c r="E20" s="29">
        <f>E5/'Rate Class Energy Model'!M6</f>
        <v>2.7916860097411309E-3</v>
      </c>
    </row>
    <row r="21" spans="1:9" x14ac:dyDescent="0.25">
      <c r="A21" s="4">
        <v>2014</v>
      </c>
      <c r="B21" s="29">
        <f>B6/'Rate Class Energy Model'!J7</f>
        <v>2.8793455306234195E-3</v>
      </c>
      <c r="C21" s="29">
        <f>C6/'Rate Class Energy Model'!K7</f>
        <v>2.6381577503899615E-3</v>
      </c>
      <c r="D21" s="29">
        <f>D6/'Rate Class Energy Model'!L7</f>
        <v>1.5689504008710455E-3</v>
      </c>
      <c r="E21" s="29">
        <f>E6/'Rate Class Energy Model'!M7</f>
        <v>2.7902686800812039E-3</v>
      </c>
    </row>
    <row r="22" spans="1:9" x14ac:dyDescent="0.25">
      <c r="A22" s="4">
        <v>2015</v>
      </c>
      <c r="B22" s="29">
        <f>B7/'Rate Class Energy Model'!J8</f>
        <v>2.8181997466957933E-3</v>
      </c>
      <c r="C22" s="29">
        <f>C7/'Rate Class Energy Model'!K8</f>
        <v>2.5848572264106267E-3</v>
      </c>
      <c r="D22" s="29">
        <f>D7/'Rate Class Energy Model'!L8</f>
        <v>2.2939708329255161E-3</v>
      </c>
      <c r="E22" s="29">
        <f>E7/'Rate Class Energy Model'!M8</f>
        <v>2.7954942274671592E-3</v>
      </c>
    </row>
    <row r="23" spans="1:9" x14ac:dyDescent="0.25">
      <c r="A23" s="4">
        <v>2016</v>
      </c>
      <c r="B23" s="29">
        <f>B8/'Rate Class Energy Model'!J9</f>
        <v>2.8474451146402874E-3</v>
      </c>
      <c r="C23" s="29">
        <f>C8/'Rate Class Energy Model'!K9</f>
        <v>2.5524977876129106E-3</v>
      </c>
      <c r="D23" s="29">
        <f>D8/'Rate Class Energy Model'!L9</f>
        <v>2.7051760743831907E-3</v>
      </c>
      <c r="E23" s="29">
        <f>E8/'Rate Class Energy Model'!M9</f>
        <v>2.7981771749703626E-3</v>
      </c>
    </row>
    <row r="24" spans="1:9" x14ac:dyDescent="0.25">
      <c r="A24" s="4">
        <v>2017</v>
      </c>
      <c r="B24" s="29">
        <f>B9/'Rate Class Energy Model'!J10</f>
        <v>2.9162460039504276E-3</v>
      </c>
      <c r="C24" s="29">
        <f>C9/'Rate Class Energy Model'!K10</f>
        <v>2.6395406700591983E-3</v>
      </c>
      <c r="D24" s="29">
        <f>D9/'Rate Class Energy Model'!L10</f>
        <v>2.7052159945895682E-3</v>
      </c>
      <c r="E24" s="29">
        <f>E9/'Rate Class Energy Model'!M10</f>
        <v>2.7959943282523927E-3</v>
      </c>
    </row>
    <row r="25" spans="1:9" x14ac:dyDescent="0.25">
      <c r="A25" s="4">
        <v>2018</v>
      </c>
      <c r="B25" s="29">
        <f>B10/'Rate Class Energy Model'!J11</f>
        <v>2.8353017889703666E-3</v>
      </c>
      <c r="C25" s="29">
        <f>C10/'Rate Class Energy Model'!K11</f>
        <v>2.7055941111824473E-3</v>
      </c>
      <c r="D25" s="29">
        <f>D10/'Rate Class Energy Model'!L11</f>
        <v>2.653542765946074E-3</v>
      </c>
      <c r="E25" s="29">
        <f>E10/'Rate Class Energy Model'!M11</f>
        <v>2.7822172159176106E-3</v>
      </c>
    </row>
    <row r="26" spans="1:9" x14ac:dyDescent="0.25">
      <c r="A26" s="4">
        <v>2019</v>
      </c>
      <c r="B26" s="29">
        <f>B11/'Rate Class Energy Model'!J12</f>
        <v>2.7839526506556861E-3</v>
      </c>
      <c r="C26" s="29">
        <f>C11/'Rate Class Energy Model'!K12</f>
        <v>2.4718001445322543E-3</v>
      </c>
      <c r="D26" s="29">
        <f>D11/'Rate Class Energy Model'!L12</f>
        <v>2.6986770670056328E-3</v>
      </c>
      <c r="E26" s="29">
        <f>E11/'Rate Class Energy Model'!M12</f>
        <v>3.1693729102012132E-3</v>
      </c>
    </row>
    <row r="27" spans="1:9" x14ac:dyDescent="0.25">
      <c r="B27" s="203"/>
      <c r="C27" s="203"/>
      <c r="D27" s="203"/>
      <c r="E27" s="203"/>
      <c r="F27" s="204"/>
      <c r="G27" s="28"/>
      <c r="H27" s="28"/>
      <c r="I27" s="28"/>
    </row>
    <row r="28" spans="1:9" x14ac:dyDescent="0.25">
      <c r="A28" t="s">
        <v>16</v>
      </c>
      <c r="B28" s="29">
        <f>AVERAGE(B17:B26)</f>
        <v>2.8221373978296184E-3</v>
      </c>
      <c r="C28" s="29">
        <f t="shared" ref="C28:E28" si="1">AVERAGE(C17:C26)</f>
        <v>2.6684980457970455E-3</v>
      </c>
      <c r="D28" s="29">
        <f t="shared" si="1"/>
        <v>1.9870696997585533E-3</v>
      </c>
      <c r="E28" s="29">
        <f t="shared" si="1"/>
        <v>2.828150862884975E-3</v>
      </c>
    </row>
    <row r="30" spans="1:9" x14ac:dyDescent="0.25">
      <c r="A30" t="s">
        <v>198</v>
      </c>
      <c r="B30" s="29">
        <f>B26</f>
        <v>2.7839526506556861E-3</v>
      </c>
      <c r="C30" s="29">
        <f t="shared" ref="C30:E30" si="2">C26</f>
        <v>2.4718001445322543E-3</v>
      </c>
      <c r="D30" s="29">
        <f t="shared" si="2"/>
        <v>2.6986770670056328E-3</v>
      </c>
      <c r="E30" s="29">
        <f t="shared" si="2"/>
        <v>3.1693729102012132E-3</v>
      </c>
    </row>
    <row r="32" spans="1:9" x14ac:dyDescent="0.25">
      <c r="A32" t="s">
        <v>217</v>
      </c>
      <c r="B32" s="27"/>
      <c r="E32" s="27"/>
    </row>
    <row r="33" spans="1:6" x14ac:dyDescent="0.25">
      <c r="A33">
        <v>2020</v>
      </c>
      <c r="B33" s="37">
        <f>B39</f>
        <v>3776.37</v>
      </c>
      <c r="C33" s="37">
        <f>C39</f>
        <v>-29200.050000000003</v>
      </c>
      <c r="D33" s="27"/>
      <c r="E33" s="27"/>
    </row>
    <row r="34" spans="1:6" x14ac:dyDescent="0.25">
      <c r="A34">
        <v>2021</v>
      </c>
      <c r="B34" s="6">
        <f>B33</f>
        <v>3776.37</v>
      </c>
      <c r="C34" s="37">
        <f>C33</f>
        <v>-29200.050000000003</v>
      </c>
    </row>
    <row r="35" spans="1:6" x14ac:dyDescent="0.25">
      <c r="D35" s="233" t="s">
        <v>219</v>
      </c>
      <c r="F35" s="233" t="s">
        <v>220</v>
      </c>
    </row>
    <row r="36" spans="1:6" x14ac:dyDescent="0.25">
      <c r="C36" s="37">
        <f>-759*12</f>
        <v>-9108</v>
      </c>
      <c r="D36" s="233">
        <v>1</v>
      </c>
      <c r="F36" s="233"/>
    </row>
    <row r="37" spans="1:6" x14ac:dyDescent="0.25">
      <c r="B37" s="6">
        <v>629.97</v>
      </c>
      <c r="C37" s="37">
        <v>-16945.650000000001</v>
      </c>
      <c r="D37" s="233">
        <v>2</v>
      </c>
      <c r="F37" s="233"/>
    </row>
    <row r="38" spans="1:6" x14ac:dyDescent="0.25">
      <c r="B38" s="6">
        <v>3146.3999999999996</v>
      </c>
      <c r="C38" s="37">
        <v>-3146.4</v>
      </c>
      <c r="D38" s="233">
        <v>3</v>
      </c>
      <c r="F38" s="233"/>
    </row>
    <row r="39" spans="1:6" x14ac:dyDescent="0.25">
      <c r="B39" s="37">
        <f>SUM(B36:B38)</f>
        <v>3776.37</v>
      </c>
      <c r="C39" s="37">
        <f>SUM(C36:C38)</f>
        <v>-29200.050000000003</v>
      </c>
      <c r="D39" s="233" t="s">
        <v>221</v>
      </c>
    </row>
    <row r="52" spans="2:5" x14ac:dyDescent="0.25">
      <c r="B52" s="16"/>
      <c r="C52" s="16"/>
      <c r="D52" s="16"/>
      <c r="E52" s="16"/>
    </row>
    <row r="53" spans="2:5" x14ac:dyDescent="0.25">
      <c r="B53" s="16"/>
      <c r="C53" s="16"/>
      <c r="D53" s="16"/>
      <c r="E53" s="16"/>
    </row>
  </sheetData>
  <pageMargins left="0.39370078740157499" right="0.74803149606299202" top="0.74803149606299202" bottom="0.74803149606299202" header="0.511811023622047" footer="0.511811023622047"/>
  <pageSetup orientation="portrait" horizontalDpi="300" verticalDpi="300" r:id="rId1"/>
  <headerFooter alignWithMargins="0"/>
  <ignoredErrors>
    <ignoredError sqref="F2:F6 F7:F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4"/>
  <sheetViews>
    <sheetView workbookViewId="0">
      <pane xSplit="1" ySplit="2" topLeftCell="B3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2.44140625" style="1" customWidth="1"/>
    <col min="6" max="6" width="14.44140625" style="35" customWidth="1"/>
    <col min="7" max="7" width="10.33203125" style="1" customWidth="1"/>
    <col min="8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78</v>
      </c>
      <c r="C2" s="12" t="s">
        <v>3</v>
      </c>
      <c r="D2" s="12" t="s">
        <v>4</v>
      </c>
      <c r="E2" s="12" t="s">
        <v>26</v>
      </c>
      <c r="F2" s="33" t="s">
        <v>7</v>
      </c>
      <c r="G2" s="12" t="s">
        <v>5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43446520.175941855</v>
      </c>
      <c r="C3" s="59">
        <v>829.5</v>
      </c>
      <c r="D3" s="59">
        <v>0</v>
      </c>
      <c r="E3" s="61">
        <v>0</v>
      </c>
      <c r="F3" s="62">
        <v>125.66024937363977</v>
      </c>
      <c r="G3" s="61">
        <v>31</v>
      </c>
      <c r="H3" s="45">
        <v>50170</v>
      </c>
      <c r="I3" s="61">
        <v>351.91199999999998</v>
      </c>
      <c r="J3" s="10">
        <f>$N$18+C3*$N$19+D3*$N$20+E3*$N$21+F3*$N$22+G3*$N$23+H3*$N$24+I3*$N$25</f>
        <v>45438721.592239544</v>
      </c>
      <c r="K3" s="10"/>
      <c r="L3" s="14"/>
    </row>
    <row r="4" spans="1:27" x14ac:dyDescent="0.25">
      <c r="A4" s="3">
        <v>37653</v>
      </c>
      <c r="B4" s="44">
        <v>41424649.187225088</v>
      </c>
      <c r="C4" s="59">
        <v>699.2</v>
      </c>
      <c r="D4" s="59">
        <v>0</v>
      </c>
      <c r="E4" s="61">
        <v>0</v>
      </c>
      <c r="F4" s="62">
        <v>125.80592062045517</v>
      </c>
      <c r="G4" s="61">
        <v>28</v>
      </c>
      <c r="H4" s="45">
        <v>50392</v>
      </c>
      <c r="I4" s="61">
        <v>319.87200000000001</v>
      </c>
      <c r="J4" s="10">
        <f t="shared" ref="J4:J67" si="0">$N$18+C4*$N$19+D4*$N$20+E4*$N$21+F4*$N$22+G4*$N$23+H4*$N$24+I4*$N$25</f>
        <v>44186219.902829319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39855061.856951609</v>
      </c>
      <c r="C5" s="59">
        <v>593.1</v>
      </c>
      <c r="D5" s="59">
        <v>0</v>
      </c>
      <c r="E5" s="61">
        <v>1</v>
      </c>
      <c r="F5" s="62">
        <v>125.9517607362029</v>
      </c>
      <c r="G5" s="61">
        <v>31</v>
      </c>
      <c r="H5" s="45">
        <v>50438</v>
      </c>
      <c r="I5" s="61">
        <v>336.28800000000001</v>
      </c>
      <c r="J5" s="10">
        <f t="shared" si="0"/>
        <v>41572854.200582579</v>
      </c>
      <c r="K5" s="10"/>
      <c r="L5" s="14"/>
      <c r="M5" s="36" t="s">
        <v>29</v>
      </c>
      <c r="N5" s="58">
        <v>0.86182872144808842</v>
      </c>
    </row>
    <row r="6" spans="1:27" x14ac:dyDescent="0.25">
      <c r="A6" s="3">
        <v>37712</v>
      </c>
      <c r="B6" s="44">
        <v>36478558.175559379</v>
      </c>
      <c r="C6" s="59">
        <v>387.1</v>
      </c>
      <c r="D6" s="59">
        <v>0</v>
      </c>
      <c r="E6" s="61">
        <v>1</v>
      </c>
      <c r="F6" s="62">
        <v>126.09776991664374</v>
      </c>
      <c r="G6" s="61">
        <v>30</v>
      </c>
      <c r="H6" s="45">
        <v>50542</v>
      </c>
      <c r="I6" s="61">
        <v>336.24</v>
      </c>
      <c r="J6" s="10">
        <f t="shared" si="0"/>
        <v>39592690.363142014</v>
      </c>
      <c r="K6" s="10"/>
      <c r="L6" s="14"/>
      <c r="M6" s="36" t="s">
        <v>30</v>
      </c>
      <c r="N6" s="58">
        <v>0.74274874511284672</v>
      </c>
    </row>
    <row r="7" spans="1:27" x14ac:dyDescent="0.25">
      <c r="A7" s="3">
        <v>37742</v>
      </c>
      <c r="B7" s="44">
        <v>37530913.023522653</v>
      </c>
      <c r="C7" s="59">
        <v>215.8</v>
      </c>
      <c r="D7" s="59">
        <v>0</v>
      </c>
      <c r="E7" s="61">
        <v>1</v>
      </c>
      <c r="F7" s="62">
        <v>126.2439483577654</v>
      </c>
      <c r="G7" s="61">
        <v>31</v>
      </c>
      <c r="H7" s="45">
        <v>50637</v>
      </c>
      <c r="I7" s="61">
        <v>336.28800000000001</v>
      </c>
      <c r="J7" s="10">
        <f t="shared" si="0"/>
        <v>37946078.395406246</v>
      </c>
      <c r="K7" s="10"/>
      <c r="L7" s="14"/>
      <c r="M7" s="36" t="s">
        <v>31</v>
      </c>
      <c r="N7" s="58">
        <v>0.73436011723609174</v>
      </c>
    </row>
    <row r="8" spans="1:27" x14ac:dyDescent="0.25">
      <c r="A8" s="3">
        <v>37773</v>
      </c>
      <c r="B8" s="44">
        <v>40980738.850640655</v>
      </c>
      <c r="C8" s="59">
        <v>54.5</v>
      </c>
      <c r="D8" s="59">
        <v>41.4</v>
      </c>
      <c r="E8" s="61">
        <v>0</v>
      </c>
      <c r="F8" s="62">
        <v>126.3902962557828</v>
      </c>
      <c r="G8" s="61">
        <v>30</v>
      </c>
      <c r="H8" s="45">
        <v>50793</v>
      </c>
      <c r="I8" s="61">
        <v>336.24</v>
      </c>
      <c r="J8" s="10">
        <f t="shared" si="0"/>
        <v>45135420.494667485</v>
      </c>
      <c r="K8" s="10"/>
      <c r="L8" s="14"/>
      <c r="M8" s="36" t="s">
        <v>32</v>
      </c>
      <c r="N8" s="36">
        <v>3236890.8927269015</v>
      </c>
    </row>
    <row r="9" spans="1:27" ht="13.8" thickBot="1" x14ac:dyDescent="0.3">
      <c r="A9" s="3">
        <v>37803</v>
      </c>
      <c r="B9" s="44">
        <v>53492896.003059857</v>
      </c>
      <c r="C9" s="59">
        <v>6.5</v>
      </c>
      <c r="D9" s="59">
        <v>83.9</v>
      </c>
      <c r="E9" s="61">
        <v>0</v>
      </c>
      <c r="F9" s="62">
        <v>126.5368138071383</v>
      </c>
      <c r="G9" s="61">
        <v>31</v>
      </c>
      <c r="H9" s="45">
        <v>50926</v>
      </c>
      <c r="I9" s="61">
        <v>351.91199999999998</v>
      </c>
      <c r="J9" s="10">
        <f t="shared" si="0"/>
        <v>52010246.219151944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53069636.498374447</v>
      </c>
      <c r="C10" s="59">
        <v>5.7</v>
      </c>
      <c r="D10" s="59">
        <v>102.6</v>
      </c>
      <c r="E10" s="61">
        <v>0</v>
      </c>
      <c r="F10" s="62">
        <v>126.68350120850199</v>
      </c>
      <c r="G10" s="61">
        <v>31</v>
      </c>
      <c r="H10" s="45">
        <v>51033</v>
      </c>
      <c r="I10" s="61">
        <v>319.92</v>
      </c>
      <c r="J10" s="10">
        <f t="shared" si="0"/>
        <v>55230494.436841577</v>
      </c>
      <c r="K10" s="10"/>
      <c r="L10" s="14"/>
    </row>
    <row r="11" spans="1:27" ht="13.8" thickBot="1" x14ac:dyDescent="0.3">
      <c r="A11" s="3">
        <v>37865</v>
      </c>
      <c r="B11" s="44">
        <v>39251960.040160634</v>
      </c>
      <c r="C11" s="59">
        <v>73.900000000000006</v>
      </c>
      <c r="D11" s="59">
        <v>14.8</v>
      </c>
      <c r="E11" s="61">
        <v>1</v>
      </c>
      <c r="F11" s="62">
        <v>126.83035865677196</v>
      </c>
      <c r="G11" s="61">
        <v>30</v>
      </c>
      <c r="H11" s="45">
        <v>51167</v>
      </c>
      <c r="I11" s="61">
        <v>336.24</v>
      </c>
      <c r="J11" s="10">
        <f t="shared" si="0"/>
        <v>39136804.151691951</v>
      </c>
      <c r="K11" s="10"/>
      <c r="L11" s="14"/>
      <c r="M11" t="s">
        <v>34</v>
      </c>
    </row>
    <row r="12" spans="1:27" x14ac:dyDescent="0.25">
      <c r="A12" s="3">
        <v>37895</v>
      </c>
      <c r="B12" s="44">
        <v>37782501.549053349</v>
      </c>
      <c r="C12" s="59">
        <v>293.5</v>
      </c>
      <c r="D12" s="59">
        <v>0</v>
      </c>
      <c r="E12" s="61">
        <v>1</v>
      </c>
      <c r="F12" s="62">
        <v>126.97738634907456</v>
      </c>
      <c r="G12" s="61">
        <v>31</v>
      </c>
      <c r="H12" s="45">
        <v>51290</v>
      </c>
      <c r="I12" s="61">
        <v>351.91199999999998</v>
      </c>
      <c r="J12" s="10">
        <f t="shared" si="0"/>
        <v>38692965.43506223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38643918.932874352</v>
      </c>
      <c r="C13" s="59">
        <v>391.5</v>
      </c>
      <c r="D13" s="59">
        <v>0</v>
      </c>
      <c r="E13" s="61">
        <v>1</v>
      </c>
      <c r="F13" s="62">
        <v>127.12458448276465</v>
      </c>
      <c r="G13" s="61">
        <v>30</v>
      </c>
      <c r="H13" s="45">
        <v>51377</v>
      </c>
      <c r="I13" s="61">
        <v>319.68</v>
      </c>
      <c r="J13" s="10">
        <f t="shared" si="0"/>
        <v>39634985.12471842</v>
      </c>
      <c r="K13" s="10"/>
      <c r="L13" s="14"/>
      <c r="M13" s="36" t="s">
        <v>35</v>
      </c>
      <c r="N13" s="36">
        <v>3</v>
      </c>
      <c r="O13" s="36">
        <v>2783097194431071.5</v>
      </c>
      <c r="P13" s="36">
        <v>927699064810357.13</v>
      </c>
      <c r="Q13" s="36">
        <v>88.542340419106381</v>
      </c>
      <c r="R13" s="36">
        <v>5.0211891734197296E-27</v>
      </c>
    </row>
    <row r="14" spans="1:27" x14ac:dyDescent="0.25">
      <c r="A14" s="3">
        <v>37956</v>
      </c>
      <c r="B14" s="44">
        <v>43629588.410786003</v>
      </c>
      <c r="C14" s="59">
        <v>571</v>
      </c>
      <c r="D14" s="59">
        <v>0</v>
      </c>
      <c r="E14" s="61">
        <v>0</v>
      </c>
      <c r="F14" s="62">
        <v>127.27195325542573</v>
      </c>
      <c r="G14" s="61">
        <v>31</v>
      </c>
      <c r="H14" s="45">
        <v>51456</v>
      </c>
      <c r="I14" s="61">
        <v>336.28800000000001</v>
      </c>
      <c r="J14" s="10">
        <f t="shared" si="0"/>
        <v>42953904.34962602</v>
      </c>
      <c r="K14" s="10"/>
      <c r="L14" s="14"/>
      <c r="M14" s="36" t="s">
        <v>36</v>
      </c>
      <c r="N14" s="36">
        <v>92</v>
      </c>
      <c r="O14" s="36">
        <v>963926563930488.88</v>
      </c>
      <c r="P14" s="36">
        <v>10477462651418.357</v>
      </c>
      <c r="Q14" s="36"/>
      <c r="R14" s="36"/>
    </row>
    <row r="15" spans="1:27" ht="13.8" thickBot="1" x14ac:dyDescent="0.3">
      <c r="A15" s="3">
        <v>37987</v>
      </c>
      <c r="B15" s="44">
        <v>50137810.049722694</v>
      </c>
      <c r="C15" s="59">
        <v>859.1</v>
      </c>
      <c r="D15" s="59">
        <v>0</v>
      </c>
      <c r="E15" s="61">
        <v>0</v>
      </c>
      <c r="F15" s="62">
        <v>127.53411264087498</v>
      </c>
      <c r="G15" s="61">
        <v>31</v>
      </c>
      <c r="H15" s="45">
        <v>51561</v>
      </c>
      <c r="I15" s="61">
        <v>336.28800000000001</v>
      </c>
      <c r="J15" s="10">
        <f t="shared" si="0"/>
        <v>45723249.98829896</v>
      </c>
      <c r="K15" s="10"/>
      <c r="L15" s="14"/>
      <c r="M15" s="48" t="s">
        <v>11</v>
      </c>
      <c r="N15" s="48">
        <v>95</v>
      </c>
      <c r="O15" s="48">
        <v>3747023758361560.5</v>
      </c>
      <c r="P15" s="48"/>
      <c r="Q15" s="48"/>
      <c r="R15" s="48"/>
    </row>
    <row r="16" spans="1:27" ht="13.8" thickBot="1" x14ac:dyDescent="0.3">
      <c r="A16" s="3">
        <v>38018</v>
      </c>
      <c r="B16" s="44">
        <v>41976613.291260272</v>
      </c>
      <c r="C16" s="59">
        <v>647.70000000000005</v>
      </c>
      <c r="D16" s="59">
        <v>0</v>
      </c>
      <c r="E16" s="61">
        <v>0</v>
      </c>
      <c r="F16" s="62">
        <v>127.79681203173486</v>
      </c>
      <c r="G16" s="61">
        <v>29</v>
      </c>
      <c r="H16" s="45">
        <v>51656</v>
      </c>
      <c r="I16" s="61">
        <v>320.16000000000003</v>
      </c>
      <c r="J16" s="10">
        <f t="shared" si="0"/>
        <v>43691178.943469182</v>
      </c>
      <c r="K16" s="10"/>
      <c r="L16" s="14"/>
    </row>
    <row r="17" spans="1:21" x14ac:dyDescent="0.25">
      <c r="A17" s="3">
        <v>38047</v>
      </c>
      <c r="B17" s="44">
        <v>40379087.846624583</v>
      </c>
      <c r="C17" s="59">
        <v>513.6</v>
      </c>
      <c r="D17" s="59">
        <v>0</v>
      </c>
      <c r="E17" s="61">
        <v>1</v>
      </c>
      <c r="F17" s="62">
        <v>128.06005254032812</v>
      </c>
      <c r="G17" s="61">
        <v>31</v>
      </c>
      <c r="H17" s="45">
        <v>51785</v>
      </c>
      <c r="I17" s="61">
        <v>368.28</v>
      </c>
      <c r="J17" s="10">
        <f t="shared" si="0"/>
        <v>40808664.758463524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35176707.219353609</v>
      </c>
      <c r="C18" s="59">
        <v>329.3</v>
      </c>
      <c r="D18" s="59">
        <v>0</v>
      </c>
      <c r="E18" s="61">
        <v>1</v>
      </c>
      <c r="F18" s="62">
        <v>128.32383528126866</v>
      </c>
      <c r="G18" s="61">
        <v>30</v>
      </c>
      <c r="H18" s="45">
        <v>51882</v>
      </c>
      <c r="I18" s="61">
        <v>336.24</v>
      </c>
      <c r="J18" s="10">
        <f t="shared" si="0"/>
        <v>39037090.995161124</v>
      </c>
      <c r="K18" s="10"/>
      <c r="L18" s="14"/>
      <c r="M18" s="36" t="s">
        <v>37</v>
      </c>
      <c r="N18" s="36">
        <v>37465197.790506795</v>
      </c>
      <c r="O18" s="36">
        <v>1560797.1784810978</v>
      </c>
      <c r="P18" s="54">
        <v>24.003886159613867</v>
      </c>
      <c r="Q18" s="36">
        <v>2.1839522499218733E-41</v>
      </c>
      <c r="R18" s="36">
        <v>34365319.941385418</v>
      </c>
      <c r="S18" s="36">
        <v>40565075.639628172</v>
      </c>
      <c r="T18" s="36">
        <v>34365319.941385418</v>
      </c>
      <c r="U18" s="36">
        <v>40565075.639628172</v>
      </c>
    </row>
    <row r="19" spans="1:21" x14ac:dyDescent="0.25">
      <c r="A19" s="3">
        <v>38108</v>
      </c>
      <c r="B19" s="44">
        <v>36196805.134825014</v>
      </c>
      <c r="C19" s="59">
        <v>164.1</v>
      </c>
      <c r="D19" s="59">
        <v>14.2</v>
      </c>
      <c r="E19" s="61">
        <v>1</v>
      </c>
      <c r="F19" s="62">
        <v>128.58816137146633</v>
      </c>
      <c r="G19" s="61">
        <v>31</v>
      </c>
      <c r="H19" s="45">
        <v>51966</v>
      </c>
      <c r="I19" s="61">
        <v>319.92</v>
      </c>
      <c r="J19" s="10">
        <f t="shared" si="0"/>
        <v>39900276.555205807</v>
      </c>
      <c r="K19" s="10"/>
      <c r="L19" s="14"/>
      <c r="M19" s="36" t="s">
        <v>3</v>
      </c>
      <c r="N19" s="36">
        <v>9612.4458128182578</v>
      </c>
      <c r="O19" s="36">
        <v>2350.7351363373718</v>
      </c>
      <c r="P19" s="54">
        <v>4.0891232977421677</v>
      </c>
      <c r="Q19" s="36">
        <v>9.2619175292429066E-5</v>
      </c>
      <c r="R19" s="36">
        <v>4943.6830300876209</v>
      </c>
      <c r="S19" s="36">
        <v>14281.208595548895</v>
      </c>
      <c r="T19" s="36">
        <v>4943.6830300876209</v>
      </c>
      <c r="U19" s="36">
        <v>14281.208595548895</v>
      </c>
    </row>
    <row r="20" spans="1:21" x14ac:dyDescent="0.25">
      <c r="A20" s="3">
        <v>38139</v>
      </c>
      <c r="B20" s="44">
        <v>40747866.532797858</v>
      </c>
      <c r="C20" s="59">
        <v>60.1</v>
      </c>
      <c r="D20" s="59">
        <v>29.2</v>
      </c>
      <c r="E20" s="61">
        <v>0</v>
      </c>
      <c r="F20" s="62">
        <v>128.85303193013166</v>
      </c>
      <c r="G20" s="61">
        <v>30</v>
      </c>
      <c r="H20" s="45">
        <v>52051</v>
      </c>
      <c r="I20" s="61">
        <v>352.08</v>
      </c>
      <c r="J20" s="10">
        <f t="shared" si="0"/>
        <v>43083322.612238169</v>
      </c>
      <c r="K20" s="10"/>
      <c r="L20" s="14"/>
      <c r="M20" s="36" t="s">
        <v>4</v>
      </c>
      <c r="N20" s="36">
        <v>172617.01467058199</v>
      </c>
      <c r="O20" s="36">
        <v>18841.140158891685</v>
      </c>
      <c r="P20" s="54">
        <v>9.161707477088056</v>
      </c>
      <c r="Q20" s="36">
        <v>1.325755736918947E-14</v>
      </c>
      <c r="R20" s="36">
        <v>135196.88485744569</v>
      </c>
      <c r="S20" s="36">
        <v>210037.14448371829</v>
      </c>
      <c r="T20" s="36">
        <v>135196.88485744569</v>
      </c>
      <c r="U20" s="36">
        <v>210037.14448371829</v>
      </c>
    </row>
    <row r="21" spans="1:21" ht="13.8" thickBot="1" x14ac:dyDescent="0.3">
      <c r="A21" s="3">
        <v>38169</v>
      </c>
      <c r="B21" s="44">
        <v>48619398.60393957</v>
      </c>
      <c r="C21" s="59">
        <v>7.7</v>
      </c>
      <c r="D21" s="59">
        <v>71.599999999999994</v>
      </c>
      <c r="E21" s="61">
        <v>0</v>
      </c>
      <c r="F21" s="62">
        <v>129.11844807878055</v>
      </c>
      <c r="G21" s="61">
        <v>31</v>
      </c>
      <c r="H21" s="45">
        <v>52156</v>
      </c>
      <c r="I21" s="61">
        <v>336.28800000000001</v>
      </c>
      <c r="J21" s="10">
        <f t="shared" si="0"/>
        <v>49898591.873679169</v>
      </c>
      <c r="K21" s="10"/>
      <c r="L21" s="14"/>
      <c r="M21" s="48" t="s">
        <v>26</v>
      </c>
      <c r="N21" s="48">
        <v>-1593485.2015067269</v>
      </c>
      <c r="O21" s="48">
        <v>963431.05545995443</v>
      </c>
      <c r="P21" s="55">
        <v>-1.6539691060155586</v>
      </c>
      <c r="Q21" s="48">
        <v>0.10154199807572573</v>
      </c>
      <c r="R21" s="48">
        <v>-3506942.3945049196</v>
      </c>
      <c r="S21" s="48">
        <v>319971.99149146583</v>
      </c>
      <c r="T21" s="48">
        <v>-3506942.3945049196</v>
      </c>
      <c r="U21" s="48">
        <v>319971.99149146583</v>
      </c>
    </row>
    <row r="22" spans="1:21" x14ac:dyDescent="0.25">
      <c r="A22" s="3">
        <v>38200</v>
      </c>
      <c r="B22" s="44">
        <v>47071878.829604134</v>
      </c>
      <c r="C22" s="59">
        <v>28.9</v>
      </c>
      <c r="D22" s="59">
        <v>40</v>
      </c>
      <c r="E22" s="61">
        <v>0</v>
      </c>
      <c r="F22" s="62">
        <v>129.38441094123903</v>
      </c>
      <c r="G22" s="61">
        <v>31</v>
      </c>
      <c r="H22" s="45">
        <v>52296</v>
      </c>
      <c r="I22" s="61">
        <v>336.28800000000001</v>
      </c>
      <c r="J22" s="10">
        <f t="shared" si="0"/>
        <v>44647678.061320521</v>
      </c>
      <c r="K22" s="10"/>
      <c r="L22" s="14"/>
    </row>
    <row r="23" spans="1:21" x14ac:dyDescent="0.25">
      <c r="A23" s="3">
        <v>38231</v>
      </c>
      <c r="B23" s="44">
        <v>43312053.643144004</v>
      </c>
      <c r="C23" s="59">
        <v>43.9</v>
      </c>
      <c r="D23" s="59">
        <v>31.2</v>
      </c>
      <c r="E23" s="61">
        <v>1</v>
      </c>
      <c r="F23" s="62">
        <v>129.65092164364802</v>
      </c>
      <c r="G23" s="61">
        <v>30</v>
      </c>
      <c r="H23" s="45">
        <v>52434</v>
      </c>
      <c r="I23" s="61">
        <v>336.24</v>
      </c>
      <c r="J23" s="10">
        <f t="shared" si="0"/>
        <v>41679349.817904949</v>
      </c>
      <c r="K23" s="10"/>
      <c r="L23" s="14"/>
    </row>
    <row r="24" spans="1:21" x14ac:dyDescent="0.25">
      <c r="A24" s="3">
        <v>38261</v>
      </c>
      <c r="B24" s="44">
        <v>38022363.1956397</v>
      </c>
      <c r="C24" s="59">
        <v>253.5</v>
      </c>
      <c r="D24" s="59">
        <v>0</v>
      </c>
      <c r="E24" s="61">
        <v>1</v>
      </c>
      <c r="F24" s="62">
        <v>129.91798131446814</v>
      </c>
      <c r="G24" s="61">
        <v>31</v>
      </c>
      <c r="H24" s="45">
        <v>52600</v>
      </c>
      <c r="I24" s="61">
        <v>319.92</v>
      </c>
      <c r="J24" s="10">
        <f t="shared" si="0"/>
        <v>38308467.602549501</v>
      </c>
      <c r="K24" s="10"/>
      <c r="L24" s="14"/>
    </row>
    <row r="25" spans="1:21" ht="13.8" thickBot="1" x14ac:dyDescent="0.3">
      <c r="A25" s="3">
        <v>38292</v>
      </c>
      <c r="B25" s="44">
        <v>38493628.60011474</v>
      </c>
      <c r="C25" s="59">
        <v>396</v>
      </c>
      <c r="D25" s="59">
        <v>0</v>
      </c>
      <c r="E25" s="61">
        <v>1</v>
      </c>
      <c r="F25" s="62">
        <v>130.18559108448443</v>
      </c>
      <c r="G25" s="61">
        <v>30</v>
      </c>
      <c r="H25" s="45">
        <v>52687</v>
      </c>
      <c r="I25" s="61">
        <v>352.08</v>
      </c>
      <c r="J25" s="10">
        <f t="shared" si="0"/>
        <v>39678241.130876102</v>
      </c>
      <c r="K25" s="10"/>
      <c r="L25" s="14"/>
      <c r="M25" s="48"/>
      <c r="N25" s="57"/>
      <c r="O25" s="48"/>
      <c r="P25" s="55"/>
      <c r="Q25" s="48"/>
      <c r="R25" s="48"/>
      <c r="S25" s="48"/>
      <c r="T25" s="48"/>
      <c r="U25" s="48"/>
    </row>
    <row r="26" spans="1:21" x14ac:dyDescent="0.25">
      <c r="A26" s="3">
        <v>38322</v>
      </c>
      <c r="B26" s="44">
        <v>47476677.223178424</v>
      </c>
      <c r="C26" s="59">
        <v>636.70000000000005</v>
      </c>
      <c r="D26" s="59">
        <v>0</v>
      </c>
      <c r="E26" s="61">
        <v>0</v>
      </c>
      <c r="F26" s="62">
        <v>130.45375208681136</v>
      </c>
      <c r="G26" s="61">
        <v>31</v>
      </c>
      <c r="H26" s="45">
        <v>52787</v>
      </c>
      <c r="I26" s="61">
        <v>336.28800000000001</v>
      </c>
      <c r="J26" s="10">
        <f t="shared" si="0"/>
        <v>43585442.039528176</v>
      </c>
      <c r="K26" s="10"/>
      <c r="L26" s="14"/>
    </row>
    <row r="27" spans="1:21" x14ac:dyDescent="0.25">
      <c r="A27" s="3">
        <v>38353</v>
      </c>
      <c r="B27" s="44">
        <v>46691245.888315164</v>
      </c>
      <c r="C27" s="59">
        <v>765.8</v>
      </c>
      <c r="D27" s="59">
        <v>0</v>
      </c>
      <c r="E27" s="61">
        <v>0</v>
      </c>
      <c r="F27" s="62">
        <v>130.74370215685079</v>
      </c>
      <c r="G27" s="61">
        <v>31</v>
      </c>
      <c r="H27" s="45">
        <v>52910</v>
      </c>
      <c r="I27" s="61">
        <v>319.92</v>
      </c>
      <c r="J27" s="10">
        <f t="shared" si="0"/>
        <v>44826408.793963015</v>
      </c>
      <c r="K27" s="10"/>
      <c r="L27" s="14"/>
    </row>
    <row r="28" spans="1:21" x14ac:dyDescent="0.25">
      <c r="A28" s="3">
        <v>38384</v>
      </c>
      <c r="B28" s="44">
        <v>41421727.825588062</v>
      </c>
      <c r="C28" s="59">
        <v>641.70000000000005</v>
      </c>
      <c r="D28" s="59">
        <v>0</v>
      </c>
      <c r="E28" s="61">
        <v>0</v>
      </c>
      <c r="F28" s="62">
        <v>131.0342966778299</v>
      </c>
      <c r="G28" s="61">
        <v>28</v>
      </c>
      <c r="H28" s="45">
        <v>53000</v>
      </c>
      <c r="I28" s="61">
        <v>319.87200000000001</v>
      </c>
      <c r="J28" s="10">
        <f t="shared" si="0"/>
        <v>43633504.268592268</v>
      </c>
      <c r="K28" s="10"/>
      <c r="L28" s="14"/>
    </row>
    <row r="29" spans="1:21" x14ac:dyDescent="0.25">
      <c r="A29" s="3">
        <v>38412</v>
      </c>
      <c r="B29" s="44">
        <v>40805161.923886023</v>
      </c>
      <c r="C29" s="59">
        <v>646.9</v>
      </c>
      <c r="D29" s="59">
        <v>0</v>
      </c>
      <c r="E29" s="61">
        <v>1</v>
      </c>
      <c r="F29" s="62">
        <v>131.32553708212293</v>
      </c>
      <c r="G29" s="61">
        <v>31</v>
      </c>
      <c r="H29" s="45">
        <v>53062</v>
      </c>
      <c r="I29" s="61">
        <v>351.91199999999998</v>
      </c>
      <c r="J29" s="10">
        <f t="shared" si="0"/>
        <v>42090003.785312198</v>
      </c>
      <c r="K29" s="10"/>
      <c r="L29" s="14"/>
    </row>
    <row r="30" spans="1:21" x14ac:dyDescent="0.25">
      <c r="A30" s="3">
        <v>38443</v>
      </c>
      <c r="B30" s="44">
        <v>35165396.538535096</v>
      </c>
      <c r="C30" s="59">
        <v>339</v>
      </c>
      <c r="D30" s="59">
        <v>0</v>
      </c>
      <c r="E30" s="61">
        <v>1</v>
      </c>
      <c r="F30" s="62">
        <v>131.61742480528775</v>
      </c>
      <c r="G30" s="61">
        <v>30</v>
      </c>
      <c r="H30" s="45">
        <v>53163</v>
      </c>
      <c r="I30" s="61">
        <v>336.24</v>
      </c>
      <c r="J30" s="10">
        <f t="shared" si="0"/>
        <v>39130331.719545461</v>
      </c>
      <c r="K30" s="10"/>
      <c r="L30" s="14"/>
    </row>
    <row r="31" spans="1:21" x14ac:dyDescent="0.25">
      <c r="A31" s="3">
        <v>38473</v>
      </c>
      <c r="B31" s="44">
        <v>36853618.722509086</v>
      </c>
      <c r="C31" s="59">
        <v>212.7</v>
      </c>
      <c r="D31" s="59">
        <v>0</v>
      </c>
      <c r="E31" s="61">
        <v>1</v>
      </c>
      <c r="F31" s="62">
        <v>131.90996128607298</v>
      </c>
      <c r="G31" s="61">
        <v>31</v>
      </c>
      <c r="H31" s="45">
        <v>53320</v>
      </c>
      <c r="I31" s="61">
        <v>336.28800000000001</v>
      </c>
      <c r="J31" s="10">
        <f t="shared" si="0"/>
        <v>37916279.813386515</v>
      </c>
      <c r="K31" s="10"/>
      <c r="L31" s="14"/>
    </row>
    <row r="32" spans="1:21" x14ac:dyDescent="0.25">
      <c r="A32" s="3">
        <v>38504</v>
      </c>
      <c r="B32" s="44">
        <v>56200447.466054693</v>
      </c>
      <c r="C32" s="59">
        <v>13.1</v>
      </c>
      <c r="D32" s="59">
        <v>119.6</v>
      </c>
      <c r="E32" s="61">
        <v>0</v>
      </c>
      <c r="F32" s="62">
        <v>132.20314796642501</v>
      </c>
      <c r="G32" s="61">
        <v>30</v>
      </c>
      <c r="H32" s="45">
        <v>53357</v>
      </c>
      <c r="I32" s="61">
        <v>352.08</v>
      </c>
      <c r="J32" s="10">
        <f t="shared" si="0"/>
        <v>58236115.785256311</v>
      </c>
      <c r="K32" s="10"/>
      <c r="L32" s="14"/>
    </row>
    <row r="33" spans="1:12" x14ac:dyDescent="0.25">
      <c r="A33" s="3">
        <v>38534</v>
      </c>
      <c r="B33" s="44">
        <v>63525600.009562053</v>
      </c>
      <c r="C33" s="59">
        <v>1.1000000000000001</v>
      </c>
      <c r="D33" s="59">
        <v>144.69999999999999</v>
      </c>
      <c r="E33" s="61">
        <v>0</v>
      </c>
      <c r="F33" s="62">
        <v>132.49698629149512</v>
      </c>
      <c r="G33" s="61">
        <v>31</v>
      </c>
      <c r="H33" s="45">
        <v>53560</v>
      </c>
      <c r="I33" s="61">
        <v>319.92</v>
      </c>
      <c r="J33" s="10">
        <f t="shared" si="0"/>
        <v>62453453.503734112</v>
      </c>
      <c r="K33" s="10"/>
      <c r="L33" s="14"/>
    </row>
    <row r="34" spans="1:12" x14ac:dyDescent="0.25">
      <c r="A34" s="3">
        <v>38565</v>
      </c>
      <c r="B34" s="44">
        <v>58470687.301587299</v>
      </c>
      <c r="C34" s="59">
        <v>3.8</v>
      </c>
      <c r="D34" s="59">
        <v>102.5</v>
      </c>
      <c r="E34" s="61">
        <v>0</v>
      </c>
      <c r="F34" s="62">
        <v>132.79147770964664</v>
      </c>
      <c r="G34" s="61">
        <v>31</v>
      </c>
      <c r="H34" s="45">
        <v>53553</v>
      </c>
      <c r="I34" s="61">
        <v>351.91199999999998</v>
      </c>
      <c r="J34" s="10">
        <f t="shared" si="0"/>
        <v>55194969.088330157</v>
      </c>
      <c r="K34" s="10"/>
      <c r="L34" s="14"/>
    </row>
    <row r="35" spans="1:12" x14ac:dyDescent="0.25">
      <c r="A35" s="3">
        <v>38596</v>
      </c>
      <c r="B35" s="44">
        <v>45505383.027347483</v>
      </c>
      <c r="C35" s="59">
        <v>32.799999999999997</v>
      </c>
      <c r="D35" s="59">
        <v>25.6</v>
      </c>
      <c r="E35" s="61">
        <v>1</v>
      </c>
      <c r="F35" s="62">
        <v>133.08662367246211</v>
      </c>
      <c r="G35" s="61">
        <v>30</v>
      </c>
      <c r="H35" s="45">
        <v>53669</v>
      </c>
      <c r="I35" s="61">
        <v>336.24</v>
      </c>
      <c r="J35" s="10">
        <f t="shared" si="0"/>
        <v>40605996.387227409</v>
      </c>
      <c r="K35" s="10"/>
      <c r="L35" s="14"/>
    </row>
    <row r="36" spans="1:12" x14ac:dyDescent="0.25">
      <c r="A36" s="3">
        <v>38626</v>
      </c>
      <c r="B36" s="44">
        <v>38036890.648307517</v>
      </c>
      <c r="C36" s="59">
        <v>234.2</v>
      </c>
      <c r="D36" s="59">
        <v>7.6</v>
      </c>
      <c r="E36" s="61">
        <v>1</v>
      </c>
      <c r="F36" s="62">
        <v>133.38242563475035</v>
      </c>
      <c r="G36" s="61">
        <v>31</v>
      </c>
      <c r="H36" s="45">
        <v>53817</v>
      </c>
      <c r="I36" s="61">
        <v>319.92</v>
      </c>
      <c r="J36" s="10">
        <f t="shared" si="0"/>
        <v>39434836.709858529</v>
      </c>
      <c r="K36" s="10"/>
      <c r="L36" s="14"/>
    </row>
    <row r="37" spans="1:12" x14ac:dyDescent="0.25">
      <c r="A37" s="3">
        <v>38657</v>
      </c>
      <c r="B37" s="44">
        <v>39198767.316886589</v>
      </c>
      <c r="C37" s="59">
        <v>396.3</v>
      </c>
      <c r="D37" s="59">
        <v>0</v>
      </c>
      <c r="E37" s="61">
        <v>1</v>
      </c>
      <c r="F37" s="62">
        <v>133.67888505455369</v>
      </c>
      <c r="G37" s="61">
        <v>30</v>
      </c>
      <c r="H37" s="45">
        <v>53923</v>
      </c>
      <c r="I37" s="61">
        <v>352.08</v>
      </c>
      <c r="J37" s="10">
        <f t="shared" si="0"/>
        <v>39681124.864619948</v>
      </c>
      <c r="K37" s="10"/>
      <c r="L37" s="14"/>
    </row>
    <row r="38" spans="1:12" x14ac:dyDescent="0.25">
      <c r="A38" s="3">
        <v>38687</v>
      </c>
      <c r="B38" s="44">
        <v>48107176.343469106</v>
      </c>
      <c r="C38" s="59">
        <v>688.8</v>
      </c>
      <c r="D38" s="59">
        <v>0</v>
      </c>
      <c r="E38" s="61">
        <v>0</v>
      </c>
      <c r="F38" s="62">
        <v>133.97600339315525</v>
      </c>
      <c r="G38" s="61">
        <v>31</v>
      </c>
      <c r="H38" s="45">
        <v>53983</v>
      </c>
      <c r="I38" s="61">
        <v>319.92</v>
      </c>
      <c r="J38" s="10">
        <f t="shared" si="0"/>
        <v>44086250.466376007</v>
      </c>
      <c r="K38" s="10"/>
      <c r="L38" s="14"/>
    </row>
    <row r="39" spans="1:12" x14ac:dyDescent="0.25">
      <c r="A39" s="3">
        <v>38718</v>
      </c>
      <c r="B39" s="38">
        <v>43486315.920826167</v>
      </c>
      <c r="C39" s="59">
        <v>554.70000000000005</v>
      </c>
      <c r="D39" s="59">
        <v>0</v>
      </c>
      <c r="E39" s="61">
        <v>0</v>
      </c>
      <c r="F39" s="62">
        <v>134.25197202423305</v>
      </c>
      <c r="G39" s="61">
        <v>31</v>
      </c>
      <c r="H39" s="45">
        <v>54120</v>
      </c>
      <c r="I39" s="61">
        <v>336.28800000000001</v>
      </c>
      <c r="J39" s="10">
        <f t="shared" si="0"/>
        <v>42797221.482877083</v>
      </c>
      <c r="K39" s="10"/>
      <c r="L39" s="14"/>
    </row>
    <row r="40" spans="1:12" x14ac:dyDescent="0.25">
      <c r="A40" s="3">
        <v>38749</v>
      </c>
      <c r="B40" s="38">
        <v>39596332.520558424</v>
      </c>
      <c r="C40" s="59">
        <v>602.79999999999995</v>
      </c>
      <c r="D40" s="59">
        <v>0</v>
      </c>
      <c r="E40" s="61">
        <v>0</v>
      </c>
      <c r="F40" s="62">
        <v>134.52850910550649</v>
      </c>
      <c r="G40" s="61">
        <v>28</v>
      </c>
      <c r="H40" s="45">
        <v>54226</v>
      </c>
      <c r="I40" s="61">
        <v>319.87200000000001</v>
      </c>
      <c r="J40" s="10">
        <f t="shared" si="0"/>
        <v>43259580.126473643</v>
      </c>
      <c r="K40" s="10"/>
      <c r="L40" s="14"/>
    </row>
    <row r="41" spans="1:12" x14ac:dyDescent="0.25">
      <c r="A41" s="3">
        <v>38777</v>
      </c>
      <c r="B41" s="38">
        <v>40630720.787913553</v>
      </c>
      <c r="C41" s="59">
        <v>530.4</v>
      </c>
      <c r="D41" s="59">
        <v>0</v>
      </c>
      <c r="E41" s="61">
        <v>1</v>
      </c>
      <c r="F41" s="62">
        <v>134.80561580788986</v>
      </c>
      <c r="G41" s="61">
        <v>31</v>
      </c>
      <c r="H41" s="45">
        <v>54292</v>
      </c>
      <c r="I41" s="61">
        <v>368.28</v>
      </c>
      <c r="J41" s="10">
        <f t="shared" si="0"/>
        <v>40970153.848118871</v>
      </c>
      <c r="K41" s="10"/>
      <c r="L41" s="14"/>
    </row>
    <row r="42" spans="1:12" x14ac:dyDescent="0.25">
      <c r="A42" s="3">
        <v>38808</v>
      </c>
      <c r="B42" s="38">
        <v>34886527.863836296</v>
      </c>
      <c r="C42" s="59">
        <v>314.60000000000002</v>
      </c>
      <c r="D42" s="59">
        <v>0</v>
      </c>
      <c r="E42" s="61">
        <v>1</v>
      </c>
      <c r="F42" s="62">
        <v>135.08329330470943</v>
      </c>
      <c r="G42" s="61">
        <v>30</v>
      </c>
      <c r="H42" s="45">
        <v>54319</v>
      </c>
      <c r="I42" s="61">
        <v>303.83999999999997</v>
      </c>
      <c r="J42" s="10">
        <f t="shared" si="0"/>
        <v>38895788.041712694</v>
      </c>
      <c r="K42" s="10"/>
      <c r="L42" s="14"/>
    </row>
    <row r="43" spans="1:12" x14ac:dyDescent="0.25">
      <c r="A43" s="3">
        <v>38838</v>
      </c>
      <c r="B43" s="38">
        <v>37710949.841787331</v>
      </c>
      <c r="C43" s="59">
        <v>155.5</v>
      </c>
      <c r="D43" s="59">
        <v>22.4</v>
      </c>
      <c r="E43" s="61">
        <v>1</v>
      </c>
      <c r="F43" s="62">
        <v>135.36154277170829</v>
      </c>
      <c r="G43" s="61">
        <v>31</v>
      </c>
      <c r="H43" s="45">
        <v>54503</v>
      </c>
      <c r="I43" s="61">
        <v>351.91199999999998</v>
      </c>
      <c r="J43" s="10">
        <f t="shared" si="0"/>
        <v>41233069.041514345</v>
      </c>
      <c r="K43" s="10"/>
      <c r="L43" s="14"/>
    </row>
    <row r="44" spans="1:12" x14ac:dyDescent="0.25">
      <c r="A44" s="3">
        <v>38869</v>
      </c>
      <c r="B44" s="38">
        <v>47310688.12925496</v>
      </c>
      <c r="C44" s="59">
        <v>26.7</v>
      </c>
      <c r="D44" s="59">
        <v>43.2</v>
      </c>
      <c r="E44" s="61">
        <v>0</v>
      </c>
      <c r="F44" s="62">
        <v>135.64036538705133</v>
      </c>
      <c r="G44" s="61">
        <v>30</v>
      </c>
      <c r="H44" s="45">
        <v>54582</v>
      </c>
      <c r="I44" s="61">
        <v>352.08</v>
      </c>
      <c r="J44" s="10">
        <f t="shared" si="0"/>
        <v>45178905.12747819</v>
      </c>
      <c r="K44" s="10"/>
      <c r="L44" s="14"/>
    </row>
    <row r="45" spans="1:12" x14ac:dyDescent="0.25">
      <c r="A45" s="3">
        <v>38899</v>
      </c>
      <c r="B45" s="38">
        <v>62049187.371751845</v>
      </c>
      <c r="C45" s="59">
        <v>1.9</v>
      </c>
      <c r="D45" s="59">
        <v>136.1</v>
      </c>
      <c r="E45" s="61">
        <v>0</v>
      </c>
      <c r="F45" s="62">
        <v>135.9197623313303</v>
      </c>
      <c r="G45" s="61">
        <v>31</v>
      </c>
      <c r="H45" s="45">
        <v>54614</v>
      </c>
      <c r="I45" s="61">
        <v>319.92</v>
      </c>
      <c r="J45" s="10">
        <f t="shared" si="0"/>
        <v>60976637.134217352</v>
      </c>
      <c r="K45" s="10"/>
      <c r="L45" s="14"/>
    </row>
    <row r="46" spans="1:12" x14ac:dyDescent="0.25">
      <c r="A46" s="3">
        <v>38930</v>
      </c>
      <c r="B46" s="38">
        <v>52352728.22897689</v>
      </c>
      <c r="C46" s="59">
        <v>8.1</v>
      </c>
      <c r="D46" s="59">
        <v>70.099999999999994</v>
      </c>
      <c r="E46" s="61">
        <v>0</v>
      </c>
      <c r="F46" s="62">
        <v>136.19973478756879</v>
      </c>
      <c r="G46" s="61">
        <v>31</v>
      </c>
      <c r="H46" s="45">
        <v>54720</v>
      </c>
      <c r="I46" s="61">
        <v>351.91199999999998</v>
      </c>
      <c r="J46" s="10">
        <f t="shared" si="0"/>
        <v>49643511.329998419</v>
      </c>
      <c r="K46" s="10"/>
      <c r="L46" s="14"/>
    </row>
    <row r="47" spans="1:12" x14ac:dyDescent="0.25">
      <c r="A47" s="3">
        <v>38961</v>
      </c>
      <c r="B47" s="38">
        <v>38968951.951289676</v>
      </c>
      <c r="C47" s="59">
        <v>105.3</v>
      </c>
      <c r="D47" s="59">
        <v>4.0999999999999996</v>
      </c>
      <c r="E47" s="61">
        <v>1</v>
      </c>
      <c r="F47" s="62">
        <v>136.48028394122719</v>
      </c>
      <c r="G47" s="61">
        <v>30</v>
      </c>
      <c r="H47" s="45">
        <v>54771</v>
      </c>
      <c r="I47" s="61">
        <v>319.68</v>
      </c>
      <c r="J47" s="10">
        <f t="shared" si="0"/>
        <v>37591632.893239222</v>
      </c>
      <c r="K47" s="10"/>
      <c r="L47" s="14"/>
    </row>
    <row r="48" spans="1:12" x14ac:dyDescent="0.25">
      <c r="A48" s="3">
        <v>38991</v>
      </c>
      <c r="B48" s="38">
        <v>39248850.47463803</v>
      </c>
      <c r="C48" s="59">
        <v>304.10000000000002</v>
      </c>
      <c r="D48" s="59">
        <v>0</v>
      </c>
      <c r="E48" s="61">
        <v>1</v>
      </c>
      <c r="F48" s="62">
        <v>136.76141098020776</v>
      </c>
      <c r="G48" s="61">
        <v>31</v>
      </c>
      <c r="H48" s="45">
        <v>54867</v>
      </c>
      <c r="I48" s="61">
        <v>336.28800000000001</v>
      </c>
      <c r="J48" s="10">
        <f t="shared" si="0"/>
        <v>38794857.360678099</v>
      </c>
      <c r="K48" s="10"/>
      <c r="L48" s="14"/>
    </row>
    <row r="49" spans="1:12" x14ac:dyDescent="0.25">
      <c r="A49" s="3">
        <v>39022</v>
      </c>
      <c r="B49" s="38">
        <v>39935326.982452773</v>
      </c>
      <c r="C49" s="59">
        <v>393.1</v>
      </c>
      <c r="D49" s="59">
        <v>0</v>
      </c>
      <c r="E49" s="61">
        <v>1</v>
      </c>
      <c r="F49" s="62">
        <v>137.04311709485967</v>
      </c>
      <c r="G49" s="61">
        <v>30</v>
      </c>
      <c r="H49" s="45">
        <v>54921</v>
      </c>
      <c r="I49" s="61">
        <v>352.08</v>
      </c>
      <c r="J49" s="10">
        <f t="shared" si="0"/>
        <v>39650365.038018927</v>
      </c>
      <c r="K49" s="10"/>
      <c r="L49" s="14"/>
    </row>
    <row r="50" spans="1:12" x14ac:dyDescent="0.25">
      <c r="A50" s="3">
        <v>39052</v>
      </c>
      <c r="B50" s="38">
        <v>45212711.794035867</v>
      </c>
      <c r="C50" s="59">
        <v>508.1</v>
      </c>
      <c r="D50" s="59">
        <v>0</v>
      </c>
      <c r="E50" s="61">
        <v>0</v>
      </c>
      <c r="F50" s="62">
        <v>137.32540347798411</v>
      </c>
      <c r="G50" s="61">
        <v>31</v>
      </c>
      <c r="H50" s="45">
        <v>55016</v>
      </c>
      <c r="I50" s="61">
        <v>304.29599999999999</v>
      </c>
      <c r="J50" s="10">
        <f t="shared" si="0"/>
        <v>42349281.507999748</v>
      </c>
      <c r="K50" s="10"/>
      <c r="L50" s="14"/>
    </row>
    <row r="51" spans="1:12" x14ac:dyDescent="0.25">
      <c r="A51" s="3">
        <v>39083</v>
      </c>
      <c r="B51" s="38">
        <v>43000891.916770548</v>
      </c>
      <c r="C51" s="59">
        <v>665.6</v>
      </c>
      <c r="D51" s="59">
        <v>0</v>
      </c>
      <c r="E51" s="61">
        <v>0</v>
      </c>
      <c r="F51" s="62">
        <v>137.58587596073079</v>
      </c>
      <c r="G51" s="61">
        <v>31</v>
      </c>
      <c r="H51" s="45">
        <v>55075</v>
      </c>
      <c r="I51" s="61">
        <v>351.91199999999998</v>
      </c>
      <c r="J51" s="10">
        <f t="shared" si="0"/>
        <v>43863241.723518625</v>
      </c>
      <c r="K51" s="10"/>
      <c r="L51" s="14"/>
    </row>
    <row r="52" spans="1:12" x14ac:dyDescent="0.25">
      <c r="A52" s="3">
        <v>39114</v>
      </c>
      <c r="B52" s="38">
        <v>43691512.618659511</v>
      </c>
      <c r="C52" s="59">
        <v>761.8</v>
      </c>
      <c r="D52" s="59">
        <v>0</v>
      </c>
      <c r="E52" s="61">
        <v>0</v>
      </c>
      <c r="F52" s="62">
        <v>137.84684249565245</v>
      </c>
      <c r="G52" s="61">
        <v>28</v>
      </c>
      <c r="H52" s="45">
        <v>55142</v>
      </c>
      <c r="I52" s="61">
        <v>319.87200000000001</v>
      </c>
      <c r="J52" s="10">
        <f t="shared" si="0"/>
        <v>44787959.010711744</v>
      </c>
      <c r="K52" s="10"/>
      <c r="L52" s="14"/>
    </row>
    <row r="53" spans="1:12" x14ac:dyDescent="0.25">
      <c r="A53" s="3">
        <v>39142</v>
      </c>
      <c r="B53" s="38">
        <v>41759123.722312786</v>
      </c>
      <c r="C53" s="59">
        <v>565.20000000000005</v>
      </c>
      <c r="D53" s="59">
        <v>0</v>
      </c>
      <c r="E53" s="61">
        <v>1</v>
      </c>
      <c r="F53" s="62">
        <v>138.10830401984444</v>
      </c>
      <c r="G53" s="61">
        <v>31</v>
      </c>
      <c r="H53" s="45">
        <v>55179</v>
      </c>
      <c r="I53" s="61">
        <v>351.91199999999998</v>
      </c>
      <c r="J53" s="10">
        <f t="shared" si="0"/>
        <v>41304666.962404951</v>
      </c>
      <c r="K53" s="10"/>
      <c r="L53" s="14"/>
    </row>
    <row r="54" spans="1:12" x14ac:dyDescent="0.25">
      <c r="A54" s="3">
        <v>39173</v>
      </c>
      <c r="B54" s="38">
        <v>37329473.142199636</v>
      </c>
      <c r="C54" s="59">
        <v>374.2</v>
      </c>
      <c r="D54" s="59">
        <v>0</v>
      </c>
      <c r="E54" s="61">
        <v>1</v>
      </c>
      <c r="F54" s="62">
        <v>138.37026147217955</v>
      </c>
      <c r="G54" s="61">
        <v>30</v>
      </c>
      <c r="H54" s="45">
        <v>55235</v>
      </c>
      <c r="I54" s="61">
        <v>319.68</v>
      </c>
      <c r="J54" s="10">
        <f t="shared" si="0"/>
        <v>39468689.812156662</v>
      </c>
      <c r="K54" s="10"/>
      <c r="L54" s="14"/>
    </row>
    <row r="55" spans="1:12" x14ac:dyDescent="0.25">
      <c r="A55" s="3">
        <v>39203</v>
      </c>
      <c r="B55" s="38">
        <v>39372691.283919841</v>
      </c>
      <c r="C55" s="59">
        <v>138.4</v>
      </c>
      <c r="D55" s="59">
        <v>23.3</v>
      </c>
      <c r="E55" s="61">
        <v>1</v>
      </c>
      <c r="F55" s="62">
        <v>138.63271579331135</v>
      </c>
      <c r="G55" s="61">
        <v>31</v>
      </c>
      <c r="H55" s="45">
        <v>55254</v>
      </c>
      <c r="I55" s="61">
        <v>351.91199999999998</v>
      </c>
      <c r="J55" s="10">
        <f t="shared" si="0"/>
        <v>41224051.531318679</v>
      </c>
      <c r="K55" s="10"/>
      <c r="L55" s="14"/>
    </row>
    <row r="56" spans="1:12" x14ac:dyDescent="0.25">
      <c r="A56" s="3">
        <v>39234</v>
      </c>
      <c r="B56" s="38">
        <v>51017213.126857802</v>
      </c>
      <c r="C56" s="59">
        <v>19.2</v>
      </c>
      <c r="D56" s="59">
        <v>74.2</v>
      </c>
      <c r="E56" s="61">
        <v>0</v>
      </c>
      <c r="F56" s="62">
        <v>138.89566792567766</v>
      </c>
      <c r="G56" s="61">
        <v>30</v>
      </c>
      <c r="H56" s="45">
        <v>55380</v>
      </c>
      <c r="I56" s="61">
        <v>336.24</v>
      </c>
      <c r="J56" s="10">
        <f t="shared" si="0"/>
        <v>50457939.238670088</v>
      </c>
      <c r="K56" s="10"/>
      <c r="L56" s="14"/>
    </row>
    <row r="57" spans="1:12" x14ac:dyDescent="0.25">
      <c r="A57" s="3">
        <v>39264</v>
      </c>
      <c r="B57" s="38">
        <v>53491300.958864711</v>
      </c>
      <c r="C57" s="59">
        <v>9.1999999999999993</v>
      </c>
      <c r="D57" s="59">
        <v>82</v>
      </c>
      <c r="E57" s="61">
        <v>0</v>
      </c>
      <c r="F57" s="62">
        <v>139.1591188135038</v>
      </c>
      <c r="G57" s="61">
        <v>31</v>
      </c>
      <c r="H57" s="45">
        <v>55403</v>
      </c>
      <c r="I57" s="61">
        <v>336.28800000000001</v>
      </c>
      <c r="J57" s="10">
        <f t="shared" si="0"/>
        <v>51708227.494972445</v>
      </c>
      <c r="K57" s="10"/>
      <c r="L57" s="14"/>
    </row>
    <row r="58" spans="1:12" x14ac:dyDescent="0.25">
      <c r="A58" s="3">
        <v>39295</v>
      </c>
      <c r="B58" s="38">
        <v>57002883.900661618</v>
      </c>
      <c r="C58" s="59">
        <v>8.4</v>
      </c>
      <c r="D58" s="59">
        <v>106</v>
      </c>
      <c r="E58" s="61">
        <v>0</v>
      </c>
      <c r="F58" s="62">
        <v>139.42306940280611</v>
      </c>
      <c r="G58" s="61">
        <v>31</v>
      </c>
      <c r="H58" s="45">
        <v>55507</v>
      </c>
      <c r="I58" s="61">
        <v>351.91199999999998</v>
      </c>
      <c r="J58" s="10">
        <f t="shared" si="0"/>
        <v>55843345.89041616</v>
      </c>
      <c r="K58" s="10"/>
      <c r="L58" s="14"/>
    </row>
    <row r="59" spans="1:12" x14ac:dyDescent="0.25">
      <c r="A59" s="3">
        <v>39326</v>
      </c>
      <c r="B59" s="38">
        <v>43322407.287371755</v>
      </c>
      <c r="C59" s="59">
        <v>55.2</v>
      </c>
      <c r="D59" s="59">
        <v>37.200000000000003</v>
      </c>
      <c r="E59" s="61">
        <v>1</v>
      </c>
      <c r="F59" s="62">
        <v>139.68752064139528</v>
      </c>
      <c r="G59" s="61">
        <v>30</v>
      </c>
      <c r="H59" s="45">
        <v>55577</v>
      </c>
      <c r="I59" s="61">
        <v>303.83999999999997</v>
      </c>
      <c r="J59" s="10">
        <f t="shared" si="0"/>
        <v>42823672.543613292</v>
      </c>
      <c r="K59" s="10"/>
      <c r="L59" s="14"/>
    </row>
    <row r="60" spans="1:12" x14ac:dyDescent="0.25">
      <c r="A60" s="3">
        <v>39356</v>
      </c>
      <c r="B60" s="38">
        <v>39989579.959727682</v>
      </c>
      <c r="C60" s="59">
        <v>157.80000000000001</v>
      </c>
      <c r="D60" s="59">
        <v>13</v>
      </c>
      <c r="E60" s="61">
        <v>1</v>
      </c>
      <c r="F60" s="62">
        <v>139.95247347887977</v>
      </c>
      <c r="G60" s="61">
        <v>31</v>
      </c>
      <c r="H60" s="45">
        <v>55613</v>
      </c>
      <c r="I60" s="61">
        <v>351.91199999999998</v>
      </c>
      <c r="J60" s="10">
        <f t="shared" si="0"/>
        <v>39632577.728980355</v>
      </c>
      <c r="K60" s="10"/>
      <c r="L60" s="14"/>
    </row>
    <row r="61" spans="1:12" x14ac:dyDescent="0.25">
      <c r="A61" s="3">
        <v>39387</v>
      </c>
      <c r="B61" s="38">
        <v>40517809.339342222</v>
      </c>
      <c r="C61" s="59">
        <v>467.5</v>
      </c>
      <c r="D61" s="59">
        <v>0</v>
      </c>
      <c r="E61" s="61">
        <v>1</v>
      </c>
      <c r="F61" s="62">
        <v>140.21792886666915</v>
      </c>
      <c r="G61" s="61">
        <v>30</v>
      </c>
      <c r="H61" s="45">
        <v>55765</v>
      </c>
      <c r="I61" s="61">
        <v>352.08</v>
      </c>
      <c r="J61" s="10">
        <f t="shared" si="0"/>
        <v>40365531.006492607</v>
      </c>
      <c r="K61" s="10"/>
      <c r="L61" s="14"/>
    </row>
    <row r="62" spans="1:12" x14ac:dyDescent="0.25">
      <c r="A62" s="3">
        <v>39417</v>
      </c>
      <c r="B62" s="38">
        <v>28788230.204238184</v>
      </c>
      <c r="C62" s="59">
        <v>641</v>
      </c>
      <c r="D62" s="59">
        <v>0</v>
      </c>
      <c r="E62" s="61">
        <v>0</v>
      </c>
      <c r="F62" s="62">
        <v>140.48388775797773</v>
      </c>
      <c r="G62" s="61">
        <v>31</v>
      </c>
      <c r="H62" s="45">
        <v>55815</v>
      </c>
      <c r="I62" s="61">
        <v>304.29599999999999</v>
      </c>
      <c r="J62" s="10">
        <f t="shared" si="0"/>
        <v>43626775.556523301</v>
      </c>
      <c r="K62" s="10"/>
      <c r="L62" s="14"/>
    </row>
    <row r="63" spans="1:12" x14ac:dyDescent="0.25">
      <c r="A63" s="3">
        <v>39448</v>
      </c>
      <c r="B63" s="45">
        <v>45047723.779844671</v>
      </c>
      <c r="C63" s="59">
        <v>632.70000000000005</v>
      </c>
      <c r="D63" s="59">
        <v>0</v>
      </c>
      <c r="E63" s="61">
        <v>0</v>
      </c>
      <c r="F63" s="62">
        <v>140.42521823206457</v>
      </c>
      <c r="G63" s="61">
        <v>31</v>
      </c>
      <c r="H63" s="45">
        <v>55914</v>
      </c>
      <c r="I63" s="61">
        <v>352</v>
      </c>
      <c r="J63" s="10">
        <f t="shared" si="0"/>
        <v>43546992.256276906</v>
      </c>
    </row>
    <row r="64" spans="1:12" x14ac:dyDescent="0.25">
      <c r="A64" s="3">
        <v>39479</v>
      </c>
      <c r="B64" s="45">
        <v>43398528.756352484</v>
      </c>
      <c r="C64" s="59">
        <v>678.8</v>
      </c>
      <c r="D64" s="59">
        <v>0</v>
      </c>
      <c r="E64" s="61">
        <v>0</v>
      </c>
      <c r="F64" s="62">
        <v>140.36657320798807</v>
      </c>
      <c r="G64" s="61">
        <v>29</v>
      </c>
      <c r="H64" s="45">
        <v>55994</v>
      </c>
      <c r="I64" s="61">
        <v>320</v>
      </c>
      <c r="J64" s="10">
        <f t="shared" si="0"/>
        <v>43990126.00824783</v>
      </c>
    </row>
    <row r="65" spans="1:33" x14ac:dyDescent="0.25">
      <c r="A65" s="3">
        <v>39508</v>
      </c>
      <c r="B65" s="45">
        <v>41982818.812925503</v>
      </c>
      <c r="C65" s="59">
        <v>621.79999999999995</v>
      </c>
      <c r="D65" s="59">
        <v>0</v>
      </c>
      <c r="E65" s="61">
        <v>1</v>
      </c>
      <c r="F65" s="62">
        <v>140.30795267551565</v>
      </c>
      <c r="G65" s="61">
        <v>31</v>
      </c>
      <c r="H65" s="45">
        <v>56076</v>
      </c>
      <c r="I65" s="61">
        <v>304</v>
      </c>
      <c r="J65" s="10">
        <f t="shared" si="0"/>
        <v>41848731.395410463</v>
      </c>
    </row>
    <row r="66" spans="1:33" x14ac:dyDescent="0.25">
      <c r="A66" s="3">
        <v>39539</v>
      </c>
      <c r="B66" s="45">
        <v>35956715.322657973</v>
      </c>
      <c r="C66" s="59">
        <v>290.60000000000002</v>
      </c>
      <c r="D66" s="59">
        <v>0</v>
      </c>
      <c r="E66" s="61">
        <v>1</v>
      </c>
      <c r="F66" s="62">
        <v>140.24935662441902</v>
      </c>
      <c r="G66" s="61">
        <v>30</v>
      </c>
      <c r="H66" s="45">
        <v>56134</v>
      </c>
      <c r="I66" s="61">
        <v>352</v>
      </c>
      <c r="J66" s="10">
        <f t="shared" si="0"/>
        <v>38665089.342205055</v>
      </c>
    </row>
    <row r="67" spans="1:33" x14ac:dyDescent="0.25">
      <c r="A67" s="3">
        <v>39569</v>
      </c>
      <c r="B67" s="45">
        <v>36811364.224757887</v>
      </c>
      <c r="C67" s="59">
        <v>214.1</v>
      </c>
      <c r="D67" s="59">
        <v>0.3</v>
      </c>
      <c r="E67" s="61">
        <v>1</v>
      </c>
      <c r="F67" s="62">
        <v>140.19078504447415</v>
      </c>
      <c r="G67" s="61">
        <v>31</v>
      </c>
      <c r="H67" s="45">
        <v>56250</v>
      </c>
      <c r="I67" s="61">
        <v>336</v>
      </c>
      <c r="J67" s="10">
        <f t="shared" si="0"/>
        <v>37981522.341925628</v>
      </c>
    </row>
    <row r="68" spans="1:33" x14ac:dyDescent="0.25">
      <c r="A68" s="3">
        <v>39600</v>
      </c>
      <c r="B68" s="45">
        <v>46862478.483076036</v>
      </c>
      <c r="C68" s="59">
        <v>34.200000000000003</v>
      </c>
      <c r="D68" s="59">
        <v>55</v>
      </c>
      <c r="E68" s="61">
        <v>0</v>
      </c>
      <c r="F68" s="62">
        <v>140.13223792546131</v>
      </c>
      <c r="G68" s="61">
        <v>30</v>
      </c>
      <c r="H68" s="45">
        <v>56284</v>
      </c>
      <c r="I68" s="61">
        <v>336</v>
      </c>
      <c r="J68" s="10">
        <f t="shared" ref="J68:J122" si="1">$N$18+C68*$N$19+D68*$N$20+E68*$N$21+F68*$N$22+G68*$N$23+H68*$N$24+I68*$N$25</f>
        <v>47287879.244187191</v>
      </c>
    </row>
    <row r="69" spans="1:33" x14ac:dyDescent="0.25">
      <c r="A69" s="3">
        <v>39630</v>
      </c>
      <c r="B69" s="45">
        <v>57464251.35679356</v>
      </c>
      <c r="C69" s="59">
        <v>3.7</v>
      </c>
      <c r="D69" s="59">
        <v>87.7</v>
      </c>
      <c r="E69" s="61">
        <v>0</v>
      </c>
      <c r="F69" s="62">
        <v>140.07371525716499</v>
      </c>
      <c r="G69" s="61">
        <v>31</v>
      </c>
      <c r="H69" s="45">
        <v>56337</v>
      </c>
      <c r="I69" s="61">
        <v>352</v>
      </c>
      <c r="J69" s="10">
        <f t="shared" si="1"/>
        <v>52639276.026624262</v>
      </c>
    </row>
    <row r="70" spans="1:33" x14ac:dyDescent="0.25">
      <c r="A70" s="3">
        <v>39661</v>
      </c>
      <c r="B70" s="45">
        <v>49905793.671492957</v>
      </c>
      <c r="C70" s="59">
        <v>20.2</v>
      </c>
      <c r="D70" s="59">
        <v>45.2</v>
      </c>
      <c r="E70" s="61">
        <v>0</v>
      </c>
      <c r="F70" s="62">
        <v>140.01521702937399</v>
      </c>
      <c r="G70" s="61">
        <v>31</v>
      </c>
      <c r="H70" s="45">
        <v>56396</v>
      </c>
      <c r="I70" s="61">
        <v>320</v>
      </c>
      <c r="J70" s="10">
        <f t="shared" si="1"/>
        <v>45461658.259036034</v>
      </c>
    </row>
    <row r="71" spans="1:33" x14ac:dyDescent="0.25">
      <c r="A71" s="3">
        <v>39692</v>
      </c>
      <c r="B71" s="45">
        <v>42637047.732284978</v>
      </c>
      <c r="C71" s="59">
        <v>70.400000000000006</v>
      </c>
      <c r="D71" s="59">
        <v>20.3</v>
      </c>
      <c r="E71" s="61">
        <v>1</v>
      </c>
      <c r="F71" s="62">
        <v>139.95674323188132</v>
      </c>
      <c r="G71" s="61">
        <v>30</v>
      </c>
      <c r="H71" s="45">
        <v>56508</v>
      </c>
      <c r="I71" s="61">
        <v>336</v>
      </c>
      <c r="J71" s="10">
        <f t="shared" si="1"/>
        <v>40052554.172035284</v>
      </c>
    </row>
    <row r="72" spans="1:33" x14ac:dyDescent="0.25">
      <c r="A72" s="3">
        <v>39722</v>
      </c>
      <c r="B72" s="45">
        <v>39427095.637165599</v>
      </c>
      <c r="C72" s="59">
        <v>297.5</v>
      </c>
      <c r="D72" s="59">
        <v>0</v>
      </c>
      <c r="E72" s="61">
        <v>1</v>
      </c>
      <c r="F72" s="62">
        <v>139.89829385448431</v>
      </c>
      <c r="G72" s="61">
        <v>31</v>
      </c>
      <c r="H72" s="45">
        <v>56576</v>
      </c>
      <c r="I72" s="61">
        <v>352</v>
      </c>
      <c r="J72" s="10">
        <f t="shared" si="1"/>
        <v>38731415.2183135</v>
      </c>
    </row>
    <row r="73" spans="1:33" x14ac:dyDescent="0.25">
      <c r="A73" s="3">
        <v>39753</v>
      </c>
      <c r="B73" s="45">
        <v>41225126.483843133</v>
      </c>
      <c r="C73" s="59">
        <v>460.6</v>
      </c>
      <c r="D73" s="59">
        <v>0</v>
      </c>
      <c r="E73" s="61">
        <v>1</v>
      </c>
      <c r="F73" s="62">
        <v>139.83986888698453</v>
      </c>
      <c r="G73" s="61">
        <v>30</v>
      </c>
      <c r="H73" s="45">
        <v>56751</v>
      </c>
      <c r="I73" s="61">
        <v>304</v>
      </c>
      <c r="J73" s="10">
        <f t="shared" si="1"/>
        <v>40299205.130384155</v>
      </c>
    </row>
    <row r="74" spans="1:33" x14ac:dyDescent="0.25">
      <c r="A74" s="3">
        <v>39783</v>
      </c>
      <c r="B74" s="45">
        <v>48905862.556333303</v>
      </c>
      <c r="C74" s="59">
        <v>655.29999999999995</v>
      </c>
      <c r="D74" s="59">
        <v>0</v>
      </c>
      <c r="E74" s="61">
        <v>0</v>
      </c>
      <c r="F74" s="62">
        <v>139.78146831918784</v>
      </c>
      <c r="G74" s="61">
        <v>31</v>
      </c>
      <c r="H74" s="45">
        <v>56841</v>
      </c>
      <c r="I74" s="61">
        <v>336</v>
      </c>
      <c r="J74" s="10">
        <f t="shared" si="1"/>
        <v>43764233.531646602</v>
      </c>
    </row>
    <row r="75" spans="1:33" s="15" customFormat="1" x14ac:dyDescent="0.25">
      <c r="A75" s="3">
        <v>39814</v>
      </c>
      <c r="B75" s="45">
        <v>45047723.779844671</v>
      </c>
      <c r="C75" s="59">
        <v>712.8153846153848</v>
      </c>
      <c r="D75" s="59">
        <v>0</v>
      </c>
      <c r="E75" s="61">
        <v>0</v>
      </c>
      <c r="F75" s="62">
        <v>139.37911160687111</v>
      </c>
      <c r="G75" s="61">
        <v>31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43398528.756352484</v>
      </c>
      <c r="C76" s="59">
        <v>627.4</v>
      </c>
      <c r="D76" s="59">
        <v>0</v>
      </c>
      <c r="E76" s="61">
        <v>0</v>
      </c>
      <c r="F76" s="62">
        <v>138.97791306613385</v>
      </c>
      <c r="G76" s="61">
        <v>28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41982818.812925503</v>
      </c>
      <c r="C77" s="59">
        <v>566.50769230769231</v>
      </c>
      <c r="D77" s="59">
        <v>0</v>
      </c>
      <c r="E77" s="61">
        <v>1</v>
      </c>
      <c r="F77" s="62">
        <v>138.57786936321438</v>
      </c>
      <c r="G77" s="61">
        <v>31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35956715.322657973</v>
      </c>
      <c r="C78" s="59">
        <v>341.76153846153852</v>
      </c>
      <c r="D78" s="59">
        <v>0.61538461538461542</v>
      </c>
      <c r="E78" s="61">
        <v>1</v>
      </c>
      <c r="F78" s="62">
        <v>138.17897717394706</v>
      </c>
      <c r="G78" s="61">
        <v>30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36811364.224757887</v>
      </c>
      <c r="C79" s="59">
        <v>178.33076923076925</v>
      </c>
      <c r="D79" s="59">
        <v>11.461538461538463</v>
      </c>
      <c r="E79" s="61">
        <v>1</v>
      </c>
      <c r="F79" s="62">
        <v>137.78123318373483</v>
      </c>
      <c r="G79" s="61">
        <v>31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46862478.483076036</v>
      </c>
      <c r="C80" s="59">
        <v>38</v>
      </c>
      <c r="D80" s="59">
        <v>61.2</v>
      </c>
      <c r="E80" s="61">
        <v>0</v>
      </c>
      <c r="F80" s="62">
        <v>137.38463408752156</v>
      </c>
      <c r="G80" s="61">
        <v>30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57464251.35679356</v>
      </c>
      <c r="C81" s="59">
        <v>6.9153846153846157</v>
      </c>
      <c r="D81" s="59">
        <v>96.953846153846143</v>
      </c>
      <c r="E81" s="61">
        <v>0</v>
      </c>
      <c r="F81" s="62">
        <v>136.98917658976464</v>
      </c>
      <c r="G81" s="61">
        <v>31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49905793.671492957</v>
      </c>
      <c r="C82" s="59">
        <v>10.86923076923077</v>
      </c>
      <c r="D82" s="59">
        <v>76.623076923076937</v>
      </c>
      <c r="E82" s="61">
        <v>0</v>
      </c>
      <c r="F82" s="62">
        <v>136.59485740440758</v>
      </c>
      <c r="G82" s="61">
        <v>31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42637047.732284978</v>
      </c>
      <c r="C83" s="59">
        <v>70.815384615384602</v>
      </c>
      <c r="D83" s="59">
        <v>27.34615384615385</v>
      </c>
      <c r="E83" s="61">
        <v>1</v>
      </c>
      <c r="F83" s="62">
        <v>136.20167325485272</v>
      </c>
      <c r="G83" s="61">
        <v>30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39427095.637165599</v>
      </c>
      <c r="C84" s="59">
        <v>259.90769230769229</v>
      </c>
      <c r="D84" s="59">
        <v>2.5846153846153848</v>
      </c>
      <c r="E84" s="61">
        <v>1</v>
      </c>
      <c r="F84" s="62">
        <v>135.80962087393394</v>
      </c>
      <c r="G84" s="61">
        <v>31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41225126.483843133</v>
      </c>
      <c r="C85" s="59">
        <v>424.6153846153847</v>
      </c>
      <c r="D85" s="59">
        <v>0</v>
      </c>
      <c r="E85" s="61">
        <v>1</v>
      </c>
      <c r="F85" s="62">
        <v>135.41869700388958</v>
      </c>
      <c r="G85" s="61">
        <v>30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48905862.556333303</v>
      </c>
      <c r="C86" s="59">
        <v>614.35384615384623</v>
      </c>
      <c r="D86" s="59">
        <v>0</v>
      </c>
      <c r="E86" s="61">
        <v>0</v>
      </c>
      <c r="F86" s="62">
        <v>135.02889839633545</v>
      </c>
      <c r="G86" s="61">
        <v>31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44617931.717536397</v>
      </c>
      <c r="C87" s="59">
        <v>719.94353846153865</v>
      </c>
      <c r="D87" s="59">
        <v>0</v>
      </c>
      <c r="E87" s="61">
        <v>0</v>
      </c>
      <c r="F87" s="62">
        <v>135.32901731143812</v>
      </c>
      <c r="G87" s="61">
        <v>31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44641686.424937896</v>
      </c>
      <c r="C88" s="59">
        <v>633.67399999999998</v>
      </c>
      <c r="D88" s="59">
        <v>0</v>
      </c>
      <c r="E88" s="61">
        <v>0</v>
      </c>
      <c r="F88" s="62">
        <v>135.62980327903304</v>
      </c>
      <c r="G88" s="61">
        <v>28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44665441.132339403</v>
      </c>
      <c r="C89" s="59">
        <v>572.17276923076929</v>
      </c>
      <c r="D89" s="59">
        <v>0</v>
      </c>
      <c r="E89" s="61">
        <v>1</v>
      </c>
      <c r="F89" s="62">
        <v>135.9312577817293</v>
      </c>
      <c r="G89" s="61">
        <v>31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44689195.839740902</v>
      </c>
      <c r="C90" s="59">
        <v>345.17915384615389</v>
      </c>
      <c r="D90" s="59">
        <v>0.6215384615384616</v>
      </c>
      <c r="E90" s="61">
        <v>1</v>
      </c>
      <c r="F90" s="62">
        <v>136.23338230543126</v>
      </c>
      <c r="G90" s="61">
        <v>30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44712950.547142401</v>
      </c>
      <c r="C91" s="59">
        <v>180.11407692307694</v>
      </c>
      <c r="D91" s="59">
        <v>11.576153846153849</v>
      </c>
      <c r="E91" s="61">
        <v>1</v>
      </c>
      <c r="F91" s="62">
        <v>136.53617833934589</v>
      </c>
      <c r="G91" s="61">
        <v>31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44736705.2545439</v>
      </c>
      <c r="C92" s="59">
        <v>38.380000000000003</v>
      </c>
      <c r="D92" s="59">
        <v>61.812000000000005</v>
      </c>
      <c r="E92" s="61">
        <v>0</v>
      </c>
      <c r="F92" s="62">
        <v>136.83964737599013</v>
      </c>
      <c r="G92" s="61">
        <v>30</v>
      </c>
      <c r="H92" s="45">
        <f>'Rate Class Customer Model'!B3</f>
        <v>18866.499999999993</v>
      </c>
      <c r="I92" s="61">
        <v>352</v>
      </c>
      <c r="J92" s="10">
        <f t="shared" si="1"/>
        <v>48503926.371620774</v>
      </c>
      <c r="K92" s="46"/>
    </row>
    <row r="93" spans="1:33" x14ac:dyDescent="0.25">
      <c r="A93" s="3">
        <v>40360</v>
      </c>
      <c r="B93" s="44">
        <v>44760459.9619454</v>
      </c>
      <c r="C93" s="59">
        <v>6.9845384615384623</v>
      </c>
      <c r="D93" s="59">
        <v>97.923384615384606</v>
      </c>
      <c r="E93" s="61">
        <v>0</v>
      </c>
      <c r="F93" s="62">
        <v>137.14379091119821</v>
      </c>
      <c r="G93" s="61">
        <v>31</v>
      </c>
      <c r="H93" s="45" t="e">
        <f t="shared" ref="H93:H122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44784214.669346899</v>
      </c>
      <c r="C94" s="59">
        <v>10.977923076923078</v>
      </c>
      <c r="D94" s="59">
        <v>77.38930769230771</v>
      </c>
      <c r="E94" s="61">
        <v>0</v>
      </c>
      <c r="F94" s="62">
        <v>137.44861044412903</v>
      </c>
      <c r="G94" s="61">
        <v>31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44807969.376748398</v>
      </c>
      <c r="C95" s="59">
        <v>71.52353846153845</v>
      </c>
      <c r="D95" s="59">
        <v>27.61961538461539</v>
      </c>
      <c r="E95" s="61">
        <v>1</v>
      </c>
      <c r="F95" s="62">
        <v>137.75410747727361</v>
      </c>
      <c r="G95" s="61">
        <v>30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44831724.084149897</v>
      </c>
      <c r="C96" s="59">
        <v>262.50676923076924</v>
      </c>
      <c r="D96" s="59">
        <v>2.6104615384615388</v>
      </c>
      <c r="E96" s="61">
        <v>1</v>
      </c>
      <c r="F96" s="62">
        <v>138.06028351646239</v>
      </c>
      <c r="G96" s="61">
        <v>31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44855478.791551404</v>
      </c>
      <c r="C97" s="59">
        <v>428.86153846153854</v>
      </c>
      <c r="D97" s="59">
        <v>0</v>
      </c>
      <c r="E97" s="61">
        <v>1</v>
      </c>
      <c r="F97" s="62">
        <v>138.36714007087275</v>
      </c>
      <c r="G97" s="61">
        <v>30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44879233.498952903</v>
      </c>
      <c r="C98" s="59">
        <v>620.4973846153847</v>
      </c>
      <c r="D98" s="59">
        <v>0</v>
      </c>
      <c r="E98" s="61">
        <v>0</v>
      </c>
      <c r="F98" s="62">
        <v>138.67467865303649</v>
      </c>
      <c r="G98" s="61">
        <v>31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B99" s="60"/>
      <c r="C99" s="19">
        <f t="shared" ref="C99:D110" si="5">(C3+C15+C27+C39+C51+C63+C75+C87)/8</f>
        <v>717.5198653846154</v>
      </c>
      <c r="D99" s="19">
        <f t="shared" si="5"/>
        <v>0</v>
      </c>
      <c r="E99" s="61">
        <v>0</v>
      </c>
      <c r="F99" s="62">
        <v>139.03916243618784</v>
      </c>
      <c r="G99" s="61">
        <v>31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1">
        <v>0</v>
      </c>
      <c r="F100" s="62">
        <v>139.40460420553731</v>
      </c>
      <c r="G100" s="61">
        <v>28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1">
        <v>1</v>
      </c>
      <c r="F101" s="62">
        <v>139.77100647899545</v>
      </c>
      <c r="G101" s="61">
        <v>31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1">
        <v>1</v>
      </c>
      <c r="F102" s="62">
        <v>140.13837178109071</v>
      </c>
      <c r="G102" s="61">
        <v>30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1">
        <v>1</v>
      </c>
      <c r="F103" s="62">
        <v>140.50670264298682</v>
      </c>
      <c r="G103" s="61">
        <v>31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1">
        <v>0</v>
      </c>
      <c r="F104" s="62">
        <v>140.87600160250034</v>
      </c>
      <c r="G104" s="61">
        <v>30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1">
        <v>0</v>
      </c>
      <c r="F105" s="62">
        <v>141.24627120411799</v>
      </c>
      <c r="G105" s="61">
        <v>31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1">
        <v>0</v>
      </c>
      <c r="F106" s="62">
        <v>141.61751399901428</v>
      </c>
      <c r="G106" s="61">
        <v>31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1">
        <v>1</v>
      </c>
      <c r="F107" s="62">
        <v>141.98973254506907</v>
      </c>
      <c r="G107" s="61">
        <v>30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1">
        <v>1</v>
      </c>
      <c r="F108" s="62">
        <v>142.3629294068852</v>
      </c>
      <c r="G108" s="61">
        <v>31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1">
        <v>1</v>
      </c>
      <c r="F109" s="62">
        <v>142.73710715580614</v>
      </c>
      <c r="G109" s="61">
        <v>30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1">
        <v>0</v>
      </c>
      <c r="F110" s="62">
        <v>143.11226836993367</v>
      </c>
      <c r="G110" s="61">
        <v>31</v>
      </c>
      <c r="H110" s="45" t="e">
        <f t="shared" si="4"/>
        <v>#REF!</v>
      </c>
      <c r="I110" s="61">
        <v>336</v>
      </c>
      <c r="J110" s="10" t="e">
        <f t="shared" si="1"/>
        <v>#REF!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1">
        <v>0</v>
      </c>
      <c r="F111" s="62">
        <v>143.48841563414587</v>
      </c>
      <c r="G111" s="61">
        <v>31</v>
      </c>
      <c r="H111" s="45" t="e">
        <f t="shared" si="4"/>
        <v>#REF!</v>
      </c>
      <c r="I111" s="61">
        <v>336</v>
      </c>
      <c r="J111" s="10" t="e">
        <f t="shared" si="1"/>
        <v>#REF!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1">
        <v>0</v>
      </c>
      <c r="F112" s="62">
        <v>143.86555154011452</v>
      </c>
      <c r="G112" s="61">
        <v>29</v>
      </c>
      <c r="H112" s="45" t="e">
        <f t="shared" si="4"/>
        <v>#REF!</v>
      </c>
      <c r="I112" s="61">
        <v>320</v>
      </c>
      <c r="J112" s="10" t="e">
        <f t="shared" si="1"/>
        <v>#REF!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1">
        <v>1</v>
      </c>
      <c r="F113" s="62">
        <v>144.24367868632334</v>
      </c>
      <c r="G113" s="61">
        <v>31</v>
      </c>
      <c r="H113" s="45" t="e">
        <f t="shared" si="4"/>
        <v>#REF!</v>
      </c>
      <c r="I113" s="61">
        <v>352</v>
      </c>
      <c r="J113" s="10" t="e">
        <f t="shared" si="1"/>
        <v>#REF!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1">
        <v>1</v>
      </c>
      <c r="F114" s="62">
        <v>144.62279967808564</v>
      </c>
      <c r="G114" s="61">
        <v>30</v>
      </c>
      <c r="H114" s="45" t="e">
        <f t="shared" si="4"/>
        <v>#REF!</v>
      </c>
      <c r="I114" s="61">
        <v>320</v>
      </c>
      <c r="J114" s="10" t="e">
        <f t="shared" si="1"/>
        <v>#REF!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1">
        <v>1</v>
      </c>
      <c r="F115" s="62">
        <v>145.00291712756245</v>
      </c>
      <c r="G115" s="61">
        <v>31</v>
      </c>
      <c r="H115" s="45" t="e">
        <f t="shared" si="4"/>
        <v>#REF!</v>
      </c>
      <c r="I115" s="61">
        <v>352</v>
      </c>
      <c r="J115" s="10" t="e">
        <f t="shared" si="1"/>
        <v>#REF!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1">
        <v>0</v>
      </c>
      <c r="F116" s="62">
        <v>145.38403365378039</v>
      </c>
      <c r="G116" s="61">
        <v>30</v>
      </c>
      <c r="H116" s="45" t="e">
        <f t="shared" si="4"/>
        <v>#REF!</v>
      </c>
      <c r="I116" s="61">
        <v>336</v>
      </c>
      <c r="J116" s="10" t="e">
        <f t="shared" si="1"/>
        <v>#REF!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1">
        <v>0</v>
      </c>
      <c r="F117" s="62">
        <v>145.76615188264978</v>
      </c>
      <c r="G117" s="61">
        <v>31</v>
      </c>
      <c r="H117" s="45" t="e">
        <f t="shared" si="4"/>
        <v>#REF!</v>
      </c>
      <c r="I117" s="61">
        <v>336</v>
      </c>
      <c r="J117" s="10" t="e">
        <f t="shared" si="1"/>
        <v>#REF!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1">
        <v>0</v>
      </c>
      <c r="F118" s="62">
        <v>146.14927444698273</v>
      </c>
      <c r="G118" s="61">
        <v>31</v>
      </c>
      <c r="H118" s="45" t="e">
        <f t="shared" si="4"/>
        <v>#REF!</v>
      </c>
      <c r="I118" s="61">
        <v>352</v>
      </c>
      <c r="J118" s="10" t="e">
        <f t="shared" si="1"/>
        <v>#REF!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1">
        <v>1</v>
      </c>
      <c r="F119" s="62">
        <v>146.53340398651127</v>
      </c>
      <c r="G119" s="61">
        <v>30</v>
      </c>
      <c r="H119" s="45" t="e">
        <f t="shared" si="4"/>
        <v>#REF!</v>
      </c>
      <c r="I119" s="61">
        <v>304</v>
      </c>
      <c r="J119" s="10" t="e">
        <f t="shared" si="1"/>
        <v>#REF!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1">
        <v>1</v>
      </c>
      <c r="F120" s="62">
        <v>146.91854314790552</v>
      </c>
      <c r="G120" s="61">
        <v>31</v>
      </c>
      <c r="H120" s="45" t="e">
        <f t="shared" si="4"/>
        <v>#REF!</v>
      </c>
      <c r="I120" s="61">
        <v>352</v>
      </c>
      <c r="J120" s="10" t="e">
        <f t="shared" si="1"/>
        <v>#REF!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1">
        <v>1</v>
      </c>
      <c r="F121" s="62">
        <v>147.30469458479195</v>
      </c>
      <c r="G121" s="61">
        <v>30</v>
      </c>
      <c r="H121" s="45" t="e">
        <f t="shared" si="4"/>
        <v>#REF!</v>
      </c>
      <c r="I121" s="61">
        <v>352</v>
      </c>
      <c r="J121" s="10" t="e">
        <f t="shared" si="1"/>
        <v>#REF!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1">
        <v>0</v>
      </c>
      <c r="F122" s="62">
        <v>147.69186095777155</v>
      </c>
      <c r="G122" s="61">
        <v>31</v>
      </c>
      <c r="H122" s="45" t="e">
        <f t="shared" si="4"/>
        <v>#REF!</v>
      </c>
      <c r="I122" s="61">
        <v>304</v>
      </c>
      <c r="J122" s="10" t="e">
        <f t="shared" si="1"/>
        <v>#REF!</v>
      </c>
      <c r="K122" s="46"/>
    </row>
    <row r="123" spans="1:27" x14ac:dyDescent="0.25">
      <c r="A123" s="3"/>
      <c r="Y123" s="11"/>
      <c r="Z123" s="11"/>
      <c r="AA123" s="11"/>
    </row>
    <row r="124" spans="1:27" x14ac:dyDescent="0.25">
      <c r="A124" s="3"/>
      <c r="C124" s="20"/>
      <c r="D124" s="1" t="s">
        <v>15</v>
      </c>
      <c r="J124" s="46" t="e">
        <f>SUM(J3:J122)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505586942.70414996</v>
      </c>
      <c r="J126" s="6">
        <f>SUM(J3:J14)</f>
        <v>521531384.66595942</v>
      </c>
      <c r="K126" s="37">
        <f t="shared" ref="K126:K133" si="7">J126-B126</f>
        <v>15944441.961809456</v>
      </c>
      <c r="L126" s="5">
        <f t="shared" ref="L126:L133" si="8">K126/B126</f>
        <v>3.1536498700955436E-2</v>
      </c>
    </row>
    <row r="127" spans="1:27" x14ac:dyDescent="0.25">
      <c r="A127">
        <v>2004</v>
      </c>
      <c r="B127" s="6">
        <f>SUM(B15:B26)</f>
        <v>507610890.17020476</v>
      </c>
      <c r="J127" s="6">
        <f>SUM(J15:J26)</f>
        <v>510041554.37869525</v>
      </c>
      <c r="K127" s="37">
        <f t="shared" si="7"/>
        <v>2430664.2084904909</v>
      </c>
      <c r="L127" s="5">
        <f t="shared" si="8"/>
        <v>4.7884398375997719E-3</v>
      </c>
    </row>
    <row r="128" spans="1:27" x14ac:dyDescent="0.25">
      <c r="A128" s="17">
        <v>2005</v>
      </c>
      <c r="B128" s="6">
        <f>SUM(B27:B38)</f>
        <v>549982103.01204824</v>
      </c>
      <c r="J128" s="6">
        <f>SUM(J27:J38)</f>
        <v>547289275.18620205</v>
      </c>
      <c r="K128" s="37">
        <f t="shared" si="7"/>
        <v>-2692827.8258461952</v>
      </c>
      <c r="L128" s="5">
        <f t="shared" si="8"/>
        <v>-4.8962099150110065E-3</v>
      </c>
      <c r="Y128" s="11"/>
      <c r="Z128" s="11"/>
      <c r="AA128" s="11"/>
    </row>
    <row r="129" spans="1:27" x14ac:dyDescent="0.25">
      <c r="A129">
        <v>2006</v>
      </c>
      <c r="B129" s="6">
        <f>SUM(B39:B50)</f>
        <v>521389291.86732179</v>
      </c>
      <c r="J129" s="6">
        <f>SUM(J39:J50)</f>
        <v>521341002.93232656</v>
      </c>
      <c r="K129" s="37">
        <f t="shared" si="7"/>
        <v>-48288.934995234013</v>
      </c>
      <c r="L129" s="5">
        <f t="shared" si="8"/>
        <v>-9.2615893246081709E-5</v>
      </c>
    </row>
    <row r="130" spans="1:27" x14ac:dyDescent="0.25">
      <c r="A130" s="17">
        <v>2007</v>
      </c>
      <c r="B130" s="6">
        <f>SUM(B51:B62)</f>
        <v>519283117.46092635</v>
      </c>
      <c r="J130" s="6">
        <f>SUM(J51:J62)</f>
        <v>535106678.49977893</v>
      </c>
      <c r="K130" s="37">
        <f t="shared" si="7"/>
        <v>15823561.038852572</v>
      </c>
      <c r="L130" s="5">
        <f t="shared" si="8"/>
        <v>3.0471934300932136E-2</v>
      </c>
    </row>
    <row r="131" spans="1:27" x14ac:dyDescent="0.25">
      <c r="A131">
        <v>2008</v>
      </c>
      <c r="B131" s="6">
        <f>SUM(B63:B74)</f>
        <v>529624806.81752807</v>
      </c>
      <c r="J131" s="6">
        <f>SUM(J63:J74)</f>
        <v>514268682.92629296</v>
      </c>
      <c r="K131" s="37">
        <f t="shared" si="7"/>
        <v>-15356123.891235113</v>
      </c>
      <c r="L131" s="5">
        <f t="shared" si="8"/>
        <v>-2.8994344097114332E-2</v>
      </c>
    </row>
    <row r="132" spans="1:27" x14ac:dyDescent="0.25">
      <c r="A132" s="17">
        <v>2009</v>
      </c>
      <c r="B132" s="6">
        <f>SUM(B75:B86)</f>
        <v>529624806.81752807</v>
      </c>
      <c r="J132" s="6" t="e">
        <f>SUM(J75:J86)</f>
        <v>#REF!</v>
      </c>
      <c r="K132" s="37" t="e">
        <f t="shared" si="7"/>
        <v>#REF!</v>
      </c>
      <c r="L132" s="5" t="e">
        <f t="shared" si="8"/>
        <v>#REF!</v>
      </c>
    </row>
    <row r="133" spans="1:27" x14ac:dyDescent="0.25">
      <c r="A133">
        <v>2010</v>
      </c>
      <c r="B133" s="6">
        <f>SUM(B87:B98)</f>
        <v>536982991.29893577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27" x14ac:dyDescent="0.25">
      <c r="A134" s="17">
        <v>2011</v>
      </c>
      <c r="J134" s="6" t="e">
        <f>SUM(J99:J110)</f>
        <v>#REF!</v>
      </c>
    </row>
    <row r="135" spans="1:27" x14ac:dyDescent="0.25">
      <c r="A135" s="17">
        <v>2012</v>
      </c>
      <c r="J135" s="6" t="e">
        <f>SUM(J111:J122)</f>
        <v>#REF!</v>
      </c>
    </row>
    <row r="136" spans="1:27" x14ac:dyDescent="0.25">
      <c r="J136" s="6"/>
    </row>
    <row r="137" spans="1:27" x14ac:dyDescent="0.25">
      <c r="A137" t="s">
        <v>79</v>
      </c>
      <c r="B137" s="6">
        <f>SUM(B126:B133)</f>
        <v>4200084950.1486435</v>
      </c>
      <c r="J137" s="6" t="e">
        <f>SUM(J126:J133)</f>
        <v>#REF!</v>
      </c>
      <c r="K137" s="6" t="e">
        <f>J137-B137</f>
        <v>#REF!</v>
      </c>
    </row>
    <row r="139" spans="1:27" x14ac:dyDescent="0.25">
      <c r="J139" s="6" t="e">
        <f>SUM(J126:J135)</f>
        <v>#REF!</v>
      </c>
      <c r="K139" s="46" t="e">
        <f>J124-J139</f>
        <v>#REF!</v>
      </c>
    </row>
    <row r="140" spans="1:27" x14ac:dyDescent="0.25">
      <c r="J140" s="20"/>
      <c r="K140" s="20" t="s">
        <v>65</v>
      </c>
      <c r="L140" s="20"/>
    </row>
    <row r="142" spans="1:27" x14ac:dyDescent="0.25">
      <c r="Y142" s="11"/>
      <c r="Z142" s="11"/>
      <c r="AA142" s="11"/>
    </row>
    <row r="154" spans="25:27" x14ac:dyDescent="0.25">
      <c r="Y154" s="11"/>
      <c r="Z154" s="11"/>
      <c r="AA154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3"/>
  <sheetViews>
    <sheetView topLeftCell="B1" workbookViewId="0"/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5" customWidth="1"/>
    <col min="6" max="6" width="10.33203125" style="1" customWidth="1"/>
    <col min="7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78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26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8766427.7873398345</v>
      </c>
      <c r="C3" s="59">
        <v>829.5</v>
      </c>
      <c r="D3" s="59">
        <v>0</v>
      </c>
      <c r="E3" s="62">
        <v>125.66024937363977</v>
      </c>
      <c r="F3" s="61">
        <v>31</v>
      </c>
      <c r="G3" s="61">
        <v>0</v>
      </c>
      <c r="H3" s="45">
        <v>4331</v>
      </c>
      <c r="I3" s="61">
        <v>351.91199999999998</v>
      </c>
      <c r="J3" s="10">
        <f>$N$18+C3*$N$19+D3*$N$20+E3*$N$21+F3*$N$22+G3*$N$23+H3*$N$24+I3*$N$25</f>
        <v>13445972.367116263</v>
      </c>
      <c r="K3" s="10"/>
      <c r="L3" s="14"/>
    </row>
    <row r="4" spans="1:27" x14ac:dyDescent="0.25">
      <c r="A4" s="3">
        <v>37653</v>
      </c>
      <c r="B4" s="44">
        <v>13772520.128131574</v>
      </c>
      <c r="C4" s="59">
        <v>699.2</v>
      </c>
      <c r="D4" s="59">
        <v>0</v>
      </c>
      <c r="E4" s="62">
        <v>125.80592062045517</v>
      </c>
      <c r="F4" s="61">
        <v>28</v>
      </c>
      <c r="G4" s="61">
        <v>0</v>
      </c>
      <c r="H4" s="45">
        <v>4352</v>
      </c>
      <c r="I4" s="61">
        <v>319.87200000000001</v>
      </c>
      <c r="J4" s="10">
        <f t="shared" ref="J4:J67" si="0">$N$18+C4*$N$19+D4*$N$20+E4*$N$21+F4*$N$22+G4*$N$23+H4*$N$24+I4*$N$25</f>
        <v>13344680.981331848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14260346.567221265</v>
      </c>
      <c r="C5" s="59">
        <v>593.1</v>
      </c>
      <c r="D5" s="59">
        <v>0</v>
      </c>
      <c r="E5" s="62">
        <v>125.9517607362029</v>
      </c>
      <c r="F5" s="61">
        <v>31</v>
      </c>
      <c r="G5" s="61">
        <v>1</v>
      </c>
      <c r="H5" s="45">
        <v>4353</v>
      </c>
      <c r="I5" s="61">
        <v>336.28800000000001</v>
      </c>
      <c r="J5" s="10">
        <f t="shared" si="0"/>
        <v>12769512.222701717</v>
      </c>
      <c r="K5" s="10"/>
      <c r="L5" s="14"/>
      <c r="M5" s="36" t="s">
        <v>29</v>
      </c>
      <c r="N5" s="58">
        <v>0.66463921042193164</v>
      </c>
    </row>
    <row r="6" spans="1:27" x14ac:dyDescent="0.25">
      <c r="A6" s="3">
        <v>37712</v>
      </c>
      <c r="B6" s="44">
        <v>13389122.662076879</v>
      </c>
      <c r="C6" s="59">
        <v>387.1</v>
      </c>
      <c r="D6" s="59">
        <v>0</v>
      </c>
      <c r="E6" s="62">
        <v>126.09776991664374</v>
      </c>
      <c r="F6" s="61">
        <v>30</v>
      </c>
      <c r="G6" s="61">
        <v>1</v>
      </c>
      <c r="H6" s="45">
        <v>4347</v>
      </c>
      <c r="I6" s="61">
        <v>336.24</v>
      </c>
      <c r="J6" s="10">
        <f t="shared" si="0"/>
        <v>12470254.448429581</v>
      </c>
      <c r="K6" s="10"/>
      <c r="L6" s="14"/>
      <c r="M6" s="36" t="s">
        <v>30</v>
      </c>
      <c r="N6" s="58">
        <v>0.44174528003028873</v>
      </c>
    </row>
    <row r="7" spans="1:27" x14ac:dyDescent="0.25">
      <c r="A7" s="3">
        <v>37742</v>
      </c>
      <c r="B7" s="44">
        <v>12846440.734366035</v>
      </c>
      <c r="C7" s="59">
        <v>215.8</v>
      </c>
      <c r="D7" s="59">
        <v>0</v>
      </c>
      <c r="E7" s="62">
        <v>126.2439483577654</v>
      </c>
      <c r="F7" s="61">
        <v>31</v>
      </c>
      <c r="G7" s="61">
        <v>1</v>
      </c>
      <c r="H7" s="45">
        <v>4348</v>
      </c>
      <c r="I7" s="61">
        <v>336.28800000000001</v>
      </c>
      <c r="J7" s="10">
        <f t="shared" si="0"/>
        <v>12250853.987257116</v>
      </c>
      <c r="K7" s="10"/>
      <c r="L7" s="14"/>
      <c r="M7" s="36" t="s">
        <v>31</v>
      </c>
      <c r="N7" s="58">
        <v>0.39733865457815259</v>
      </c>
    </row>
    <row r="8" spans="1:27" x14ac:dyDescent="0.25">
      <c r="A8" s="3">
        <v>37773</v>
      </c>
      <c r="B8" s="44">
        <v>13136066.322432587</v>
      </c>
      <c r="C8" s="59">
        <v>54.5</v>
      </c>
      <c r="D8" s="59">
        <v>41.4</v>
      </c>
      <c r="E8" s="62">
        <v>126.3902962557828</v>
      </c>
      <c r="F8" s="61">
        <v>30</v>
      </c>
      <c r="G8" s="61">
        <v>0</v>
      </c>
      <c r="H8" s="45">
        <v>4355</v>
      </c>
      <c r="I8" s="61">
        <v>336.24</v>
      </c>
      <c r="J8" s="10">
        <f t="shared" si="0"/>
        <v>13282886.500449397</v>
      </c>
      <c r="K8" s="10"/>
      <c r="L8" s="14"/>
      <c r="M8" s="36" t="s">
        <v>32</v>
      </c>
      <c r="N8" s="63">
        <v>1031161.9197455636</v>
      </c>
    </row>
    <row r="9" spans="1:27" ht="13.8" thickBot="1" x14ac:dyDescent="0.3">
      <c r="A9" s="3">
        <v>37803</v>
      </c>
      <c r="B9" s="44">
        <v>15423366.972652514</v>
      </c>
      <c r="C9" s="59">
        <v>6.5</v>
      </c>
      <c r="D9" s="59">
        <v>83.9</v>
      </c>
      <c r="E9" s="62">
        <v>126.5368138071383</v>
      </c>
      <c r="F9" s="61">
        <v>31</v>
      </c>
      <c r="G9" s="61">
        <v>0</v>
      </c>
      <c r="H9" s="45">
        <v>4362</v>
      </c>
      <c r="I9" s="61">
        <v>351.91199999999998</v>
      </c>
      <c r="J9" s="10">
        <f t="shared" si="0"/>
        <v>14047490.372312138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14467180.01529929</v>
      </c>
      <c r="C10" s="59">
        <v>5.7</v>
      </c>
      <c r="D10" s="59">
        <v>102.6</v>
      </c>
      <c r="E10" s="62">
        <v>126.68350120850199</v>
      </c>
      <c r="F10" s="61">
        <v>31</v>
      </c>
      <c r="G10" s="61">
        <v>0</v>
      </c>
      <c r="H10" s="45">
        <v>4365</v>
      </c>
      <c r="I10" s="61">
        <v>319.92</v>
      </c>
      <c r="J10" s="10">
        <f t="shared" si="0"/>
        <v>14483757.112375934</v>
      </c>
      <c r="K10" s="10"/>
      <c r="L10" s="14"/>
    </row>
    <row r="11" spans="1:27" ht="13.8" thickBot="1" x14ac:dyDescent="0.3">
      <c r="A11" s="3">
        <v>37865</v>
      </c>
      <c r="B11" s="44">
        <v>13141414.955058327</v>
      </c>
      <c r="C11" s="59">
        <v>73.900000000000006</v>
      </c>
      <c r="D11" s="59">
        <v>14.8</v>
      </c>
      <c r="E11" s="62">
        <v>126.83035865677196</v>
      </c>
      <c r="F11" s="61">
        <v>30</v>
      </c>
      <c r="G11" s="61">
        <v>1</v>
      </c>
      <c r="H11" s="45">
        <v>4345</v>
      </c>
      <c r="I11" s="61">
        <v>336.24</v>
      </c>
      <c r="J11" s="10">
        <f t="shared" si="0"/>
        <v>12342253.918947589</v>
      </c>
      <c r="K11" s="10"/>
      <c r="L11" s="14"/>
      <c r="M11" t="s">
        <v>34</v>
      </c>
    </row>
    <row r="12" spans="1:27" x14ac:dyDescent="0.25">
      <c r="A12" s="3">
        <v>37895</v>
      </c>
      <c r="B12" s="44">
        <v>12701448.489194874</v>
      </c>
      <c r="C12" s="59">
        <v>293.5</v>
      </c>
      <c r="D12" s="59">
        <v>0</v>
      </c>
      <c r="E12" s="62">
        <v>126.97738634907456</v>
      </c>
      <c r="F12" s="61">
        <v>31</v>
      </c>
      <c r="G12" s="61">
        <v>1</v>
      </c>
      <c r="H12" s="45">
        <v>4355</v>
      </c>
      <c r="I12" s="61">
        <v>351.91199999999998</v>
      </c>
      <c r="J12" s="10">
        <f t="shared" si="0"/>
        <v>12351393.449069917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12620157.611397972</v>
      </c>
      <c r="C13" s="59">
        <v>391.5</v>
      </c>
      <c r="D13" s="59">
        <v>0</v>
      </c>
      <c r="E13" s="62">
        <v>127.12458448276465</v>
      </c>
      <c r="F13" s="61">
        <v>30</v>
      </c>
      <c r="G13" s="61">
        <v>1</v>
      </c>
      <c r="H13" s="45">
        <v>4378</v>
      </c>
      <c r="I13" s="61">
        <v>319.68</v>
      </c>
      <c r="J13" s="10">
        <f t="shared" si="0"/>
        <v>12584375.728107225</v>
      </c>
      <c r="K13" s="10"/>
      <c r="L13" s="14"/>
      <c r="M13" s="36" t="s">
        <v>35</v>
      </c>
      <c r="N13" s="36">
        <v>7</v>
      </c>
      <c r="O13" s="36">
        <v>74041621146543.281</v>
      </c>
      <c r="P13" s="36">
        <v>10577374449506.184</v>
      </c>
      <c r="Q13" s="36">
        <v>9.9477335990420119</v>
      </c>
      <c r="R13" s="36">
        <v>4.3003116139729E-9</v>
      </c>
    </row>
    <row r="14" spans="1:27" x14ac:dyDescent="0.25">
      <c r="A14" s="3">
        <v>37956</v>
      </c>
      <c r="B14" s="44">
        <v>13513691.336775674</v>
      </c>
      <c r="C14" s="59">
        <v>571</v>
      </c>
      <c r="D14" s="59">
        <v>0</v>
      </c>
      <c r="E14" s="62">
        <v>127.27195325542573</v>
      </c>
      <c r="F14" s="61">
        <v>31</v>
      </c>
      <c r="G14" s="61">
        <v>0</v>
      </c>
      <c r="H14" s="45">
        <v>4390</v>
      </c>
      <c r="I14" s="61">
        <v>336.28800000000001</v>
      </c>
      <c r="J14" s="10">
        <f t="shared" si="0"/>
        <v>13263788.194173619</v>
      </c>
      <c r="K14" s="10"/>
      <c r="L14" s="14"/>
      <c r="M14" s="36" t="s">
        <v>36</v>
      </c>
      <c r="N14" s="36">
        <v>88</v>
      </c>
      <c r="O14" s="36">
        <v>93569951616535.344</v>
      </c>
      <c r="P14" s="36">
        <v>1063294904733.3562</v>
      </c>
      <c r="Q14" s="36"/>
      <c r="R14" s="36"/>
    </row>
    <row r="15" spans="1:27" ht="13.8" thickBot="1" x14ac:dyDescent="0.3">
      <c r="A15" s="3">
        <v>37987</v>
      </c>
      <c r="B15" s="44">
        <v>15223222.987186842</v>
      </c>
      <c r="C15" s="59">
        <v>859.1</v>
      </c>
      <c r="D15" s="59">
        <v>0</v>
      </c>
      <c r="E15" s="62">
        <v>127.53411264087498</v>
      </c>
      <c r="F15" s="61">
        <v>31</v>
      </c>
      <c r="G15" s="61">
        <v>0</v>
      </c>
      <c r="H15" s="45">
        <v>4382</v>
      </c>
      <c r="I15" s="61">
        <v>336.28800000000001</v>
      </c>
      <c r="J15" s="10">
        <f t="shared" si="0"/>
        <v>13644549.609203413</v>
      </c>
      <c r="K15" s="10"/>
      <c r="L15" s="14"/>
      <c r="M15" s="48" t="s">
        <v>11</v>
      </c>
      <c r="N15" s="48">
        <v>95</v>
      </c>
      <c r="O15" s="48">
        <v>167611572763078.63</v>
      </c>
      <c r="P15" s="48"/>
      <c r="Q15" s="48"/>
      <c r="R15" s="48"/>
    </row>
    <row r="16" spans="1:27" ht="13.8" thickBot="1" x14ac:dyDescent="0.3">
      <c r="A16" s="3">
        <v>38018</v>
      </c>
      <c r="B16" s="44">
        <v>13730710.786001146</v>
      </c>
      <c r="C16" s="59">
        <v>647.70000000000005</v>
      </c>
      <c r="D16" s="59">
        <v>0</v>
      </c>
      <c r="E16" s="62">
        <v>127.79681203173486</v>
      </c>
      <c r="F16" s="61">
        <v>29</v>
      </c>
      <c r="G16" s="61">
        <v>0</v>
      </c>
      <c r="H16" s="45">
        <v>4385</v>
      </c>
      <c r="I16" s="61">
        <v>320.16000000000003</v>
      </c>
      <c r="J16" s="10">
        <f t="shared" si="0"/>
        <v>13378688.360099593</v>
      </c>
      <c r="K16" s="10"/>
      <c r="L16" s="14"/>
    </row>
    <row r="17" spans="1:21" x14ac:dyDescent="0.25">
      <c r="A17" s="3">
        <v>38047</v>
      </c>
      <c r="B17" s="44">
        <v>13785424.039013196</v>
      </c>
      <c r="C17" s="59">
        <v>513.6</v>
      </c>
      <c r="D17" s="59">
        <v>0</v>
      </c>
      <c r="E17" s="62">
        <v>128.06005254032812</v>
      </c>
      <c r="F17" s="61">
        <v>31</v>
      </c>
      <c r="G17" s="61">
        <v>1</v>
      </c>
      <c r="H17" s="45">
        <v>4380</v>
      </c>
      <c r="I17" s="61">
        <v>368.28</v>
      </c>
      <c r="J17" s="10">
        <f t="shared" si="0"/>
        <v>12684621.981404588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12210311.981258366</v>
      </c>
      <c r="C18" s="59">
        <v>329.3</v>
      </c>
      <c r="D18" s="59">
        <v>0</v>
      </c>
      <c r="E18" s="62">
        <v>128.32383528126866</v>
      </c>
      <c r="F18" s="61">
        <v>30</v>
      </c>
      <c r="G18" s="61">
        <v>1</v>
      </c>
      <c r="H18" s="45">
        <v>4373</v>
      </c>
      <c r="I18" s="61">
        <v>336.24</v>
      </c>
      <c r="J18" s="10">
        <f t="shared" si="0"/>
        <v>12476746.604031194</v>
      </c>
      <c r="K18" s="10"/>
      <c r="L18" s="14"/>
      <c r="M18" s="36" t="s">
        <v>37</v>
      </c>
      <c r="N18" s="54">
        <v>2350315.4075402073</v>
      </c>
      <c r="O18" s="36">
        <v>5250702.8626346197</v>
      </c>
      <c r="P18" s="54">
        <v>0.44761919861542132</v>
      </c>
      <c r="Q18" s="36">
        <v>0.65552799483097191</v>
      </c>
      <c r="R18" s="36">
        <v>-8084352.9556825515</v>
      </c>
      <c r="S18" s="36">
        <v>12784983.770762967</v>
      </c>
      <c r="T18" s="36">
        <v>-8084352.9556825515</v>
      </c>
      <c r="U18" s="36">
        <v>12784983.770762967</v>
      </c>
    </row>
    <row r="19" spans="1:21" x14ac:dyDescent="0.25">
      <c r="A19" s="3">
        <v>38108</v>
      </c>
      <c r="B19" s="44">
        <v>12430459.122203099</v>
      </c>
      <c r="C19" s="59">
        <v>164.1</v>
      </c>
      <c r="D19" s="59">
        <v>14.2</v>
      </c>
      <c r="E19" s="62">
        <v>128.58816137146633</v>
      </c>
      <c r="F19" s="61">
        <v>31</v>
      </c>
      <c r="G19" s="61">
        <v>1</v>
      </c>
      <c r="H19" s="45">
        <v>4366</v>
      </c>
      <c r="I19" s="61">
        <v>319.92</v>
      </c>
      <c r="J19" s="10">
        <f t="shared" si="0"/>
        <v>12562627.802192461</v>
      </c>
      <c r="K19" s="10"/>
      <c r="L19" s="14"/>
      <c r="M19" s="36" t="s">
        <v>3</v>
      </c>
      <c r="N19" s="54">
        <v>1361.1302091657085</v>
      </c>
      <c r="O19" s="36">
        <v>750.70981392479882</v>
      </c>
      <c r="P19" s="54">
        <v>1.8131243043827552</v>
      </c>
      <c r="Q19" s="36">
        <v>7.3221974786654251E-2</v>
      </c>
      <c r="R19" s="36">
        <v>-130.74776417506655</v>
      </c>
      <c r="S19" s="36">
        <v>2853.0081825064835</v>
      </c>
      <c r="T19" s="36">
        <v>-130.74776417506655</v>
      </c>
      <c r="U19" s="36">
        <v>2853.0081825064835</v>
      </c>
    </row>
    <row r="20" spans="1:21" x14ac:dyDescent="0.25">
      <c r="A20" s="3">
        <v>38139</v>
      </c>
      <c r="B20" s="44">
        <v>12752424.249378465</v>
      </c>
      <c r="C20" s="59">
        <v>60.1</v>
      </c>
      <c r="D20" s="59">
        <v>29.2</v>
      </c>
      <c r="E20" s="62">
        <v>128.85303193013166</v>
      </c>
      <c r="F20" s="61">
        <v>30</v>
      </c>
      <c r="G20" s="61">
        <v>0</v>
      </c>
      <c r="H20" s="45">
        <v>4367</v>
      </c>
      <c r="I20" s="61">
        <v>352.08</v>
      </c>
      <c r="J20" s="10">
        <f t="shared" si="0"/>
        <v>13081976.582501527</v>
      </c>
      <c r="K20" s="10"/>
      <c r="L20" s="14"/>
      <c r="M20" s="36" t="s">
        <v>4</v>
      </c>
      <c r="N20" s="54">
        <v>19642.533038640828</v>
      </c>
      <c r="O20" s="36">
        <v>6132.3215452986287</v>
      </c>
      <c r="P20" s="54">
        <v>3.2031153118022426</v>
      </c>
      <c r="Q20" s="36">
        <v>1.8933754508114998E-3</v>
      </c>
      <c r="R20" s="36">
        <v>7455.8328394736654</v>
      </c>
      <c r="S20" s="36">
        <v>31829.233237807988</v>
      </c>
      <c r="T20" s="36">
        <v>7455.8328394736654</v>
      </c>
      <c r="U20" s="36">
        <v>31829.233237807988</v>
      </c>
    </row>
    <row r="21" spans="1:21" x14ac:dyDescent="0.25">
      <c r="A21" s="3">
        <v>38169</v>
      </c>
      <c r="B21" s="44">
        <v>13991456.942053929</v>
      </c>
      <c r="C21" s="59">
        <v>7.7</v>
      </c>
      <c r="D21" s="59">
        <v>71.599999999999994</v>
      </c>
      <c r="E21" s="62">
        <v>129.11844807878055</v>
      </c>
      <c r="F21" s="61">
        <v>31</v>
      </c>
      <c r="G21" s="61">
        <v>0</v>
      </c>
      <c r="H21" s="45">
        <v>4362</v>
      </c>
      <c r="I21" s="61">
        <v>336.28800000000001</v>
      </c>
      <c r="J21" s="10">
        <f t="shared" si="0"/>
        <v>13878178.446605712</v>
      </c>
      <c r="K21" s="10"/>
      <c r="L21" s="14"/>
      <c r="M21" s="36" t="s">
        <v>7</v>
      </c>
      <c r="N21" s="54">
        <v>15652.54468167708</v>
      </c>
      <c r="O21" s="36">
        <v>37775.077478728039</v>
      </c>
      <c r="P21" s="54">
        <v>0.41436168305654347</v>
      </c>
      <c r="Q21" s="36">
        <v>0.67961754590573187</v>
      </c>
      <c r="R21" s="36">
        <v>-59417.482359958078</v>
      </c>
      <c r="S21" s="36">
        <v>90722.571723312241</v>
      </c>
      <c r="T21" s="36">
        <v>-59417.482359958078</v>
      </c>
      <c r="U21" s="36">
        <v>90722.571723312241</v>
      </c>
    </row>
    <row r="22" spans="1:21" x14ac:dyDescent="0.25">
      <c r="A22" s="3">
        <v>38200</v>
      </c>
      <c r="B22" s="44">
        <v>13708660.288774144</v>
      </c>
      <c r="C22" s="59">
        <v>28.9</v>
      </c>
      <c r="D22" s="59">
        <v>40</v>
      </c>
      <c r="E22" s="62">
        <v>129.38441094123903</v>
      </c>
      <c r="F22" s="61">
        <v>31</v>
      </c>
      <c r="G22" s="61">
        <v>0</v>
      </c>
      <c r="H22" s="45">
        <v>4372</v>
      </c>
      <c r="I22" s="61">
        <v>336.28800000000001</v>
      </c>
      <c r="J22" s="10">
        <f t="shared" si="0"/>
        <v>13309847.933263915</v>
      </c>
      <c r="K22" s="10"/>
      <c r="L22" s="14"/>
      <c r="M22" s="36" t="s">
        <v>5</v>
      </c>
      <c r="N22" s="54">
        <v>9630.5516526737811</v>
      </c>
      <c r="O22" s="36">
        <v>141409.49831266684</v>
      </c>
      <c r="P22" s="54">
        <v>6.810399419832408E-2</v>
      </c>
      <c r="Q22" s="36">
        <v>0.94585735653415837</v>
      </c>
      <c r="R22" s="36">
        <v>-271391.10523880029</v>
      </c>
      <c r="S22" s="36">
        <v>290652.2085441479</v>
      </c>
      <c r="T22" s="36">
        <v>-271391.10523880029</v>
      </c>
      <c r="U22" s="36">
        <v>290652.2085441479</v>
      </c>
    </row>
    <row r="23" spans="1:21" x14ac:dyDescent="0.25">
      <c r="A23" s="3">
        <v>38231</v>
      </c>
      <c r="B23" s="44">
        <v>13169571.964046661</v>
      </c>
      <c r="C23" s="59">
        <v>43.9</v>
      </c>
      <c r="D23" s="59">
        <v>31.2</v>
      </c>
      <c r="E23" s="62">
        <v>129.65092164364802</v>
      </c>
      <c r="F23" s="61">
        <v>30</v>
      </c>
      <c r="G23" s="61">
        <v>1</v>
      </c>
      <c r="H23" s="45">
        <v>4374</v>
      </c>
      <c r="I23" s="61">
        <v>336.24</v>
      </c>
      <c r="J23" s="10">
        <f t="shared" si="0"/>
        <v>12723834.809190145</v>
      </c>
      <c r="K23" s="10"/>
      <c r="L23" s="14"/>
      <c r="M23" s="36" t="s">
        <v>26</v>
      </c>
      <c r="N23" s="54">
        <v>-432080.65046934417</v>
      </c>
      <c r="O23" s="36">
        <v>312947.97983007506</v>
      </c>
      <c r="P23" s="54">
        <v>-1.38067882944621</v>
      </c>
      <c r="Q23" s="36">
        <v>0.17087446518499472</v>
      </c>
      <c r="R23" s="36">
        <v>-1053998.9859564984</v>
      </c>
      <c r="S23" s="36">
        <v>189837.68501781003</v>
      </c>
      <c r="T23" s="36">
        <v>-1053998.9859564984</v>
      </c>
      <c r="U23" s="36">
        <v>189837.68501781003</v>
      </c>
    </row>
    <row r="24" spans="1:21" x14ac:dyDescent="0.25">
      <c r="A24" s="3">
        <v>38261</v>
      </c>
      <c r="B24" s="44">
        <v>12461257.65920826</v>
      </c>
      <c r="C24" s="59">
        <v>253.5</v>
      </c>
      <c r="D24" s="59">
        <v>0</v>
      </c>
      <c r="E24" s="62">
        <v>129.91798131446814</v>
      </c>
      <c r="F24" s="61">
        <v>31</v>
      </c>
      <c r="G24" s="61">
        <v>1</v>
      </c>
      <c r="H24" s="45">
        <v>4362</v>
      </c>
      <c r="I24" s="61">
        <v>319.92</v>
      </c>
      <c r="J24" s="10">
        <f t="shared" si="0"/>
        <v>12418462.109956942</v>
      </c>
      <c r="K24" s="10"/>
      <c r="L24" s="14"/>
      <c r="M24" s="36" t="s">
        <v>66</v>
      </c>
      <c r="N24" s="54">
        <v>1935.4574656640025</v>
      </c>
      <c r="O24" s="36">
        <v>692.51725097484484</v>
      </c>
      <c r="P24" s="54">
        <v>2.7948148048867978</v>
      </c>
      <c r="Q24" s="36">
        <v>6.3737682555808951E-3</v>
      </c>
      <c r="R24" s="36">
        <v>559.22498045584894</v>
      </c>
      <c r="S24" s="36">
        <v>3311.6899508721563</v>
      </c>
      <c r="T24" s="36">
        <v>559.22498045584894</v>
      </c>
      <c r="U24" s="36">
        <v>3311.6899508721563</v>
      </c>
    </row>
    <row r="25" spans="1:21" ht="13.8" thickBot="1" x14ac:dyDescent="0.3">
      <c r="A25" s="3">
        <v>38292</v>
      </c>
      <c r="B25" s="44">
        <v>12515465.088927137</v>
      </c>
      <c r="C25" s="59">
        <v>396</v>
      </c>
      <c r="D25" s="59">
        <v>0</v>
      </c>
      <c r="E25" s="62">
        <v>130.18559108448443</v>
      </c>
      <c r="F25" s="61">
        <v>30</v>
      </c>
      <c r="G25" s="61">
        <v>1</v>
      </c>
      <c r="H25" s="45">
        <v>4372</v>
      </c>
      <c r="I25" s="61">
        <v>352.08</v>
      </c>
      <c r="J25" s="10">
        <f t="shared" si="0"/>
        <v>12564072.833595436</v>
      </c>
      <c r="K25" s="10"/>
      <c r="L25" s="14"/>
      <c r="M25" s="48" t="s">
        <v>6</v>
      </c>
      <c r="N25" s="55">
        <v>-1936.0425389931652</v>
      </c>
      <c r="O25" s="48">
        <v>6805.2647443076012</v>
      </c>
      <c r="P25" s="55">
        <v>-0.28449187676535381</v>
      </c>
      <c r="Q25" s="48">
        <v>0.77670184439807011</v>
      </c>
      <c r="R25" s="48">
        <v>-15460.075909099174</v>
      </c>
      <c r="S25" s="48">
        <v>11587.990831112846</v>
      </c>
      <c r="T25" s="48">
        <v>-15460.075909099174</v>
      </c>
      <c r="U25" s="48">
        <v>11587.990831112846</v>
      </c>
    </row>
    <row r="26" spans="1:21" x14ac:dyDescent="0.25">
      <c r="A26" s="3">
        <v>38322</v>
      </c>
      <c r="B26" s="44">
        <v>14058095.917001337</v>
      </c>
      <c r="C26" s="59">
        <v>636.70000000000005</v>
      </c>
      <c r="D26" s="59">
        <v>0</v>
      </c>
      <c r="E26" s="62">
        <v>130.45375208681136</v>
      </c>
      <c r="F26" s="61">
        <v>31</v>
      </c>
      <c r="G26" s="61">
        <v>0</v>
      </c>
      <c r="H26" s="45">
        <v>4381</v>
      </c>
      <c r="I26" s="61">
        <v>336.28800000000001</v>
      </c>
      <c r="J26" s="10">
        <f t="shared" si="0"/>
        <v>13385598.580101203</v>
      </c>
      <c r="K26" s="10"/>
      <c r="L26" s="14"/>
    </row>
    <row r="27" spans="1:21" x14ac:dyDescent="0.25">
      <c r="A27" s="3">
        <v>38353</v>
      </c>
      <c r="B27" s="44">
        <v>8119792.3790399684</v>
      </c>
      <c r="C27" s="59">
        <v>765.8</v>
      </c>
      <c r="D27" s="59">
        <v>0</v>
      </c>
      <c r="E27" s="62">
        <v>130.74370215685079</v>
      </c>
      <c r="F27" s="61">
        <v>31</v>
      </c>
      <c r="G27" s="61">
        <v>0</v>
      </c>
      <c r="H27" s="45">
        <v>4398</v>
      </c>
      <c r="I27" s="61">
        <v>319.92</v>
      </c>
      <c r="J27" s="10">
        <f t="shared" si="0"/>
        <v>13630450.867725771</v>
      </c>
      <c r="K27" s="10"/>
      <c r="L27" s="14"/>
    </row>
    <row r="28" spans="1:21" x14ac:dyDescent="0.25">
      <c r="A28" s="3">
        <v>38384</v>
      </c>
      <c r="B28" s="44">
        <v>13584680.06310958</v>
      </c>
      <c r="C28" s="59">
        <v>641.70000000000005</v>
      </c>
      <c r="D28" s="59">
        <v>0</v>
      </c>
      <c r="E28" s="62">
        <v>131.0342966778299</v>
      </c>
      <c r="F28" s="61">
        <v>28</v>
      </c>
      <c r="G28" s="61">
        <v>0</v>
      </c>
      <c r="H28" s="45">
        <v>4398</v>
      </c>
      <c r="I28" s="61">
        <v>319.87200000000001</v>
      </c>
      <c r="J28" s="10">
        <f t="shared" si="0"/>
        <v>13437284.427576032</v>
      </c>
      <c r="K28" s="10"/>
      <c r="L28" s="14"/>
    </row>
    <row r="29" spans="1:21" x14ac:dyDescent="0.25">
      <c r="A29" s="3">
        <v>38412</v>
      </c>
      <c r="B29" s="44">
        <v>13362329.632816982</v>
      </c>
      <c r="C29" s="59">
        <v>646.9</v>
      </c>
      <c r="D29" s="59">
        <v>0</v>
      </c>
      <c r="E29" s="62">
        <v>131.32553708212293</v>
      </c>
      <c r="F29" s="61">
        <v>31</v>
      </c>
      <c r="G29" s="61">
        <v>1</v>
      </c>
      <c r="H29" s="45">
        <v>4397</v>
      </c>
      <c r="I29" s="61">
        <v>351.91199999999998</v>
      </c>
      <c r="J29" s="10">
        <f t="shared" si="0"/>
        <v>12981765.702178674</v>
      </c>
      <c r="K29" s="10"/>
      <c r="L29" s="14"/>
    </row>
    <row r="30" spans="1:21" x14ac:dyDescent="0.25">
      <c r="A30" s="3">
        <v>38443</v>
      </c>
      <c r="B30" s="44">
        <v>12199755.517307324</v>
      </c>
      <c r="C30" s="59">
        <v>339</v>
      </c>
      <c r="D30" s="59">
        <v>0</v>
      </c>
      <c r="E30" s="62">
        <v>131.61742480528775</v>
      </c>
      <c r="F30" s="61">
        <v>30</v>
      </c>
      <c r="G30" s="61">
        <v>1</v>
      </c>
      <c r="H30" s="45">
        <v>4399</v>
      </c>
      <c r="I30" s="61">
        <v>336.24</v>
      </c>
      <c r="J30" s="10">
        <f t="shared" si="0"/>
        <v>12591824.518355176</v>
      </c>
      <c r="K30" s="10"/>
      <c r="L30" s="14"/>
    </row>
    <row r="31" spans="1:21" x14ac:dyDescent="0.25">
      <c r="A31" s="3">
        <v>38473</v>
      </c>
      <c r="B31" s="44">
        <v>12102963.492063493</v>
      </c>
      <c r="C31" s="59">
        <v>212.7</v>
      </c>
      <c r="D31" s="59">
        <v>0</v>
      </c>
      <c r="E31" s="62">
        <v>131.90996128607298</v>
      </c>
      <c r="F31" s="61">
        <v>31</v>
      </c>
      <c r="G31" s="61">
        <v>1</v>
      </c>
      <c r="H31" s="45">
        <v>4391</v>
      </c>
      <c r="I31" s="61">
        <v>336.28800000000001</v>
      </c>
      <c r="J31" s="10">
        <f t="shared" si="0"/>
        <v>12418546.675159547</v>
      </c>
      <c r="K31" s="10"/>
      <c r="L31" s="14"/>
    </row>
    <row r="32" spans="1:21" x14ac:dyDescent="0.25">
      <c r="A32" s="3">
        <v>38504</v>
      </c>
      <c r="B32" s="44">
        <v>15227134.557276726</v>
      </c>
      <c r="C32" s="59">
        <v>13.1</v>
      </c>
      <c r="D32" s="59">
        <v>119.6</v>
      </c>
      <c r="E32" s="62">
        <v>132.20314796642501</v>
      </c>
      <c r="F32" s="61">
        <v>30</v>
      </c>
      <c r="G32" s="61">
        <v>0</v>
      </c>
      <c r="H32" s="45">
        <v>4394</v>
      </c>
      <c r="I32" s="61">
        <v>352.08</v>
      </c>
      <c r="J32" s="10">
        <f t="shared" si="0"/>
        <v>14898383.641883682</v>
      </c>
      <c r="K32" s="10"/>
      <c r="L32" s="14"/>
    </row>
    <row r="33" spans="1:12" x14ac:dyDescent="0.25">
      <c r="A33" s="3">
        <v>38534</v>
      </c>
      <c r="B33" s="44">
        <v>15041396.481162746</v>
      </c>
      <c r="C33" s="59">
        <v>1.1000000000000001</v>
      </c>
      <c r="D33" s="59">
        <v>144.69999999999999</v>
      </c>
      <c r="E33" s="62">
        <v>132.49698629149512</v>
      </c>
      <c r="F33" s="61">
        <v>31</v>
      </c>
      <c r="G33" s="61">
        <v>0</v>
      </c>
      <c r="H33" s="45">
        <v>4400</v>
      </c>
      <c r="I33" s="61">
        <v>319.92</v>
      </c>
      <c r="J33" s="10">
        <f t="shared" si="0"/>
        <v>15463183.400656603</v>
      </c>
      <c r="K33" s="10"/>
      <c r="L33" s="14"/>
    </row>
    <row r="34" spans="1:12" x14ac:dyDescent="0.25">
      <c r="A34" s="3">
        <v>38565</v>
      </c>
      <c r="B34" s="44">
        <v>14684731.832090264</v>
      </c>
      <c r="C34" s="59">
        <v>3.8</v>
      </c>
      <c r="D34" s="59">
        <v>102.5</v>
      </c>
      <c r="E34" s="62">
        <v>132.79147770964664</v>
      </c>
      <c r="F34" s="61">
        <v>31</v>
      </c>
      <c r="G34" s="61">
        <v>0</v>
      </c>
      <c r="H34" s="45">
        <v>4396</v>
      </c>
      <c r="I34" s="61">
        <v>351.91199999999998</v>
      </c>
      <c r="J34" s="10">
        <f t="shared" si="0"/>
        <v>14572873.395301571</v>
      </c>
      <c r="K34" s="10"/>
      <c r="L34" s="14"/>
    </row>
    <row r="35" spans="1:12" x14ac:dyDescent="0.25">
      <c r="A35" s="3">
        <v>38596</v>
      </c>
      <c r="B35" s="44">
        <v>13365326.553834384</v>
      </c>
      <c r="C35" s="59">
        <v>32.799999999999997</v>
      </c>
      <c r="D35" s="59">
        <v>25.6</v>
      </c>
      <c r="E35" s="62">
        <v>133.08662367246211</v>
      </c>
      <c r="F35" s="61">
        <v>30</v>
      </c>
      <c r="G35" s="61">
        <v>1</v>
      </c>
      <c r="H35" s="45">
        <v>4406</v>
      </c>
      <c r="I35" s="61">
        <v>336.24</v>
      </c>
      <c r="J35" s="10">
        <f t="shared" si="0"/>
        <v>12714440.197272208</v>
      </c>
      <c r="K35" s="10"/>
      <c r="L35" s="14"/>
    </row>
    <row r="36" spans="1:12" x14ac:dyDescent="0.25">
      <c r="A36" s="3">
        <v>38626</v>
      </c>
      <c r="B36" s="44">
        <v>12487023.742589405</v>
      </c>
      <c r="C36" s="59">
        <v>234.2</v>
      </c>
      <c r="D36" s="59">
        <v>7.6</v>
      </c>
      <c r="E36" s="62">
        <v>133.38242563475035</v>
      </c>
      <c r="F36" s="61">
        <v>31</v>
      </c>
      <c r="G36" s="61">
        <v>1</v>
      </c>
      <c r="H36" s="45">
        <v>4413</v>
      </c>
      <c r="I36" s="61">
        <v>319.92</v>
      </c>
      <c r="J36" s="10">
        <f t="shared" si="0"/>
        <v>12694411.24828298</v>
      </c>
      <c r="K36" s="10"/>
      <c r="L36" s="14"/>
    </row>
    <row r="37" spans="1:12" x14ac:dyDescent="0.25">
      <c r="A37" s="3">
        <v>38657</v>
      </c>
      <c r="B37" s="44">
        <v>11736597.695544081</v>
      </c>
      <c r="C37" s="59">
        <v>396.3</v>
      </c>
      <c r="D37" s="59">
        <v>0</v>
      </c>
      <c r="E37" s="62">
        <v>133.67888505455369</v>
      </c>
      <c r="F37" s="61">
        <v>30</v>
      </c>
      <c r="G37" s="61">
        <v>1</v>
      </c>
      <c r="H37" s="45">
        <v>4429</v>
      </c>
      <c r="I37" s="61">
        <v>352.08</v>
      </c>
      <c r="J37" s="10">
        <f t="shared" si="0"/>
        <v>12729481.188153775</v>
      </c>
      <c r="K37" s="10"/>
      <c r="L37" s="14"/>
    </row>
    <row r="38" spans="1:12" x14ac:dyDescent="0.25">
      <c r="A38" s="3">
        <v>38687</v>
      </c>
      <c r="B38" s="44">
        <v>14414584.633773187</v>
      </c>
      <c r="C38" s="59">
        <v>688.8</v>
      </c>
      <c r="D38" s="59">
        <v>0</v>
      </c>
      <c r="E38" s="62">
        <v>133.97600339315525</v>
      </c>
      <c r="F38" s="61">
        <v>31</v>
      </c>
      <c r="G38" s="61">
        <v>0</v>
      </c>
      <c r="H38" s="45">
        <v>4445</v>
      </c>
      <c r="I38" s="61">
        <v>319.92</v>
      </c>
      <c r="J38" s="10">
        <f t="shared" si="0"/>
        <v>13667204.082032114</v>
      </c>
      <c r="K38" s="10"/>
      <c r="L38" s="14"/>
    </row>
    <row r="39" spans="1:12" x14ac:dyDescent="0.25">
      <c r="A39" s="3">
        <v>38718</v>
      </c>
      <c r="B39" s="38">
        <v>14007802.734748516</v>
      </c>
      <c r="C39" s="59">
        <v>554.70000000000005</v>
      </c>
      <c r="D39" s="59">
        <v>0</v>
      </c>
      <c r="E39" s="62">
        <v>134.25197202423305</v>
      </c>
      <c r="F39" s="61">
        <v>31</v>
      </c>
      <c r="G39" s="61">
        <v>0</v>
      </c>
      <c r="H39" s="45">
        <v>4451</v>
      </c>
      <c r="I39" s="61">
        <v>336.28800000000001</v>
      </c>
      <c r="J39" s="10">
        <f t="shared" si="0"/>
        <v>13468919.732827425</v>
      </c>
      <c r="K39" s="10"/>
      <c r="L39" s="14"/>
    </row>
    <row r="40" spans="1:12" x14ac:dyDescent="0.25">
      <c r="A40" s="3">
        <v>38749</v>
      </c>
      <c r="B40" s="38">
        <v>13362222.786383629</v>
      </c>
      <c r="C40" s="59">
        <v>602.79999999999995</v>
      </c>
      <c r="D40" s="59">
        <v>0</v>
      </c>
      <c r="E40" s="62">
        <v>134.52850910550649</v>
      </c>
      <c r="F40" s="61">
        <v>28</v>
      </c>
      <c r="G40" s="61">
        <v>0</v>
      </c>
      <c r="H40" s="45">
        <v>4475</v>
      </c>
      <c r="I40" s="61">
        <v>319.87200000000001</v>
      </c>
      <c r="J40" s="10">
        <f t="shared" si="0"/>
        <v>13588060.003447093</v>
      </c>
      <c r="K40" s="10"/>
      <c r="L40" s="14"/>
    </row>
    <row r="41" spans="1:12" x14ac:dyDescent="0.25">
      <c r="A41" s="3">
        <v>38777</v>
      </c>
      <c r="B41" s="38">
        <v>12578997.867661119</v>
      </c>
      <c r="C41" s="59">
        <v>530.4</v>
      </c>
      <c r="D41" s="59">
        <v>0</v>
      </c>
      <c r="E41" s="62">
        <v>134.80561580788986</v>
      </c>
      <c r="F41" s="61">
        <v>31</v>
      </c>
      <c r="G41" s="61">
        <v>1</v>
      </c>
      <c r="H41" s="45">
        <v>4479</v>
      </c>
      <c r="I41" s="61">
        <v>368.28</v>
      </c>
      <c r="J41" s="10">
        <f t="shared" si="0"/>
        <v>13004684.488467896</v>
      </c>
      <c r="K41" s="10"/>
      <c r="L41" s="14"/>
    </row>
    <row r="42" spans="1:12" x14ac:dyDescent="0.25">
      <c r="A42" s="3">
        <v>38808</v>
      </c>
      <c r="B42" s="38">
        <v>12029183.696691526</v>
      </c>
      <c r="C42" s="59">
        <v>314.60000000000002</v>
      </c>
      <c r="D42" s="59">
        <v>0</v>
      </c>
      <c r="E42" s="62">
        <v>135.08329330470943</v>
      </c>
      <c r="F42" s="61">
        <v>30</v>
      </c>
      <c r="G42" s="61">
        <v>1</v>
      </c>
      <c r="H42" s="45">
        <v>4475</v>
      </c>
      <c r="I42" s="61">
        <v>303.83999999999997</v>
      </c>
      <c r="J42" s="10">
        <f t="shared" si="0"/>
        <v>12822685.148453392</v>
      </c>
      <c r="K42" s="10"/>
      <c r="L42" s="14"/>
    </row>
    <row r="43" spans="1:12" x14ac:dyDescent="0.25">
      <c r="A43" s="3">
        <v>38838</v>
      </c>
      <c r="B43" s="38">
        <v>12907036.551922524</v>
      </c>
      <c r="C43" s="59">
        <v>155.5</v>
      </c>
      <c r="D43" s="59">
        <v>22.4</v>
      </c>
      <c r="E43" s="62">
        <v>135.36154277170829</v>
      </c>
      <c r="F43" s="61">
        <v>31</v>
      </c>
      <c r="G43" s="61">
        <v>1</v>
      </c>
      <c r="H43" s="45">
        <v>4466</v>
      </c>
      <c r="I43" s="61">
        <v>351.91199999999998</v>
      </c>
      <c r="J43" s="10">
        <f t="shared" si="0"/>
        <v>12949619.381982749</v>
      </c>
      <c r="K43" s="10"/>
      <c r="L43" s="14"/>
    </row>
    <row r="44" spans="1:12" x14ac:dyDescent="0.25">
      <c r="A44" s="3">
        <v>38869</v>
      </c>
      <c r="B44" s="38">
        <v>13461546.648767859</v>
      </c>
      <c r="C44" s="59">
        <v>26.7</v>
      </c>
      <c r="D44" s="59">
        <v>43.2</v>
      </c>
      <c r="E44" s="62">
        <v>135.64036538705133</v>
      </c>
      <c r="F44" s="61">
        <v>30</v>
      </c>
      <c r="G44" s="61">
        <v>0</v>
      </c>
      <c r="H44" s="45">
        <v>4484</v>
      </c>
      <c r="I44" s="61">
        <v>352.08</v>
      </c>
      <c r="J44" s="10">
        <f t="shared" si="0"/>
        <v>13644197.859742928</v>
      </c>
      <c r="K44" s="10"/>
      <c r="L44" s="14"/>
    </row>
    <row r="45" spans="1:12" x14ac:dyDescent="0.25">
      <c r="A45" s="3">
        <v>38899</v>
      </c>
      <c r="B45" s="38">
        <v>15795856.11276249</v>
      </c>
      <c r="C45" s="59">
        <v>1.9</v>
      </c>
      <c r="D45" s="59">
        <v>136.1</v>
      </c>
      <c r="E45" s="62">
        <v>135.9197623313303</v>
      </c>
      <c r="F45" s="61">
        <v>31</v>
      </c>
      <c r="G45" s="61">
        <v>0</v>
      </c>
      <c r="H45" s="45">
        <v>4489</v>
      </c>
      <c r="I45" s="61">
        <v>319.92</v>
      </c>
      <c r="J45" s="10">
        <f t="shared" si="0"/>
        <v>15521177.390034616</v>
      </c>
      <c r="K45" s="10"/>
      <c r="L45" s="14"/>
    </row>
    <row r="46" spans="1:12" x14ac:dyDescent="0.25">
      <c r="A46" s="3">
        <v>38930</v>
      </c>
      <c r="B46" s="38">
        <v>14421557.090804489</v>
      </c>
      <c r="C46" s="59">
        <v>8.1</v>
      </c>
      <c r="D46" s="59">
        <v>70.099999999999994</v>
      </c>
      <c r="E46" s="62">
        <v>136.19973478756879</v>
      </c>
      <c r="F46" s="61">
        <v>31</v>
      </c>
      <c r="G46" s="61">
        <v>0</v>
      </c>
      <c r="H46" s="45">
        <v>4496</v>
      </c>
      <c r="I46" s="61">
        <v>351.91199999999998</v>
      </c>
      <c r="J46" s="10">
        <f t="shared" si="0"/>
        <v>14189201.827514241</v>
      </c>
      <c r="K46" s="10"/>
      <c r="L46" s="14"/>
    </row>
    <row r="47" spans="1:12" x14ac:dyDescent="0.25">
      <c r="A47" s="3">
        <v>38961</v>
      </c>
      <c r="B47" s="38">
        <v>12076511.295426216</v>
      </c>
      <c r="C47" s="59">
        <v>105.3</v>
      </c>
      <c r="D47" s="59">
        <v>4.0999999999999996</v>
      </c>
      <c r="E47" s="62">
        <v>136.48028394122719</v>
      </c>
      <c r="F47" s="61">
        <v>30</v>
      </c>
      <c r="G47" s="61">
        <v>1</v>
      </c>
      <c r="H47" s="45">
        <v>4498</v>
      </c>
      <c r="I47" s="61">
        <v>319.68</v>
      </c>
      <c r="J47" s="10">
        <f t="shared" si="0"/>
        <v>12654050.047384035</v>
      </c>
      <c r="K47" s="10"/>
      <c r="L47" s="14"/>
    </row>
    <row r="48" spans="1:12" x14ac:dyDescent="0.25">
      <c r="A48" s="3">
        <v>38991</v>
      </c>
      <c r="B48" s="38">
        <v>12975918.256783968</v>
      </c>
      <c r="C48" s="59">
        <v>304.10000000000002</v>
      </c>
      <c r="D48" s="59">
        <v>0</v>
      </c>
      <c r="E48" s="62">
        <v>136.76141098020776</v>
      </c>
      <c r="F48" s="61">
        <v>31</v>
      </c>
      <c r="G48" s="61">
        <v>1</v>
      </c>
      <c r="H48" s="45">
        <v>4525</v>
      </c>
      <c r="I48" s="61">
        <v>336.28800000000001</v>
      </c>
      <c r="J48" s="10">
        <f t="shared" si="0"/>
        <v>12878242.809784625</v>
      </c>
      <c r="K48" s="10"/>
      <c r="L48" s="14"/>
    </row>
    <row r="49" spans="1:12" x14ac:dyDescent="0.25">
      <c r="A49" s="3">
        <v>39022</v>
      </c>
      <c r="B49" s="38">
        <v>11701185.626618085</v>
      </c>
      <c r="C49" s="59">
        <v>393.1</v>
      </c>
      <c r="D49" s="59">
        <v>0</v>
      </c>
      <c r="E49" s="62">
        <v>137.04311709485967</v>
      </c>
      <c r="F49" s="61">
        <v>30</v>
      </c>
      <c r="G49" s="61">
        <v>1</v>
      </c>
      <c r="H49" s="45">
        <v>4718</v>
      </c>
      <c r="I49" s="61">
        <v>352.08</v>
      </c>
      <c r="J49" s="10">
        <f t="shared" si="0"/>
        <v>13337131.571391761</v>
      </c>
      <c r="K49" s="10"/>
      <c r="L49" s="14"/>
    </row>
    <row r="50" spans="1:12" x14ac:dyDescent="0.25">
      <c r="A50" s="3">
        <v>39052</v>
      </c>
      <c r="B50" s="38">
        <v>14773673.755873049</v>
      </c>
      <c r="C50" s="59">
        <v>508.1</v>
      </c>
      <c r="D50" s="59">
        <v>0</v>
      </c>
      <c r="E50" s="62">
        <v>137.32540347798411</v>
      </c>
      <c r="F50" s="61">
        <v>31</v>
      </c>
      <c r="G50" s="61">
        <v>0</v>
      </c>
      <c r="H50" s="45">
        <v>4738</v>
      </c>
      <c r="I50" s="61">
        <v>304.29599999999999</v>
      </c>
      <c r="J50" s="10">
        <f t="shared" si="0"/>
        <v>14071012.253789248</v>
      </c>
      <c r="K50" s="10"/>
      <c r="L50" s="14"/>
    </row>
    <row r="51" spans="1:12" x14ac:dyDescent="0.25">
      <c r="A51" s="3">
        <v>39083</v>
      </c>
      <c r="B51" s="38">
        <v>15493769.488925112</v>
      </c>
      <c r="C51" s="59">
        <v>665.6</v>
      </c>
      <c r="D51" s="59">
        <v>0</v>
      </c>
      <c r="E51" s="62">
        <v>137.58587596073079</v>
      </c>
      <c r="F51" s="61">
        <v>31</v>
      </c>
      <c r="G51" s="61">
        <v>0</v>
      </c>
      <c r="H51" s="45">
        <v>4756</v>
      </c>
      <c r="I51" s="61">
        <v>351.91199999999998</v>
      </c>
      <c r="J51" s="10">
        <f t="shared" si="0"/>
        <v>14232118.951752642</v>
      </c>
      <c r="K51" s="10"/>
      <c r="L51" s="14"/>
    </row>
    <row r="52" spans="1:12" x14ac:dyDescent="0.25">
      <c r="A52" s="3">
        <v>39114</v>
      </c>
      <c r="B52" s="38">
        <v>15246357.100393135</v>
      </c>
      <c r="C52" s="59">
        <v>761.8</v>
      </c>
      <c r="D52" s="59">
        <v>0</v>
      </c>
      <c r="E52" s="62">
        <v>137.84684249565245</v>
      </c>
      <c r="F52" s="61">
        <v>28</v>
      </c>
      <c r="G52" s="61">
        <v>0</v>
      </c>
      <c r="H52" s="45">
        <v>4752</v>
      </c>
      <c r="I52" s="61">
        <v>319.87200000000001</v>
      </c>
      <c r="J52" s="10">
        <f t="shared" si="0"/>
        <v>14392541.786351331</v>
      </c>
      <c r="K52" s="10"/>
      <c r="L52" s="14"/>
    </row>
    <row r="53" spans="1:12" x14ac:dyDescent="0.25">
      <c r="A53" s="3">
        <v>39142</v>
      </c>
      <c r="B53" s="38">
        <v>14741478.521430627</v>
      </c>
      <c r="C53" s="59">
        <v>565.20000000000005</v>
      </c>
      <c r="D53" s="59">
        <v>0</v>
      </c>
      <c r="E53" s="62">
        <v>138.10830401984444</v>
      </c>
      <c r="F53" s="61">
        <v>31</v>
      </c>
      <c r="G53" s="61">
        <v>1</v>
      </c>
      <c r="H53" s="45">
        <v>4751</v>
      </c>
      <c r="I53" s="61">
        <v>351.91199999999998</v>
      </c>
      <c r="J53" s="10">
        <f t="shared" si="0"/>
        <v>13661880.869492978</v>
      </c>
      <c r="K53" s="10"/>
      <c r="L53" s="14"/>
    </row>
    <row r="54" spans="1:12" x14ac:dyDescent="0.25">
      <c r="A54" s="3">
        <v>39173</v>
      </c>
      <c r="B54" s="38">
        <v>13687988.752517022</v>
      </c>
      <c r="C54" s="59">
        <v>374.2</v>
      </c>
      <c r="D54" s="59">
        <v>0</v>
      </c>
      <c r="E54" s="62">
        <v>138.37026147217955</v>
      </c>
      <c r="F54" s="61">
        <v>30</v>
      </c>
      <c r="G54" s="61">
        <v>1</v>
      </c>
      <c r="H54" s="45">
        <v>4758</v>
      </c>
      <c r="I54" s="61">
        <v>319.68</v>
      </c>
      <c r="J54" s="10">
        <f t="shared" si="0"/>
        <v>13472325.473993506</v>
      </c>
      <c r="K54" s="10"/>
      <c r="L54" s="14"/>
    </row>
    <row r="55" spans="1:12" x14ac:dyDescent="0.25">
      <c r="A55" s="3">
        <v>39203</v>
      </c>
      <c r="B55" s="38">
        <v>13088060.830376834</v>
      </c>
      <c r="C55" s="59">
        <v>138.4</v>
      </c>
      <c r="D55" s="59">
        <v>23.3</v>
      </c>
      <c r="E55" s="62">
        <v>138.63271579331135</v>
      </c>
      <c r="F55" s="61">
        <v>31</v>
      </c>
      <c r="G55" s="61">
        <v>1</v>
      </c>
      <c r="H55" s="45">
        <v>4762</v>
      </c>
      <c r="I55" s="61">
        <v>351.91199999999998</v>
      </c>
      <c r="J55" s="10">
        <f t="shared" si="0"/>
        <v>13568119.926859478</v>
      </c>
      <c r="K55" s="10"/>
      <c r="L55" s="14"/>
    </row>
    <row r="56" spans="1:12" x14ac:dyDescent="0.25">
      <c r="A56" s="3">
        <v>39234</v>
      </c>
      <c r="B56" s="38">
        <v>15422536.350560937</v>
      </c>
      <c r="C56" s="59">
        <v>19.2</v>
      </c>
      <c r="D56" s="59">
        <v>74.2</v>
      </c>
      <c r="E56" s="62">
        <v>138.89566792567766</v>
      </c>
      <c r="F56" s="61">
        <v>30</v>
      </c>
      <c r="G56" s="61">
        <v>0</v>
      </c>
      <c r="H56" s="45">
        <v>4766</v>
      </c>
      <c r="I56" s="61">
        <v>336.24</v>
      </c>
      <c r="J56" s="10">
        <f t="shared" si="0"/>
        <v>14870327.594945177</v>
      </c>
      <c r="K56" s="10"/>
      <c r="L56" s="14"/>
    </row>
    <row r="57" spans="1:12" x14ac:dyDescent="0.25">
      <c r="A57" s="3">
        <v>39264</v>
      </c>
      <c r="B57" s="38">
        <v>14782717.230798736</v>
      </c>
      <c r="C57" s="59">
        <v>9.1999999999999993</v>
      </c>
      <c r="D57" s="59">
        <v>82</v>
      </c>
      <c r="E57" s="62">
        <v>139.1591188135038</v>
      </c>
      <c r="F57" s="61">
        <v>31</v>
      </c>
      <c r="G57" s="61">
        <v>0</v>
      </c>
      <c r="H57" s="45">
        <v>4764</v>
      </c>
      <c r="I57" s="61">
        <v>336.28800000000001</v>
      </c>
      <c r="J57" s="10">
        <f t="shared" si="0"/>
        <v>15019718.434027519</v>
      </c>
      <c r="K57" s="10"/>
      <c r="L57" s="14"/>
    </row>
    <row r="58" spans="1:12" x14ac:dyDescent="0.25">
      <c r="A58" s="3">
        <v>39295</v>
      </c>
      <c r="B58" s="38">
        <v>16065299.069901239</v>
      </c>
      <c r="C58" s="59">
        <v>8.4</v>
      </c>
      <c r="D58" s="59">
        <v>106</v>
      </c>
      <c r="E58" s="62">
        <v>139.42306940280611</v>
      </c>
      <c r="F58" s="61">
        <v>31</v>
      </c>
      <c r="G58" s="61">
        <v>0</v>
      </c>
      <c r="H58" s="45">
        <v>4770</v>
      </c>
      <c r="I58" s="61">
        <v>351.91199999999998</v>
      </c>
      <c r="J58" s="10">
        <f t="shared" si="0"/>
        <v>15475545.837345129</v>
      </c>
      <c r="K58" s="10"/>
      <c r="L58" s="14"/>
    </row>
    <row r="59" spans="1:12" x14ac:dyDescent="0.25">
      <c r="A59" s="3">
        <v>39326</v>
      </c>
      <c r="B59" s="38">
        <v>13883469.901236936</v>
      </c>
      <c r="C59" s="59">
        <v>55.2</v>
      </c>
      <c r="D59" s="59">
        <v>37.200000000000003</v>
      </c>
      <c r="E59" s="62">
        <v>139.68752064139528</v>
      </c>
      <c r="F59" s="61">
        <v>30</v>
      </c>
      <c r="G59" s="61">
        <v>1</v>
      </c>
      <c r="H59" s="45">
        <v>4778</v>
      </c>
      <c r="I59" s="61">
        <v>303.83999999999997</v>
      </c>
      <c r="J59" s="10">
        <f t="shared" si="0"/>
        <v>13858821.687441513</v>
      </c>
      <c r="K59" s="10"/>
      <c r="L59" s="14"/>
    </row>
    <row r="60" spans="1:12" x14ac:dyDescent="0.25">
      <c r="A60" s="3">
        <v>39356</v>
      </c>
      <c r="B60" s="38">
        <v>13636520.61559114</v>
      </c>
      <c r="C60" s="59">
        <v>157.80000000000001</v>
      </c>
      <c r="D60" s="59">
        <v>13</v>
      </c>
      <c r="E60" s="62">
        <v>139.95247347887977</v>
      </c>
      <c r="F60" s="61">
        <v>31</v>
      </c>
      <c r="G60" s="61">
        <v>1</v>
      </c>
      <c r="H60" s="45">
        <v>4783</v>
      </c>
      <c r="I60" s="61">
        <v>351.91199999999998</v>
      </c>
      <c r="J60" s="10">
        <f t="shared" si="0"/>
        <v>13453509.935540581</v>
      </c>
      <c r="K60" s="10"/>
      <c r="L60" s="14"/>
    </row>
    <row r="61" spans="1:12" x14ac:dyDescent="0.25">
      <c r="A61" s="3">
        <v>39387</v>
      </c>
      <c r="B61" s="38">
        <v>11555201.275290057</v>
      </c>
      <c r="C61" s="59">
        <v>467.5</v>
      </c>
      <c r="D61" s="59">
        <v>0</v>
      </c>
      <c r="E61" s="62">
        <v>140.21792886666915</v>
      </c>
      <c r="F61" s="61">
        <v>30</v>
      </c>
      <c r="G61" s="61">
        <v>1</v>
      </c>
      <c r="H61" s="45">
        <v>4807</v>
      </c>
      <c r="I61" s="61">
        <v>352.08</v>
      </c>
      <c r="J61" s="10">
        <f t="shared" si="0"/>
        <v>13660349.256511949</v>
      </c>
      <c r="K61" s="10"/>
      <c r="L61" s="14"/>
    </row>
    <row r="62" spans="1:12" x14ac:dyDescent="0.25">
      <c r="A62" s="3">
        <v>39417</v>
      </c>
      <c r="B62" s="38">
        <v>15348673.266852047</v>
      </c>
      <c r="C62" s="59">
        <v>641</v>
      </c>
      <c r="D62" s="59">
        <v>0</v>
      </c>
      <c r="E62" s="62">
        <v>140.48388775797773</v>
      </c>
      <c r="F62" s="61">
        <v>31</v>
      </c>
      <c r="G62" s="61">
        <v>0</v>
      </c>
      <c r="H62" s="45">
        <v>4814</v>
      </c>
      <c r="I62" s="61">
        <v>304.29599999999999</v>
      </c>
      <c r="J62" s="10">
        <f t="shared" si="0"/>
        <v>14448439.542296812</v>
      </c>
      <c r="K62" s="10"/>
      <c r="L62" s="14"/>
    </row>
    <row r="63" spans="1:12" x14ac:dyDescent="0.25">
      <c r="A63" s="3">
        <v>39448</v>
      </c>
      <c r="B63" s="45">
        <v>14944320.606002493</v>
      </c>
      <c r="C63" s="59">
        <v>632.70000000000005</v>
      </c>
      <c r="D63" s="59">
        <v>0</v>
      </c>
      <c r="E63" s="62">
        <v>140.42521823206457</v>
      </c>
      <c r="F63" s="61">
        <v>31</v>
      </c>
      <c r="G63" s="61">
        <v>0</v>
      </c>
      <c r="H63" s="45">
        <v>4818</v>
      </c>
      <c r="I63" s="61">
        <v>352</v>
      </c>
      <c r="J63" s="10">
        <f t="shared" si="0"/>
        <v>14351608.690767456</v>
      </c>
    </row>
    <row r="64" spans="1:12" x14ac:dyDescent="0.25">
      <c r="A64" s="3">
        <v>39479</v>
      </c>
      <c r="B64" s="45">
        <v>14878718.160897499</v>
      </c>
      <c r="C64" s="59">
        <v>678.8</v>
      </c>
      <c r="D64" s="59">
        <v>0</v>
      </c>
      <c r="E64" s="62">
        <v>140.36657320798807</v>
      </c>
      <c r="F64" s="61">
        <v>29</v>
      </c>
      <c r="G64" s="61">
        <v>0</v>
      </c>
      <c r="H64" s="45">
        <v>4819</v>
      </c>
      <c r="I64" s="61">
        <v>320</v>
      </c>
      <c r="J64" s="10">
        <f t="shared" si="0"/>
        <v>14458066.564958375</v>
      </c>
    </row>
    <row r="65" spans="1:33" x14ac:dyDescent="0.25">
      <c r="A65" s="3">
        <v>39508</v>
      </c>
      <c r="B65" s="45">
        <v>15031787.563524788</v>
      </c>
      <c r="C65" s="59">
        <v>621.79999999999995</v>
      </c>
      <c r="D65" s="59">
        <v>0</v>
      </c>
      <c r="E65" s="62">
        <v>140.30795267551565</v>
      </c>
      <c r="F65" s="61">
        <v>31</v>
      </c>
      <c r="G65" s="61">
        <v>1</v>
      </c>
      <c r="H65" s="45">
        <v>4821</v>
      </c>
      <c r="I65" s="61">
        <v>304</v>
      </c>
      <c r="J65" s="10">
        <f t="shared" si="0"/>
        <v>14001592.630923362</v>
      </c>
    </row>
    <row r="66" spans="1:33" x14ac:dyDescent="0.25">
      <c r="A66" s="3">
        <v>39539</v>
      </c>
      <c r="B66" s="45">
        <v>13075471.003931347</v>
      </c>
      <c r="C66" s="59">
        <v>290.60000000000002</v>
      </c>
      <c r="D66" s="59">
        <v>0</v>
      </c>
      <c r="E66" s="62">
        <v>140.24935662441902</v>
      </c>
      <c r="F66" s="61">
        <v>30</v>
      </c>
      <c r="G66" s="61">
        <v>1</v>
      </c>
      <c r="H66" s="45">
        <v>4828</v>
      </c>
      <c r="I66" s="61">
        <v>352</v>
      </c>
      <c r="J66" s="10">
        <f t="shared" si="0"/>
        <v>13460856.737075023</v>
      </c>
    </row>
    <row r="67" spans="1:33" x14ac:dyDescent="0.25">
      <c r="A67" s="3">
        <v>39569</v>
      </c>
      <c r="B67" s="45">
        <v>12988944.721449805</v>
      </c>
      <c r="C67" s="59">
        <v>214.1</v>
      </c>
      <c r="D67" s="59">
        <v>0.3</v>
      </c>
      <c r="E67" s="62">
        <v>140.19078504447415</v>
      </c>
      <c r="F67" s="61">
        <v>31</v>
      </c>
      <c r="G67" s="61">
        <v>1</v>
      </c>
      <c r="H67" s="45">
        <v>4822</v>
      </c>
      <c r="I67" s="61">
        <v>336</v>
      </c>
      <c r="J67" s="10">
        <f t="shared" si="0"/>
        <v>13390700.729195854</v>
      </c>
    </row>
    <row r="68" spans="1:33" x14ac:dyDescent="0.25">
      <c r="A68" s="3">
        <v>39600</v>
      </c>
      <c r="B68" s="45">
        <v>14567856.247003548</v>
      </c>
      <c r="C68" s="59">
        <v>34.200000000000003</v>
      </c>
      <c r="D68" s="59">
        <v>55</v>
      </c>
      <c r="E68" s="62">
        <v>140.13223792546131</v>
      </c>
      <c r="F68" s="61">
        <v>30</v>
      </c>
      <c r="G68" s="61">
        <v>0</v>
      </c>
      <c r="H68" s="45">
        <v>4826</v>
      </c>
      <c r="I68" s="61">
        <v>336</v>
      </c>
      <c r="J68" s="10">
        <f t="shared" ref="J68:J122" si="1">$N$18+C68*$N$19+D68*$N$20+E68*$N$21+F68*$N$22+G68*$N$23+H68*$N$24+I68*$N$25</f>
        <v>14649555.479063591</v>
      </c>
    </row>
    <row r="69" spans="1:33" x14ac:dyDescent="0.25">
      <c r="A69" s="3">
        <v>39630</v>
      </c>
      <c r="B69" s="45">
        <v>15501958.327739956</v>
      </c>
      <c r="C69" s="59">
        <v>3.7</v>
      </c>
      <c r="D69" s="59">
        <v>87.7</v>
      </c>
      <c r="E69" s="62">
        <v>140.07371525716499</v>
      </c>
      <c r="F69" s="61">
        <v>31</v>
      </c>
      <c r="G69" s="61">
        <v>0</v>
      </c>
      <c r="H69" s="45">
        <v>4828</v>
      </c>
      <c r="I69" s="61">
        <v>352</v>
      </c>
      <c r="J69" s="10">
        <f t="shared" si="1"/>
        <v>15231960.595327307</v>
      </c>
    </row>
    <row r="70" spans="1:33" x14ac:dyDescent="0.25">
      <c r="A70" s="3">
        <v>39661</v>
      </c>
      <c r="B70" s="45">
        <v>14655648.719915621</v>
      </c>
      <c r="C70" s="59">
        <v>20.2</v>
      </c>
      <c r="D70" s="59">
        <v>45.2</v>
      </c>
      <c r="E70" s="62">
        <v>140.01521702937399</v>
      </c>
      <c r="F70" s="61">
        <v>31</v>
      </c>
      <c r="G70" s="61">
        <v>0</v>
      </c>
      <c r="H70" s="45">
        <v>4826</v>
      </c>
      <c r="I70" s="61">
        <v>320</v>
      </c>
      <c r="J70" s="10">
        <f t="shared" si="1"/>
        <v>14476778.389828458</v>
      </c>
    </row>
    <row r="71" spans="1:33" x14ac:dyDescent="0.25">
      <c r="A71" s="3">
        <v>39692</v>
      </c>
      <c r="B71" s="45">
        <v>13543492.501678014</v>
      </c>
      <c r="C71" s="59">
        <v>70.400000000000006</v>
      </c>
      <c r="D71" s="59">
        <v>20.3</v>
      </c>
      <c r="E71" s="62">
        <v>139.95674323188132</v>
      </c>
      <c r="F71" s="61">
        <v>30</v>
      </c>
      <c r="G71" s="61">
        <v>1</v>
      </c>
      <c r="H71" s="45">
        <v>4827</v>
      </c>
      <c r="I71" s="61">
        <v>336</v>
      </c>
      <c r="J71" s="10">
        <f t="shared" si="1"/>
        <v>13584340.364658216</v>
      </c>
    </row>
    <row r="72" spans="1:33" x14ac:dyDescent="0.25">
      <c r="A72" s="3">
        <v>39722</v>
      </c>
      <c r="B72" s="45">
        <v>12894890.037395725</v>
      </c>
      <c r="C72" s="59">
        <v>297.5</v>
      </c>
      <c r="D72" s="59">
        <v>0</v>
      </c>
      <c r="E72" s="62">
        <v>139.89829385448431</v>
      </c>
      <c r="F72" s="61">
        <v>31</v>
      </c>
      <c r="G72" s="61">
        <v>1</v>
      </c>
      <c r="H72" s="45">
        <v>4829</v>
      </c>
      <c r="I72" s="61">
        <v>352</v>
      </c>
      <c r="J72" s="10">
        <f t="shared" si="1"/>
        <v>13476319.518944127</v>
      </c>
    </row>
    <row r="73" spans="1:33" x14ac:dyDescent="0.25">
      <c r="A73" s="3">
        <v>39753</v>
      </c>
      <c r="B73" s="45">
        <v>13116865.41375012</v>
      </c>
      <c r="C73" s="59">
        <v>460.6</v>
      </c>
      <c r="D73" s="59">
        <v>0</v>
      </c>
      <c r="E73" s="62">
        <v>139.83986888698453</v>
      </c>
      <c r="F73" s="61">
        <v>30</v>
      </c>
      <c r="G73" s="61">
        <v>1</v>
      </c>
      <c r="H73" s="45">
        <v>4828</v>
      </c>
      <c r="I73" s="61">
        <v>304</v>
      </c>
      <c r="J73" s="10">
        <f t="shared" si="1"/>
        <v>13778769.389398074</v>
      </c>
    </row>
    <row r="74" spans="1:33" x14ac:dyDescent="0.25">
      <c r="A74" s="3">
        <v>39783</v>
      </c>
      <c r="B74" s="45">
        <v>15243338.364176815</v>
      </c>
      <c r="C74" s="59">
        <v>655.29999999999995</v>
      </c>
      <c r="D74" s="59">
        <v>0</v>
      </c>
      <c r="E74" s="62">
        <v>139.78146831918784</v>
      </c>
      <c r="F74" s="61">
        <v>31</v>
      </c>
      <c r="G74" s="61">
        <v>0</v>
      </c>
      <c r="H74" s="45">
        <v>4838</v>
      </c>
      <c r="I74" s="61">
        <v>336</v>
      </c>
      <c r="J74" s="10">
        <f t="shared" si="1"/>
        <v>14441979.739156639</v>
      </c>
    </row>
    <row r="75" spans="1:33" s="15" customFormat="1" x14ac:dyDescent="0.25">
      <c r="A75" s="3">
        <v>39814</v>
      </c>
      <c r="B75" s="45">
        <v>14944320.606002493</v>
      </c>
      <c r="C75" s="59">
        <v>712.8153846153848</v>
      </c>
      <c r="D75" s="59">
        <v>0</v>
      </c>
      <c r="E75" s="62">
        <v>139.37911160687111</v>
      </c>
      <c r="F75" s="61">
        <v>31</v>
      </c>
      <c r="G75" s="61">
        <v>0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14878718.160897499</v>
      </c>
      <c r="C76" s="59">
        <v>627.4</v>
      </c>
      <c r="D76" s="59">
        <v>0</v>
      </c>
      <c r="E76" s="62">
        <v>138.97791306613385</v>
      </c>
      <c r="F76" s="61">
        <v>28</v>
      </c>
      <c r="G76" s="61">
        <v>0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15031787.563524788</v>
      </c>
      <c r="C77" s="59">
        <v>566.50769230769231</v>
      </c>
      <c r="D77" s="59">
        <v>0</v>
      </c>
      <c r="E77" s="62">
        <v>138.57786936321438</v>
      </c>
      <c r="F77" s="61">
        <v>31</v>
      </c>
      <c r="G77" s="61">
        <v>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13075471.003931347</v>
      </c>
      <c r="C78" s="59">
        <v>341.76153846153852</v>
      </c>
      <c r="D78" s="59">
        <v>0.61538461538461542</v>
      </c>
      <c r="E78" s="62">
        <v>138.17897717394706</v>
      </c>
      <c r="F78" s="61">
        <v>30</v>
      </c>
      <c r="G78" s="61">
        <v>1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12988944.721449805</v>
      </c>
      <c r="C79" s="59">
        <v>178.33076923076925</v>
      </c>
      <c r="D79" s="59">
        <v>11.461538461538463</v>
      </c>
      <c r="E79" s="62">
        <v>137.78123318373483</v>
      </c>
      <c r="F79" s="61">
        <v>31</v>
      </c>
      <c r="G79" s="61">
        <v>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14567856.247003548</v>
      </c>
      <c r="C80" s="59">
        <v>38</v>
      </c>
      <c r="D80" s="59">
        <v>61.2</v>
      </c>
      <c r="E80" s="62">
        <v>137.38463408752156</v>
      </c>
      <c r="F80" s="61">
        <v>30</v>
      </c>
      <c r="G80" s="61">
        <v>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15501958.327739956</v>
      </c>
      <c r="C81" s="59">
        <v>6.9153846153846157</v>
      </c>
      <c r="D81" s="59">
        <v>96.953846153846143</v>
      </c>
      <c r="E81" s="62">
        <v>136.98917658976464</v>
      </c>
      <c r="F81" s="61">
        <v>31</v>
      </c>
      <c r="G81" s="61">
        <v>0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14655648.719915621</v>
      </c>
      <c r="C82" s="59">
        <v>10.86923076923077</v>
      </c>
      <c r="D82" s="59">
        <v>76.623076923076937</v>
      </c>
      <c r="E82" s="62">
        <v>136.59485740440758</v>
      </c>
      <c r="F82" s="61">
        <v>31</v>
      </c>
      <c r="G82" s="61">
        <v>0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13543492.501678014</v>
      </c>
      <c r="C83" s="59">
        <v>70.815384615384602</v>
      </c>
      <c r="D83" s="59">
        <v>27.34615384615385</v>
      </c>
      <c r="E83" s="62">
        <v>136.20167325485272</v>
      </c>
      <c r="F83" s="61">
        <v>30</v>
      </c>
      <c r="G83" s="61">
        <v>1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12894890.037395725</v>
      </c>
      <c r="C84" s="59">
        <v>259.90769230769229</v>
      </c>
      <c r="D84" s="59">
        <v>2.5846153846153848</v>
      </c>
      <c r="E84" s="62">
        <v>135.80962087393394</v>
      </c>
      <c r="F84" s="61">
        <v>31</v>
      </c>
      <c r="G84" s="61">
        <v>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13116865.41375012</v>
      </c>
      <c r="C85" s="59">
        <v>424.6153846153847</v>
      </c>
      <c r="D85" s="59">
        <v>0</v>
      </c>
      <c r="E85" s="62">
        <v>135.41869700388958</v>
      </c>
      <c r="F85" s="61">
        <v>30</v>
      </c>
      <c r="G85" s="61">
        <v>1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15243338.364176815</v>
      </c>
      <c r="C86" s="59">
        <v>614.35384615384623</v>
      </c>
      <c r="D86" s="59">
        <v>0</v>
      </c>
      <c r="E86" s="62">
        <v>135.02889839633545</v>
      </c>
      <c r="F86" s="61">
        <v>31</v>
      </c>
      <c r="G86" s="61">
        <v>0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14443779.611635899</v>
      </c>
      <c r="C87" s="59">
        <v>719.94353846153865</v>
      </c>
      <c r="D87" s="59">
        <v>0</v>
      </c>
      <c r="E87" s="62">
        <v>135.32901731143812</v>
      </c>
      <c r="F87" s="61">
        <v>31</v>
      </c>
      <c r="G87" s="61">
        <v>0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14461971.7063212</v>
      </c>
      <c r="C88" s="59">
        <v>633.67399999999998</v>
      </c>
      <c r="D88" s="59">
        <v>0</v>
      </c>
      <c r="E88" s="62">
        <v>135.62980327903304</v>
      </c>
      <c r="F88" s="61">
        <v>28</v>
      </c>
      <c r="G88" s="61">
        <v>0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14480163.8010065</v>
      </c>
      <c r="C89" s="59">
        <v>572.17276923076929</v>
      </c>
      <c r="D89" s="59">
        <v>0</v>
      </c>
      <c r="E89" s="62">
        <v>135.9312577817293</v>
      </c>
      <c r="F89" s="61">
        <v>31</v>
      </c>
      <c r="G89" s="61">
        <v>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14498355.895691801</v>
      </c>
      <c r="C90" s="59">
        <v>345.17915384615389</v>
      </c>
      <c r="D90" s="59">
        <v>0.6215384615384616</v>
      </c>
      <c r="E90" s="62">
        <v>136.23338230543126</v>
      </c>
      <c r="F90" s="61">
        <v>30</v>
      </c>
      <c r="G90" s="61">
        <v>1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14516547.9903771</v>
      </c>
      <c r="C91" s="59">
        <v>180.11407692307694</v>
      </c>
      <c r="D91" s="59">
        <v>11.576153846153849</v>
      </c>
      <c r="E91" s="62">
        <v>136.53617833934589</v>
      </c>
      <c r="F91" s="61">
        <v>31</v>
      </c>
      <c r="G91" s="61">
        <v>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14534740.0850624</v>
      </c>
      <c r="C92" s="59">
        <v>38.380000000000003</v>
      </c>
      <c r="D92" s="59">
        <v>61.812000000000005</v>
      </c>
      <c r="E92" s="62">
        <v>136.83964737599013</v>
      </c>
      <c r="F92" s="61">
        <v>30</v>
      </c>
      <c r="G92" s="61">
        <v>0</v>
      </c>
      <c r="H92" s="45">
        <f>'Rate Class Customer Model'!C3</f>
        <v>1605.5000000000005</v>
      </c>
      <c r="I92" s="61">
        <v>352</v>
      </c>
      <c r="J92" s="10">
        <f t="shared" si="1"/>
        <v>8473395.0689082518</v>
      </c>
      <c r="K92" s="46"/>
    </row>
    <row r="93" spans="1:33" x14ac:dyDescent="0.25">
      <c r="A93" s="3">
        <v>40360</v>
      </c>
      <c r="B93" s="44">
        <v>14552932.179747701</v>
      </c>
      <c r="C93" s="59">
        <v>6.9845384615384623</v>
      </c>
      <c r="D93" s="59">
        <v>97.923384615384606</v>
      </c>
      <c r="E93" s="62">
        <v>137.14379091119821</v>
      </c>
      <c r="F93" s="61">
        <v>31</v>
      </c>
      <c r="G93" s="61">
        <v>0</v>
      </c>
      <c r="H93" s="45" t="e">
        <f t="shared" ref="H93:H110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14571124.274433</v>
      </c>
      <c r="C94" s="59">
        <v>10.977923076923078</v>
      </c>
      <c r="D94" s="59">
        <v>77.38930769230771</v>
      </c>
      <c r="E94" s="62">
        <v>137.44861044412903</v>
      </c>
      <c r="F94" s="61">
        <v>31</v>
      </c>
      <c r="G94" s="61">
        <v>0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14589316.369118299</v>
      </c>
      <c r="C95" s="59">
        <v>71.52353846153845</v>
      </c>
      <c r="D95" s="59">
        <v>27.61961538461539</v>
      </c>
      <c r="E95" s="62">
        <v>137.75410747727361</v>
      </c>
      <c r="F95" s="61">
        <v>30</v>
      </c>
      <c r="G95" s="61">
        <v>1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14607508.463803699</v>
      </c>
      <c r="C96" s="59">
        <v>262.50676923076924</v>
      </c>
      <c r="D96" s="59">
        <v>2.6104615384615388</v>
      </c>
      <c r="E96" s="62">
        <v>138.06028351646239</v>
      </c>
      <c r="F96" s="61">
        <v>31</v>
      </c>
      <c r="G96" s="61">
        <v>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14625700.558489</v>
      </c>
      <c r="C97" s="59">
        <v>428.86153846153854</v>
      </c>
      <c r="D97" s="59">
        <v>0</v>
      </c>
      <c r="E97" s="62">
        <v>138.36714007087275</v>
      </c>
      <c r="F97" s="61">
        <v>30</v>
      </c>
      <c r="G97" s="61">
        <v>1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14643892.6531743</v>
      </c>
      <c r="C98" s="59">
        <v>620.4973846153847</v>
      </c>
      <c r="D98" s="59">
        <v>0</v>
      </c>
      <c r="E98" s="62">
        <v>138.67467865303649</v>
      </c>
      <c r="F98" s="61">
        <v>31</v>
      </c>
      <c r="G98" s="61">
        <v>0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2">
        <v>139.03916243618784</v>
      </c>
      <c r="F99" s="61">
        <v>31</v>
      </c>
      <c r="G99" s="61">
        <v>0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2">
        <v>139.40460420553731</v>
      </c>
      <c r="F100" s="61">
        <v>28</v>
      </c>
      <c r="G100" s="61">
        <v>0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2">
        <v>139.77100647899545</v>
      </c>
      <c r="F101" s="61">
        <v>31</v>
      </c>
      <c r="G101" s="61">
        <v>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2">
        <v>140.13837178109071</v>
      </c>
      <c r="F102" s="61">
        <v>30</v>
      </c>
      <c r="G102" s="61">
        <v>1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2">
        <v>140.50670264298682</v>
      </c>
      <c r="F103" s="61">
        <v>31</v>
      </c>
      <c r="G103" s="61">
        <v>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2">
        <v>140.87600160250034</v>
      </c>
      <c r="F104" s="61">
        <v>30</v>
      </c>
      <c r="G104" s="61">
        <v>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2">
        <v>141.24627120411799</v>
      </c>
      <c r="F105" s="61">
        <v>31</v>
      </c>
      <c r="G105" s="61">
        <v>0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2">
        <v>141.61751399901428</v>
      </c>
      <c r="F106" s="61">
        <v>31</v>
      </c>
      <c r="G106" s="61">
        <v>0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2">
        <v>141.98973254506907</v>
      </c>
      <c r="F107" s="61">
        <v>30</v>
      </c>
      <c r="G107" s="61">
        <v>1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2">
        <v>142.3629294068852</v>
      </c>
      <c r="F108" s="61">
        <v>31</v>
      </c>
      <c r="G108" s="61">
        <v>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2">
        <v>142.73710715580614</v>
      </c>
      <c r="F109" s="61">
        <v>30</v>
      </c>
      <c r="G109" s="61">
        <v>1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2">
        <v>143.11226836993367</v>
      </c>
      <c r="F110" s="61">
        <v>31</v>
      </c>
      <c r="G110" s="61">
        <v>0</v>
      </c>
      <c r="H110" s="45" t="e">
        <f t="shared" si="4"/>
        <v>#REF!</v>
      </c>
      <c r="I110" s="61">
        <v>336</v>
      </c>
      <c r="J110" s="10" t="e">
        <f t="shared" si="1"/>
        <v>#REF!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2">
        <v>143.48841563414587</v>
      </c>
      <c r="F111" s="61">
        <v>31</v>
      </c>
      <c r="G111" s="61">
        <v>0</v>
      </c>
      <c r="H111" s="45">
        <v>4857.7539123630704</v>
      </c>
      <c r="I111" s="61">
        <v>336</v>
      </c>
      <c r="J111" s="10">
        <f t="shared" si="1"/>
        <v>14622925.093181044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2">
        <v>143.86555154011452</v>
      </c>
      <c r="F112" s="61">
        <v>29</v>
      </c>
      <c r="G112" s="61">
        <v>0</v>
      </c>
      <c r="H112" s="45">
        <v>4866.3803513623598</v>
      </c>
      <c r="I112" s="61">
        <v>320</v>
      </c>
      <c r="J112" s="10">
        <f t="shared" si="1"/>
        <v>14581172.313524282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2">
        <v>144.24367868632334</v>
      </c>
      <c r="F113" s="61">
        <v>31</v>
      </c>
      <c r="G113" s="61">
        <v>1</v>
      </c>
      <c r="H113" s="45">
        <v>4875.00679036165</v>
      </c>
      <c r="I113" s="61">
        <v>352</v>
      </c>
      <c r="J113" s="10">
        <f t="shared" si="1"/>
        <v>14012740.714183584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2">
        <v>144.62279967808564</v>
      </c>
      <c r="F114" s="61">
        <v>30</v>
      </c>
      <c r="G114" s="61">
        <v>1</v>
      </c>
      <c r="H114" s="45">
        <v>4883.6332293609503</v>
      </c>
      <c r="I114" s="61">
        <v>320</v>
      </c>
      <c r="J114" s="10">
        <f t="shared" si="1"/>
        <v>13769514.393982725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2">
        <v>145.00291712756245</v>
      </c>
      <c r="F115" s="61">
        <v>31</v>
      </c>
      <c r="G115" s="61">
        <v>1</v>
      </c>
      <c r="H115" s="45">
        <v>4892.2596683602396</v>
      </c>
      <c r="I115" s="61">
        <v>352</v>
      </c>
      <c r="J115" s="10">
        <f t="shared" si="1"/>
        <v>13726338.665215768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2">
        <v>145.38403365378039</v>
      </c>
      <c r="F116" s="61">
        <v>30</v>
      </c>
      <c r="G116" s="61">
        <v>0</v>
      </c>
      <c r="H116" s="45">
        <v>4900.8861073595299</v>
      </c>
      <c r="I116" s="61">
        <v>336</v>
      </c>
      <c r="J116" s="10">
        <f t="shared" si="1"/>
        <v>14990490.318745097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2">
        <v>145.76615188264978</v>
      </c>
      <c r="F117" s="61">
        <v>31</v>
      </c>
      <c r="G117" s="61">
        <v>0</v>
      </c>
      <c r="H117" s="45">
        <v>4909.5125463588201</v>
      </c>
      <c r="I117" s="61">
        <v>336</v>
      </c>
      <c r="J117" s="10">
        <f t="shared" si="1"/>
        <v>15756009.517934555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2">
        <v>146.14927444698273</v>
      </c>
      <c r="F118" s="61">
        <v>31</v>
      </c>
      <c r="G118" s="61">
        <v>0</v>
      </c>
      <c r="H118" s="45">
        <v>4918.1389853581204</v>
      </c>
      <c r="I118" s="61">
        <v>352</v>
      </c>
      <c r="J118" s="10">
        <f t="shared" si="1"/>
        <v>15313635.957680922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2">
        <v>146.53340398651127</v>
      </c>
      <c r="F119" s="61">
        <v>30</v>
      </c>
      <c r="G119" s="61">
        <v>1</v>
      </c>
      <c r="H119" s="45">
        <v>4926.7654243574098</v>
      </c>
      <c r="I119" s="61">
        <v>304</v>
      </c>
      <c r="J119" s="10">
        <f t="shared" si="1"/>
        <v>13998893.11542627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2">
        <v>146.91854314790552</v>
      </c>
      <c r="F120" s="61">
        <v>31</v>
      </c>
      <c r="G120" s="61">
        <v>1</v>
      </c>
      <c r="H120" s="45">
        <v>4935.3918633567</v>
      </c>
      <c r="I120" s="61">
        <v>352</v>
      </c>
      <c r="J120" s="10">
        <f t="shared" si="1"/>
        <v>13801523.968208939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2">
        <v>147.30469458479195</v>
      </c>
      <c r="F121" s="61">
        <v>30</v>
      </c>
      <c r="G121" s="61">
        <v>1</v>
      </c>
      <c r="H121" s="45">
        <v>4944.0183023559903</v>
      </c>
      <c r="I121" s="61">
        <v>352</v>
      </c>
      <c r="J121" s="10">
        <f t="shared" si="1"/>
        <v>13971710.330007341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2">
        <v>147.69186095777155</v>
      </c>
      <c r="F122" s="61">
        <v>31</v>
      </c>
      <c r="G122" s="61">
        <v>0</v>
      </c>
      <c r="H122" s="45">
        <v>4952.6447413552896</v>
      </c>
      <c r="I122" s="61">
        <v>304</v>
      </c>
      <c r="J122" s="10">
        <f t="shared" si="1"/>
        <v>14797467.282259243</v>
      </c>
      <c r="K122" s="46"/>
    </row>
    <row r="123" spans="1:27" x14ac:dyDescent="0.25">
      <c r="A123" s="3"/>
      <c r="E123" s="34"/>
      <c r="F123" s="10"/>
      <c r="G123" s="10"/>
      <c r="H123" s="18"/>
      <c r="I123" s="53"/>
      <c r="J123" s="10"/>
      <c r="K123" s="46"/>
    </row>
    <row r="124" spans="1:27" x14ac:dyDescent="0.25">
      <c r="A124" s="3"/>
      <c r="C124" s="20"/>
      <c r="D124" s="1" t="s">
        <v>15</v>
      </c>
      <c r="J124" s="46" t="e">
        <f>SUM(J3:J110)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158038183.58194679</v>
      </c>
      <c r="J126" s="6">
        <f>SUM(J3:J14)</f>
        <v>156637219.28227234</v>
      </c>
      <c r="K126" s="37">
        <f t="shared" ref="K126:K133" si="7">J126-B126</f>
        <v>-1400964.2996744514</v>
      </c>
      <c r="L126" s="5">
        <f t="shared" ref="L126:L133" si="8">K126/B126</f>
        <v>-8.8647203348045066E-3</v>
      </c>
    </row>
    <row r="127" spans="1:27" x14ac:dyDescent="0.25">
      <c r="A127">
        <v>2004</v>
      </c>
      <c r="B127" s="6">
        <f>SUM(B15:B26)</f>
        <v>160037061.02505261</v>
      </c>
      <c r="J127" s="6">
        <f>SUM(J15:J26)</f>
        <v>156109205.6521461</v>
      </c>
      <c r="K127" s="37">
        <f t="shared" si="7"/>
        <v>-3927855.3729065061</v>
      </c>
      <c r="L127" s="5">
        <f t="shared" si="8"/>
        <v>-2.4543411055840555E-2</v>
      </c>
    </row>
    <row r="128" spans="1:27" x14ac:dyDescent="0.25">
      <c r="A128" s="17">
        <v>2005</v>
      </c>
      <c r="B128" s="6">
        <f>SUM(B27:B38)</f>
        <v>156326316.58060813</v>
      </c>
      <c r="J128" s="6">
        <f>SUM(J27:J38)</f>
        <v>161799849.34457815</v>
      </c>
      <c r="K128" s="37">
        <f t="shared" si="7"/>
        <v>5473532.7639700174</v>
      </c>
      <c r="L128" s="5">
        <f t="shared" si="8"/>
        <v>3.5013508177605172E-2</v>
      </c>
      <c r="Y128" s="11"/>
      <c r="Z128" s="11"/>
      <c r="AA128" s="11"/>
    </row>
    <row r="129" spans="1:27" x14ac:dyDescent="0.25">
      <c r="A129">
        <v>2006</v>
      </c>
      <c r="B129" s="6">
        <f>SUM(B39:B50)</f>
        <v>160091492.42444345</v>
      </c>
      <c r="J129" s="6">
        <f>SUM(J39:J50)</f>
        <v>162128982.51482001</v>
      </c>
      <c r="K129" s="37">
        <f t="shared" si="7"/>
        <v>2037490.0903765559</v>
      </c>
      <c r="L129" s="5">
        <f t="shared" si="8"/>
        <v>1.2727035394077338E-2</v>
      </c>
    </row>
    <row r="130" spans="1:27" x14ac:dyDescent="0.25">
      <c r="A130" s="17">
        <v>2007</v>
      </c>
      <c r="B130" s="6">
        <f>SUM(B51:B62)</f>
        <v>172952072.40387383</v>
      </c>
      <c r="J130" s="6">
        <f>SUM(J51:J62)</f>
        <v>170113699.29655862</v>
      </c>
      <c r="K130" s="37">
        <f t="shared" si="7"/>
        <v>-2838373.1073152125</v>
      </c>
      <c r="L130" s="5">
        <f t="shared" si="8"/>
        <v>-1.6411327530595335E-2</v>
      </c>
    </row>
    <row r="131" spans="1:27" x14ac:dyDescent="0.25">
      <c r="A131">
        <v>2008</v>
      </c>
      <c r="B131" s="6">
        <f>SUM(B63:B74)</f>
        <v>170443291.66746572</v>
      </c>
      <c r="J131" s="6">
        <f>SUM(J63:J74)</f>
        <v>169302528.82929647</v>
      </c>
      <c r="K131" s="37">
        <f t="shared" si="7"/>
        <v>-1140762.8381692469</v>
      </c>
      <c r="L131" s="5">
        <f t="shared" si="8"/>
        <v>-6.6929171984948009E-3</v>
      </c>
    </row>
    <row r="132" spans="1:27" x14ac:dyDescent="0.25">
      <c r="A132" s="17">
        <v>2009</v>
      </c>
      <c r="B132" s="6">
        <f>SUM(B75:B86)</f>
        <v>170443291.66746572</v>
      </c>
      <c r="J132" s="6" t="e">
        <f>SUM(J75:J86)</f>
        <v>#REF!</v>
      </c>
      <c r="K132" s="37" t="e">
        <f>J132-B132</f>
        <v>#REF!</v>
      </c>
      <c r="L132" s="5" t="e">
        <f>K132/B132</f>
        <v>#REF!</v>
      </c>
    </row>
    <row r="133" spans="1:27" x14ac:dyDescent="0.25">
      <c r="A133">
        <v>2010</v>
      </c>
      <c r="B133" s="6">
        <f>SUM(B87:B98)</f>
        <v>174526033.5888609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27" x14ac:dyDescent="0.25">
      <c r="A134" s="17">
        <v>2011</v>
      </c>
      <c r="J134" s="6" t="e">
        <f>SUM(J99:J110)</f>
        <v>#REF!</v>
      </c>
    </row>
    <row r="135" spans="1:27" x14ac:dyDescent="0.25">
      <c r="A135" s="17">
        <v>2012</v>
      </c>
      <c r="J135" s="6">
        <f>SUM(J111:J122)</f>
        <v>173342421.67034978</v>
      </c>
    </row>
    <row r="136" spans="1:27" x14ac:dyDescent="0.25">
      <c r="J136" s="6"/>
    </row>
    <row r="137" spans="1:27" x14ac:dyDescent="0.25">
      <c r="A137" t="s">
        <v>79</v>
      </c>
      <c r="B137" s="6">
        <f>SUM(B126:B133)</f>
        <v>1322857742.9397173</v>
      </c>
      <c r="J137" s="6" t="e">
        <f>SUM(J126:J133)</f>
        <v>#REF!</v>
      </c>
      <c r="K137" s="6" t="e">
        <f>J137-B137</f>
        <v>#REF!</v>
      </c>
    </row>
    <row r="138" spans="1:27" x14ac:dyDescent="0.25">
      <c r="J138" s="6"/>
      <c r="K138" s="6"/>
    </row>
    <row r="139" spans="1:27" x14ac:dyDescent="0.25">
      <c r="J139" s="6" t="e">
        <f>SUM(J126:J134)</f>
        <v>#REF!</v>
      </c>
      <c r="K139" s="46" t="e">
        <f>J124-J139</f>
        <v>#REF!</v>
      </c>
    </row>
    <row r="140" spans="1:27" x14ac:dyDescent="0.25">
      <c r="J140" s="20"/>
      <c r="K140" s="20" t="s">
        <v>65</v>
      </c>
      <c r="L140" s="20"/>
    </row>
    <row r="141" spans="1:27" x14ac:dyDescent="0.25">
      <c r="Y141" s="11"/>
      <c r="Z141" s="11"/>
      <c r="AA141" s="11"/>
    </row>
    <row r="153" spans="25:27" x14ac:dyDescent="0.25">
      <c r="Y153" s="11"/>
      <c r="Z153" s="11"/>
      <c r="AA153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2"/>
  <sheetViews>
    <sheetView workbookViewId="0"/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5" customWidth="1"/>
    <col min="6" max="6" width="10.33203125" style="1" customWidth="1"/>
    <col min="7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70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26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74026706.875119522</v>
      </c>
      <c r="C3" s="59">
        <v>829.5</v>
      </c>
      <c r="D3" s="59">
        <v>0</v>
      </c>
      <c r="E3" s="62">
        <v>125.66024937363977</v>
      </c>
      <c r="F3" s="61">
        <v>31</v>
      </c>
      <c r="G3" s="61">
        <v>0</v>
      </c>
      <c r="H3" s="45">
        <v>949</v>
      </c>
      <c r="I3" s="61">
        <v>351.91199999999998</v>
      </c>
      <c r="J3" s="10">
        <f t="shared" ref="J3:J66" si="0">$N$18+C3*$N$19+D3*$N$20+E3*$N$21+F3*$N$22+G3*$N$23+H3*$N$24+I3*$N$25</f>
        <v>79852023.276446566</v>
      </c>
      <c r="K3" s="10"/>
      <c r="L3" s="14"/>
    </row>
    <row r="4" spans="1:27" x14ac:dyDescent="0.25">
      <c r="A4" s="3">
        <v>37653</v>
      </c>
      <c r="B4" s="44">
        <v>76586153.241537571</v>
      </c>
      <c r="C4" s="59">
        <v>699.2</v>
      </c>
      <c r="D4" s="59">
        <v>0</v>
      </c>
      <c r="E4" s="62">
        <v>125.80592062045517</v>
      </c>
      <c r="F4" s="61">
        <v>28</v>
      </c>
      <c r="G4" s="61">
        <v>0</v>
      </c>
      <c r="H4" s="45">
        <v>960</v>
      </c>
      <c r="I4" s="61">
        <v>319.87200000000001</v>
      </c>
      <c r="J4" s="10">
        <f t="shared" si="0"/>
        <v>76809178.239413798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79534872.46127367</v>
      </c>
      <c r="C5" s="59">
        <v>593.1</v>
      </c>
      <c r="D5" s="59">
        <v>0</v>
      </c>
      <c r="E5" s="62">
        <v>125.9517607362029</v>
      </c>
      <c r="F5" s="61">
        <v>31</v>
      </c>
      <c r="G5" s="61">
        <v>1</v>
      </c>
      <c r="H5" s="45">
        <v>959</v>
      </c>
      <c r="I5" s="61">
        <v>336.28800000000001</v>
      </c>
      <c r="J5" s="10">
        <f t="shared" si="0"/>
        <v>77921688.526895776</v>
      </c>
      <c r="K5" s="10"/>
      <c r="L5" s="14"/>
      <c r="M5" s="36" t="s">
        <v>29</v>
      </c>
      <c r="N5" s="58">
        <v>0.73777408303790182</v>
      </c>
    </row>
    <row r="6" spans="1:27" x14ac:dyDescent="0.25">
      <c r="A6" s="3">
        <v>37712</v>
      </c>
      <c r="B6" s="44">
        <v>74709560.030598581</v>
      </c>
      <c r="C6" s="59">
        <v>387.1</v>
      </c>
      <c r="D6" s="59">
        <v>0</v>
      </c>
      <c r="E6" s="62">
        <v>126.09776991664374</v>
      </c>
      <c r="F6" s="61">
        <v>30</v>
      </c>
      <c r="G6" s="61">
        <v>1</v>
      </c>
      <c r="H6" s="45">
        <v>963</v>
      </c>
      <c r="I6" s="61">
        <v>336.24</v>
      </c>
      <c r="J6" s="10">
        <f t="shared" si="0"/>
        <v>76430003.586352974</v>
      </c>
      <c r="K6" s="10"/>
      <c r="L6" s="14"/>
      <c r="M6" s="36" t="s">
        <v>30</v>
      </c>
      <c r="N6" s="58">
        <v>0.54431059760241685</v>
      </c>
    </row>
    <row r="7" spans="1:27" x14ac:dyDescent="0.25">
      <c r="A7" s="3">
        <v>37742</v>
      </c>
      <c r="B7" s="44">
        <v>75955021.87798813</v>
      </c>
      <c r="C7" s="59">
        <v>215.8</v>
      </c>
      <c r="D7" s="59">
        <v>0</v>
      </c>
      <c r="E7" s="62">
        <v>126.2439483577654</v>
      </c>
      <c r="F7" s="61">
        <v>31</v>
      </c>
      <c r="G7" s="61">
        <v>1</v>
      </c>
      <c r="H7" s="45">
        <v>968</v>
      </c>
      <c r="I7" s="61">
        <v>336.28800000000001</v>
      </c>
      <c r="J7" s="10">
        <f t="shared" si="0"/>
        <v>76386322.318335727</v>
      </c>
      <c r="K7" s="10"/>
      <c r="L7" s="14"/>
      <c r="M7" s="36" t="s">
        <v>31</v>
      </c>
      <c r="N7" s="58">
        <v>0.50806257695715462</v>
      </c>
    </row>
    <row r="8" spans="1:27" x14ac:dyDescent="0.25">
      <c r="A8" s="3">
        <v>37773</v>
      </c>
      <c r="B8" s="44">
        <v>76426794.042838007</v>
      </c>
      <c r="C8" s="59">
        <v>54.5</v>
      </c>
      <c r="D8" s="59">
        <v>41.4</v>
      </c>
      <c r="E8" s="62">
        <v>126.3902962557828</v>
      </c>
      <c r="F8" s="61">
        <v>30</v>
      </c>
      <c r="G8" s="61">
        <v>0</v>
      </c>
      <c r="H8" s="45">
        <v>969</v>
      </c>
      <c r="I8" s="61">
        <v>336.24</v>
      </c>
      <c r="J8" s="10">
        <f t="shared" si="0"/>
        <v>79012358.539394453</v>
      </c>
      <c r="K8" s="10"/>
      <c r="L8" s="14"/>
      <c r="M8" s="36" t="s">
        <v>32</v>
      </c>
      <c r="N8" s="56">
        <v>2725951.837672113</v>
      </c>
    </row>
    <row r="9" spans="1:27" ht="13.8" thickBot="1" x14ac:dyDescent="0.3">
      <c r="A9" s="3">
        <v>37803</v>
      </c>
      <c r="B9" s="44">
        <v>83654451.357812196</v>
      </c>
      <c r="C9" s="59">
        <v>6.5</v>
      </c>
      <c r="D9" s="59">
        <v>83.9</v>
      </c>
      <c r="E9" s="62">
        <v>126.5368138071383</v>
      </c>
      <c r="F9" s="61">
        <v>31</v>
      </c>
      <c r="G9" s="61">
        <v>0</v>
      </c>
      <c r="H9" s="45">
        <v>970</v>
      </c>
      <c r="I9" s="61">
        <v>351.91199999999998</v>
      </c>
      <c r="J9" s="10">
        <f t="shared" si="0"/>
        <v>83213133.267395094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81075683.304647163</v>
      </c>
      <c r="C10" s="59">
        <v>5.7</v>
      </c>
      <c r="D10" s="59">
        <v>102.6</v>
      </c>
      <c r="E10" s="62">
        <v>126.68350120850199</v>
      </c>
      <c r="F10" s="61">
        <v>31</v>
      </c>
      <c r="G10" s="61">
        <v>0</v>
      </c>
      <c r="H10" s="45">
        <v>971</v>
      </c>
      <c r="I10" s="61">
        <v>319.92</v>
      </c>
      <c r="J10" s="10">
        <f t="shared" si="0"/>
        <v>83934173.302139997</v>
      </c>
      <c r="K10" s="10"/>
      <c r="L10" s="14"/>
    </row>
    <row r="11" spans="1:27" ht="13.8" thickBot="1" x14ac:dyDescent="0.3">
      <c r="A11" s="3">
        <v>37865</v>
      </c>
      <c r="B11" s="44">
        <v>78753349.378466234</v>
      </c>
      <c r="C11" s="59">
        <v>73.900000000000006</v>
      </c>
      <c r="D11" s="59">
        <v>14.8</v>
      </c>
      <c r="E11" s="62">
        <v>126.83035865677196</v>
      </c>
      <c r="F11" s="61">
        <v>30</v>
      </c>
      <c r="G11" s="61">
        <v>1</v>
      </c>
      <c r="H11" s="45">
        <v>970</v>
      </c>
      <c r="I11" s="61">
        <v>336.24</v>
      </c>
      <c r="J11" s="10">
        <f t="shared" si="0"/>
        <v>76273136.853288844</v>
      </c>
      <c r="K11" s="10"/>
      <c r="L11" s="14"/>
      <c r="M11" t="s">
        <v>34</v>
      </c>
    </row>
    <row r="12" spans="1:27" x14ac:dyDescent="0.25">
      <c r="A12" s="3">
        <v>37895</v>
      </c>
      <c r="B12" s="44">
        <v>77418502.314017966</v>
      </c>
      <c r="C12" s="59">
        <v>293.5</v>
      </c>
      <c r="D12" s="59">
        <v>0</v>
      </c>
      <c r="E12" s="62">
        <v>126.97738634907456</v>
      </c>
      <c r="F12" s="61">
        <v>31</v>
      </c>
      <c r="G12" s="61">
        <v>1</v>
      </c>
      <c r="H12" s="45">
        <v>976</v>
      </c>
      <c r="I12" s="61">
        <v>351.91199999999998</v>
      </c>
      <c r="J12" s="10">
        <f t="shared" si="0"/>
        <v>77205038.620879978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76366544.578313246</v>
      </c>
      <c r="C13" s="59">
        <v>391.5</v>
      </c>
      <c r="D13" s="59">
        <v>0</v>
      </c>
      <c r="E13" s="62">
        <v>127.12458448276465</v>
      </c>
      <c r="F13" s="61">
        <v>30</v>
      </c>
      <c r="G13" s="61">
        <v>1</v>
      </c>
      <c r="H13" s="45">
        <v>983</v>
      </c>
      <c r="I13" s="61">
        <v>319.68</v>
      </c>
      <c r="J13" s="10">
        <f t="shared" si="0"/>
        <v>76365677.885303423</v>
      </c>
      <c r="K13" s="10"/>
      <c r="L13" s="14"/>
      <c r="M13" s="36" t="s">
        <v>35</v>
      </c>
      <c r="N13" s="36">
        <v>7</v>
      </c>
      <c r="O13" s="36">
        <v>781082468895303.5</v>
      </c>
      <c r="P13" s="36">
        <v>111583209842186.22</v>
      </c>
      <c r="Q13" s="36">
        <v>15.016284693977068</v>
      </c>
      <c r="R13" s="36">
        <v>9.34571782004362E-13</v>
      </c>
    </row>
    <row r="14" spans="1:27" x14ac:dyDescent="0.25">
      <c r="A14" s="3">
        <v>37956</v>
      </c>
      <c r="B14" s="44">
        <v>76284499.062918335</v>
      </c>
      <c r="C14" s="59">
        <v>571</v>
      </c>
      <c r="D14" s="59">
        <v>0</v>
      </c>
      <c r="E14" s="62">
        <v>127.27195325542573</v>
      </c>
      <c r="F14" s="61">
        <v>31</v>
      </c>
      <c r="G14" s="61">
        <v>0</v>
      </c>
      <c r="H14" s="45">
        <v>987</v>
      </c>
      <c r="I14" s="61">
        <v>336.28800000000001</v>
      </c>
      <c r="J14" s="10">
        <f t="shared" si="0"/>
        <v>78951574.4375121</v>
      </c>
      <c r="K14" s="10"/>
      <c r="L14" s="14"/>
      <c r="M14" s="36" t="s">
        <v>36</v>
      </c>
      <c r="N14" s="36">
        <v>88</v>
      </c>
      <c r="O14" s="36">
        <v>653911581075101.25</v>
      </c>
      <c r="P14" s="36">
        <v>7430813421307.9688</v>
      </c>
      <c r="Q14" s="36"/>
      <c r="R14" s="36"/>
    </row>
    <row r="15" spans="1:27" ht="13.8" thickBot="1" x14ac:dyDescent="0.3">
      <c r="A15" s="3">
        <v>37987</v>
      </c>
      <c r="B15" s="44">
        <v>84758130.770701841</v>
      </c>
      <c r="C15" s="59">
        <v>859.1</v>
      </c>
      <c r="D15" s="59">
        <v>0</v>
      </c>
      <c r="E15" s="62">
        <v>127.53411264087498</v>
      </c>
      <c r="F15" s="61">
        <v>31</v>
      </c>
      <c r="G15" s="61">
        <v>0</v>
      </c>
      <c r="H15" s="45">
        <v>986</v>
      </c>
      <c r="I15" s="61">
        <v>336.28800000000001</v>
      </c>
      <c r="J15" s="10">
        <f t="shared" si="0"/>
        <v>80196350.943077758</v>
      </c>
      <c r="K15" s="10"/>
      <c r="L15" s="14"/>
      <c r="M15" s="48" t="s">
        <v>11</v>
      </c>
      <c r="N15" s="48">
        <v>95</v>
      </c>
      <c r="O15" s="48">
        <v>1434994049970404.8</v>
      </c>
      <c r="P15" s="48"/>
      <c r="Q15" s="48"/>
      <c r="R15" s="48"/>
    </row>
    <row r="16" spans="1:27" ht="13.8" thickBot="1" x14ac:dyDescent="0.3">
      <c r="A16" s="3">
        <v>38018</v>
      </c>
      <c r="B16" s="44">
        <v>78370409.552495688</v>
      </c>
      <c r="C16" s="59">
        <v>647.70000000000005</v>
      </c>
      <c r="D16" s="59">
        <v>0</v>
      </c>
      <c r="E16" s="62">
        <v>127.79681203173486</v>
      </c>
      <c r="F16" s="61">
        <v>29</v>
      </c>
      <c r="G16" s="61">
        <v>0</v>
      </c>
      <c r="H16" s="45">
        <v>985</v>
      </c>
      <c r="I16" s="61">
        <v>320.16000000000003</v>
      </c>
      <c r="J16" s="10">
        <f t="shared" si="0"/>
        <v>77535136.492426068</v>
      </c>
      <c r="K16" s="10"/>
      <c r="L16" s="14"/>
    </row>
    <row r="17" spans="1:21" x14ac:dyDescent="0.25">
      <c r="A17" s="3">
        <v>38047</v>
      </c>
      <c r="B17" s="44">
        <v>81880891.566265047</v>
      </c>
      <c r="C17" s="59">
        <v>513.6</v>
      </c>
      <c r="D17" s="59">
        <v>0</v>
      </c>
      <c r="E17" s="62">
        <v>128.06005254032812</v>
      </c>
      <c r="F17" s="61">
        <v>31</v>
      </c>
      <c r="G17" s="61">
        <v>1</v>
      </c>
      <c r="H17" s="45">
        <v>987</v>
      </c>
      <c r="I17" s="61">
        <v>368.28</v>
      </c>
      <c r="J17" s="10">
        <f t="shared" si="0"/>
        <v>78707934.816026703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75220977.070185512</v>
      </c>
      <c r="C18" s="59">
        <v>329.3</v>
      </c>
      <c r="D18" s="59">
        <v>0</v>
      </c>
      <c r="E18" s="62">
        <v>128.32383528126866</v>
      </c>
      <c r="F18" s="61">
        <v>30</v>
      </c>
      <c r="G18" s="61">
        <v>1</v>
      </c>
      <c r="H18" s="45">
        <v>998</v>
      </c>
      <c r="I18" s="61">
        <v>336.24</v>
      </c>
      <c r="J18" s="10">
        <f t="shared" si="0"/>
        <v>76676749.247334167</v>
      </c>
      <c r="K18" s="10"/>
      <c r="L18" s="14"/>
      <c r="M18" s="36" t="s">
        <v>37</v>
      </c>
      <c r="N18" s="56">
        <v>41573985.963250898</v>
      </c>
      <c r="O18" s="36">
        <v>14869898.127989987</v>
      </c>
      <c r="P18" s="54">
        <v>2.7958487412227209</v>
      </c>
      <c r="Q18" s="36">
        <v>6.3550995538602887E-3</v>
      </c>
      <c r="R18" s="36">
        <v>12023188.742433239</v>
      </c>
      <c r="S18" s="36">
        <v>71124783.184068561</v>
      </c>
      <c r="T18" s="36">
        <v>12023188.742433239</v>
      </c>
      <c r="U18" s="36">
        <v>71124783.184068561</v>
      </c>
    </row>
    <row r="19" spans="1:21" x14ac:dyDescent="0.25">
      <c r="A19" s="3">
        <v>38108</v>
      </c>
      <c r="B19" s="44">
        <v>78364682.979537189</v>
      </c>
      <c r="C19" s="59">
        <v>164.1</v>
      </c>
      <c r="D19" s="59">
        <v>14.2</v>
      </c>
      <c r="E19" s="62">
        <v>128.58816137146633</v>
      </c>
      <c r="F19" s="61">
        <v>31</v>
      </c>
      <c r="G19" s="61">
        <v>1</v>
      </c>
      <c r="H19" s="45">
        <v>1003</v>
      </c>
      <c r="I19" s="61">
        <v>319.92</v>
      </c>
      <c r="J19" s="10">
        <f t="shared" si="0"/>
        <v>77385662.103633374</v>
      </c>
      <c r="K19" s="10"/>
      <c r="L19" s="14"/>
      <c r="M19" s="36" t="s">
        <v>3</v>
      </c>
      <c r="N19" s="56">
        <v>4498.635992805619</v>
      </c>
      <c r="O19" s="36">
        <v>1984.568213201152</v>
      </c>
      <c r="P19" s="54">
        <v>2.2668084487502802</v>
      </c>
      <c r="Q19" s="36">
        <v>2.5852796320107996E-2</v>
      </c>
      <c r="R19" s="36">
        <v>554.72377939256148</v>
      </c>
      <c r="S19" s="36">
        <v>8442.5482062186766</v>
      </c>
      <c r="T19" s="36">
        <v>554.72377939256148</v>
      </c>
      <c r="U19" s="36">
        <v>8442.5482062186766</v>
      </c>
    </row>
    <row r="20" spans="1:21" x14ac:dyDescent="0.25">
      <c r="A20" s="3">
        <v>38139</v>
      </c>
      <c r="B20" s="44">
        <v>80644574.650984898</v>
      </c>
      <c r="C20" s="59">
        <v>60.1</v>
      </c>
      <c r="D20" s="59">
        <v>29.2</v>
      </c>
      <c r="E20" s="62">
        <v>128.85303193013166</v>
      </c>
      <c r="F20" s="61">
        <v>30</v>
      </c>
      <c r="G20" s="61">
        <v>0</v>
      </c>
      <c r="H20" s="45">
        <v>1006</v>
      </c>
      <c r="I20" s="61">
        <v>352.08</v>
      </c>
      <c r="J20" s="10">
        <f t="shared" si="0"/>
        <v>78969505.553882807</v>
      </c>
      <c r="K20" s="10"/>
      <c r="L20" s="14"/>
      <c r="M20" s="36" t="s">
        <v>4</v>
      </c>
      <c r="N20" s="56">
        <v>79947.143351801104</v>
      </c>
      <c r="O20" s="36">
        <v>16225.137786505273</v>
      </c>
      <c r="P20" s="54">
        <v>4.9273629847565621</v>
      </c>
      <c r="Q20" s="36">
        <v>3.8822499291214569E-6</v>
      </c>
      <c r="R20" s="36">
        <v>47703.092149706245</v>
      </c>
      <c r="S20" s="36">
        <v>112191.19455389597</v>
      </c>
      <c r="T20" s="36">
        <v>47703.092149706245</v>
      </c>
      <c r="U20" s="36">
        <v>112191.19455389597</v>
      </c>
    </row>
    <row r="21" spans="1:21" x14ac:dyDescent="0.25">
      <c r="A21" s="3">
        <v>38169</v>
      </c>
      <c r="B21" s="44">
        <v>83646349.158538923</v>
      </c>
      <c r="C21" s="59">
        <v>7.7</v>
      </c>
      <c r="D21" s="59">
        <v>71.599999999999994</v>
      </c>
      <c r="E21" s="62">
        <v>129.11844807878055</v>
      </c>
      <c r="F21" s="61">
        <v>31</v>
      </c>
      <c r="G21" s="61">
        <v>0</v>
      </c>
      <c r="H21" s="45">
        <v>1009</v>
      </c>
      <c r="I21" s="61">
        <v>336.28800000000001</v>
      </c>
      <c r="J21" s="10">
        <f t="shared" si="0"/>
        <v>82409720.830539569</v>
      </c>
      <c r="K21" s="10"/>
      <c r="L21" s="14"/>
      <c r="M21" s="36" t="s">
        <v>7</v>
      </c>
      <c r="N21" s="56">
        <v>-112970.68507257158</v>
      </c>
      <c r="O21" s="36">
        <v>61754.691021943232</v>
      </c>
      <c r="P21" s="54">
        <v>-1.8293458068218627</v>
      </c>
      <c r="Q21" s="36">
        <v>7.0734488363211195E-2</v>
      </c>
      <c r="R21" s="36">
        <v>-235695.15407136298</v>
      </c>
      <c r="S21" s="36">
        <v>9753.7839262198249</v>
      </c>
      <c r="T21" s="36">
        <v>-235695.15407136298</v>
      </c>
      <c r="U21" s="36">
        <v>9753.7839262198249</v>
      </c>
    </row>
    <row r="22" spans="1:21" x14ac:dyDescent="0.25">
      <c r="A22" s="3">
        <v>38200</v>
      </c>
      <c r="B22" s="44">
        <v>81801175.043029249</v>
      </c>
      <c r="C22" s="59">
        <v>28.9</v>
      </c>
      <c r="D22" s="59">
        <v>40</v>
      </c>
      <c r="E22" s="62">
        <v>129.38441094123903</v>
      </c>
      <c r="F22" s="61">
        <v>31</v>
      </c>
      <c r="G22" s="61">
        <v>0</v>
      </c>
      <c r="H22" s="45">
        <v>1009</v>
      </c>
      <c r="I22" s="61">
        <v>336.28800000000001</v>
      </c>
      <c r="J22" s="10">
        <f t="shared" si="0"/>
        <v>79948716.176894337</v>
      </c>
      <c r="K22" s="10"/>
      <c r="L22" s="14"/>
      <c r="M22" s="36" t="s">
        <v>5</v>
      </c>
      <c r="N22" s="56">
        <v>633964.47417899594</v>
      </c>
      <c r="O22" s="36">
        <v>373836.46345756989</v>
      </c>
      <c r="P22" s="54">
        <v>1.6958337030998325</v>
      </c>
      <c r="Q22" s="36">
        <v>9.3452687883894048E-2</v>
      </c>
      <c r="R22" s="36">
        <v>-108956.92516723752</v>
      </c>
      <c r="S22" s="36">
        <v>1376885.8735252293</v>
      </c>
      <c r="T22" s="36">
        <v>-108956.92516723752</v>
      </c>
      <c r="U22" s="36">
        <v>1376885.8735252293</v>
      </c>
    </row>
    <row r="23" spans="1:21" x14ac:dyDescent="0.25">
      <c r="A23" s="3">
        <v>38231</v>
      </c>
      <c r="B23" s="44">
        <v>80724583.438515976</v>
      </c>
      <c r="C23" s="59">
        <v>43.9</v>
      </c>
      <c r="D23" s="59">
        <v>31.2</v>
      </c>
      <c r="E23" s="62">
        <v>129.65092164364802</v>
      </c>
      <c r="F23" s="61">
        <v>30</v>
      </c>
      <c r="G23" s="61">
        <v>1</v>
      </c>
      <c r="H23" s="45">
        <v>1023</v>
      </c>
      <c r="I23" s="61">
        <v>336.24</v>
      </c>
      <c r="J23" s="10">
        <f t="shared" si="0"/>
        <v>78278872.516786143</v>
      </c>
      <c r="K23" s="10"/>
      <c r="L23" s="14"/>
      <c r="M23" s="36" t="s">
        <v>26</v>
      </c>
      <c r="N23" s="56">
        <v>-671851.25888293877</v>
      </c>
      <c r="O23" s="36">
        <v>827938.85756069049</v>
      </c>
      <c r="P23" s="54">
        <v>-0.81147448600537508</v>
      </c>
      <c r="Q23" s="36">
        <v>0.41928271396086203</v>
      </c>
      <c r="R23" s="36">
        <v>-2317205.7246918171</v>
      </c>
      <c r="S23" s="36">
        <v>973503.20692593942</v>
      </c>
      <c r="T23" s="36">
        <v>-2317205.7246918171</v>
      </c>
      <c r="U23" s="36">
        <v>973503.20692593942</v>
      </c>
    </row>
    <row r="24" spans="1:21" x14ac:dyDescent="0.25">
      <c r="A24" s="3">
        <v>38261</v>
      </c>
      <c r="B24" s="44">
        <v>77934517.833237723</v>
      </c>
      <c r="C24" s="59">
        <v>253.5</v>
      </c>
      <c r="D24" s="59">
        <v>0</v>
      </c>
      <c r="E24" s="62">
        <v>129.91798131446814</v>
      </c>
      <c r="F24" s="61">
        <v>31</v>
      </c>
      <c r="G24" s="61">
        <v>1</v>
      </c>
      <c r="H24" s="45">
        <v>1027</v>
      </c>
      <c r="I24" s="61">
        <v>319.92</v>
      </c>
      <c r="J24" s="10">
        <f t="shared" si="0"/>
        <v>77022300.821952268</v>
      </c>
      <c r="K24" s="10"/>
      <c r="L24" s="14"/>
      <c r="M24" s="36" t="s">
        <v>66</v>
      </c>
      <c r="N24" s="56">
        <v>21664.198589238855</v>
      </c>
      <c r="O24" s="36">
        <v>7385.1708485838908</v>
      </c>
      <c r="P24" s="54">
        <v>2.9334729058289795</v>
      </c>
      <c r="Q24" s="36">
        <v>4.2731632797801782E-3</v>
      </c>
      <c r="R24" s="36">
        <v>6987.7237197303602</v>
      </c>
      <c r="S24" s="36">
        <v>36340.673458747347</v>
      </c>
      <c r="T24" s="36">
        <v>6987.7237197303602</v>
      </c>
      <c r="U24" s="36">
        <v>36340.673458747347</v>
      </c>
    </row>
    <row r="25" spans="1:21" ht="13.8" thickBot="1" x14ac:dyDescent="0.3">
      <c r="A25" s="3">
        <v>38292</v>
      </c>
      <c r="B25" s="44">
        <v>77253168.818129659</v>
      </c>
      <c r="C25" s="59">
        <v>396</v>
      </c>
      <c r="D25" s="59">
        <v>0</v>
      </c>
      <c r="E25" s="62">
        <v>130.18559108448443</v>
      </c>
      <c r="F25" s="61">
        <v>30</v>
      </c>
      <c r="G25" s="61">
        <v>1</v>
      </c>
      <c r="H25" s="45">
        <v>1047</v>
      </c>
      <c r="I25" s="61">
        <v>352.08</v>
      </c>
      <c r="J25" s="10">
        <f t="shared" si="0"/>
        <v>78211981.560702533</v>
      </c>
      <c r="K25" s="10"/>
      <c r="L25" s="14"/>
      <c r="M25" s="48" t="s">
        <v>6</v>
      </c>
      <c r="N25" s="48">
        <v>24239.355448399394</v>
      </c>
      <c r="O25" s="48">
        <v>17993.48305139277</v>
      </c>
      <c r="P25" s="55">
        <v>1.3471185861662935</v>
      </c>
      <c r="Q25" s="48">
        <v>0.18140075853599957</v>
      </c>
      <c r="R25" s="48">
        <v>-11518.91030239642</v>
      </c>
      <c r="S25" s="48">
        <v>59997.621199195208</v>
      </c>
      <c r="T25" s="48">
        <v>-11518.91030239642</v>
      </c>
      <c r="U25" s="48">
        <v>59997.621199195208</v>
      </c>
    </row>
    <row r="26" spans="1:21" x14ac:dyDescent="0.25">
      <c r="A26" s="3">
        <v>38322</v>
      </c>
      <c r="B26" s="44">
        <v>79935570.147255674</v>
      </c>
      <c r="C26" s="59">
        <v>636.70000000000005</v>
      </c>
      <c r="D26" s="59">
        <v>0</v>
      </c>
      <c r="E26" s="62">
        <v>130.45375208681136</v>
      </c>
      <c r="F26" s="61">
        <v>31</v>
      </c>
      <c r="G26" s="61">
        <v>0</v>
      </c>
      <c r="H26" s="45">
        <v>1051</v>
      </c>
      <c r="I26" s="61">
        <v>336.28800000000001</v>
      </c>
      <c r="J26" s="10">
        <f t="shared" si="0"/>
        <v>80274193.538205981</v>
      </c>
      <c r="K26" s="10"/>
      <c r="L26" s="14"/>
    </row>
    <row r="27" spans="1:21" x14ac:dyDescent="0.25">
      <c r="A27" s="3">
        <v>38353</v>
      </c>
      <c r="B27" s="44">
        <v>78291773.073245361</v>
      </c>
      <c r="C27" s="59">
        <v>765.8</v>
      </c>
      <c r="D27" s="59">
        <v>0</v>
      </c>
      <c r="E27" s="62">
        <v>130.74370215685079</v>
      </c>
      <c r="F27" s="61">
        <v>31</v>
      </c>
      <c r="G27" s="61">
        <v>0</v>
      </c>
      <c r="H27" s="45">
        <v>1056</v>
      </c>
      <c r="I27" s="61">
        <v>319.92</v>
      </c>
      <c r="J27" s="10">
        <f t="shared" si="0"/>
        <v>80533782.809794769</v>
      </c>
      <c r="K27" s="10"/>
      <c r="L27" s="14"/>
    </row>
    <row r="28" spans="1:21" x14ac:dyDescent="0.25">
      <c r="A28" s="3">
        <v>38384</v>
      </c>
      <c r="B28" s="44">
        <v>78814348.50831899</v>
      </c>
      <c r="C28" s="59">
        <v>641.70000000000005</v>
      </c>
      <c r="D28" s="59">
        <v>0</v>
      </c>
      <c r="E28" s="62">
        <v>131.0342966778299</v>
      </c>
      <c r="F28" s="61">
        <v>28</v>
      </c>
      <c r="G28" s="61">
        <v>0</v>
      </c>
      <c r="H28" s="45">
        <v>1060</v>
      </c>
      <c r="I28" s="61">
        <v>319.87200000000001</v>
      </c>
      <c r="J28" s="10">
        <f t="shared" si="0"/>
        <v>78126273.303732708</v>
      </c>
      <c r="K28" s="10"/>
      <c r="L28" s="14"/>
    </row>
    <row r="29" spans="1:21" x14ac:dyDescent="0.25">
      <c r="A29" s="3">
        <v>38412</v>
      </c>
      <c r="B29" s="44">
        <v>83108466.265060246</v>
      </c>
      <c r="C29" s="59">
        <v>646.9</v>
      </c>
      <c r="D29" s="59">
        <v>0</v>
      </c>
      <c r="E29" s="62">
        <v>131.32553708212293</v>
      </c>
      <c r="F29" s="61">
        <v>31</v>
      </c>
      <c r="G29" s="61">
        <v>1</v>
      </c>
      <c r="H29" s="45">
        <v>1061</v>
      </c>
      <c r="I29" s="61">
        <v>351.91199999999998</v>
      </c>
      <c r="J29" s="10">
        <f t="shared" si="0"/>
        <v>80145099.893711522</v>
      </c>
      <c r="K29" s="10"/>
      <c r="L29" s="14"/>
    </row>
    <row r="30" spans="1:21" x14ac:dyDescent="0.25">
      <c r="A30" s="3">
        <v>38443</v>
      </c>
      <c r="B30" s="44">
        <v>77162206.932491854</v>
      </c>
      <c r="C30" s="59">
        <v>339</v>
      </c>
      <c r="D30" s="59">
        <v>0</v>
      </c>
      <c r="E30" s="62">
        <v>131.61742480528775</v>
      </c>
      <c r="F30" s="61">
        <v>30</v>
      </c>
      <c r="G30" s="61">
        <v>1</v>
      </c>
      <c r="H30" s="45">
        <v>1067</v>
      </c>
      <c r="I30" s="61">
        <v>336.24</v>
      </c>
      <c r="J30" s="10">
        <f t="shared" si="0"/>
        <v>77843136.65424557</v>
      </c>
      <c r="K30" s="10"/>
      <c r="L30" s="14"/>
    </row>
    <row r="31" spans="1:21" x14ac:dyDescent="0.25">
      <c r="A31" s="3">
        <v>38473</v>
      </c>
      <c r="B31" s="44">
        <v>78475945.620577529</v>
      </c>
      <c r="C31" s="59">
        <v>212.7</v>
      </c>
      <c r="D31" s="59">
        <v>0</v>
      </c>
      <c r="E31" s="62">
        <v>131.90996128607298</v>
      </c>
      <c r="F31" s="61">
        <v>31</v>
      </c>
      <c r="G31" s="61">
        <v>1</v>
      </c>
      <c r="H31" s="45">
        <v>1066</v>
      </c>
      <c r="I31" s="61">
        <v>336.28800000000001</v>
      </c>
      <c r="J31" s="10">
        <f t="shared" si="0"/>
        <v>77855374.646362484</v>
      </c>
      <c r="K31" s="10"/>
      <c r="L31" s="14"/>
    </row>
    <row r="32" spans="1:21" x14ac:dyDescent="0.25">
      <c r="A32" s="3">
        <v>38504</v>
      </c>
      <c r="B32" s="44">
        <v>88393244.482692674</v>
      </c>
      <c r="C32" s="59">
        <v>13.1</v>
      </c>
      <c r="D32" s="59">
        <v>119.6</v>
      </c>
      <c r="E32" s="62">
        <v>132.20314796642501</v>
      </c>
      <c r="F32" s="61">
        <v>30</v>
      </c>
      <c r="G32" s="61">
        <v>0</v>
      </c>
      <c r="H32" s="45">
        <v>1063</v>
      </c>
      <c r="I32" s="61">
        <v>352.08</v>
      </c>
      <c r="J32" s="10">
        <f t="shared" si="0"/>
        <v>86841685.837117717</v>
      </c>
      <c r="K32" s="10"/>
      <c r="L32" s="14"/>
    </row>
    <row r="33" spans="1:12" x14ac:dyDescent="0.25">
      <c r="A33" s="3">
        <v>38534</v>
      </c>
      <c r="B33" s="44">
        <v>87417721.113023505</v>
      </c>
      <c r="C33" s="59">
        <v>1.1000000000000001</v>
      </c>
      <c r="D33" s="59">
        <v>144.69999999999999</v>
      </c>
      <c r="E33" s="62">
        <v>132.49698629149512</v>
      </c>
      <c r="F33" s="61">
        <v>31</v>
      </c>
      <c r="G33" s="61">
        <v>0</v>
      </c>
      <c r="H33" s="45">
        <v>1067</v>
      </c>
      <c r="I33" s="61">
        <v>319.92</v>
      </c>
      <c r="J33" s="10">
        <f t="shared" si="0"/>
        <v>88702263.98376593</v>
      </c>
      <c r="K33" s="10"/>
      <c r="L33" s="14"/>
    </row>
    <row r="34" spans="1:12" x14ac:dyDescent="0.25">
      <c r="A34" s="3">
        <v>38565</v>
      </c>
      <c r="B34" s="44">
        <v>87825517.555938035</v>
      </c>
      <c r="C34" s="59">
        <v>3.8</v>
      </c>
      <c r="D34" s="59">
        <v>102.5</v>
      </c>
      <c r="E34" s="62">
        <v>132.79147770964664</v>
      </c>
      <c r="F34" s="61">
        <v>31</v>
      </c>
      <c r="G34" s="61">
        <v>0</v>
      </c>
      <c r="H34" s="45">
        <v>1069</v>
      </c>
      <c r="I34" s="61">
        <v>351.91199999999998</v>
      </c>
      <c r="J34" s="10">
        <f t="shared" si="0"/>
        <v>86126165.810927615</v>
      </c>
      <c r="K34" s="10"/>
      <c r="L34" s="14"/>
    </row>
    <row r="35" spans="1:12" x14ac:dyDescent="0.25">
      <c r="A35" s="3">
        <v>38596</v>
      </c>
      <c r="B35" s="44">
        <v>73412804.953145921</v>
      </c>
      <c r="C35" s="59">
        <v>32.799999999999997</v>
      </c>
      <c r="D35" s="59">
        <v>25.6</v>
      </c>
      <c r="E35" s="62">
        <v>133.08662367246211</v>
      </c>
      <c r="F35" s="61">
        <v>30</v>
      </c>
      <c r="G35" s="61">
        <v>1</v>
      </c>
      <c r="H35" s="45">
        <v>1071</v>
      </c>
      <c r="I35" s="61">
        <v>336.24</v>
      </c>
      <c r="J35" s="10">
        <f t="shared" si="0"/>
        <v>78432981.574879035</v>
      </c>
      <c r="K35" s="10"/>
      <c r="L35" s="14"/>
    </row>
    <row r="36" spans="1:12" x14ac:dyDescent="0.25">
      <c r="A36" s="3">
        <v>38626</v>
      </c>
      <c r="B36" s="44">
        <v>88514382.147638157</v>
      </c>
      <c r="C36" s="59">
        <v>234.2</v>
      </c>
      <c r="D36" s="59">
        <v>7.6</v>
      </c>
      <c r="E36" s="62">
        <v>133.38242563475035</v>
      </c>
      <c r="F36" s="61">
        <v>31</v>
      </c>
      <c r="G36" s="61">
        <v>1</v>
      </c>
      <c r="H36" s="45">
        <v>1075</v>
      </c>
      <c r="I36" s="61">
        <v>319.92</v>
      </c>
      <c r="J36" s="10">
        <f t="shared" si="0"/>
        <v>78191576.320790216</v>
      </c>
      <c r="K36" s="10"/>
      <c r="L36" s="14"/>
    </row>
    <row r="37" spans="1:12" x14ac:dyDescent="0.25">
      <c r="A37" s="3">
        <v>38657</v>
      </c>
      <c r="B37" s="44">
        <v>78182214.486517489</v>
      </c>
      <c r="C37" s="59">
        <v>396.3</v>
      </c>
      <c r="D37" s="59">
        <v>0</v>
      </c>
      <c r="E37" s="62">
        <v>133.67888505455369</v>
      </c>
      <c r="F37" s="61">
        <v>30</v>
      </c>
      <c r="G37" s="61">
        <v>1</v>
      </c>
      <c r="H37" s="45">
        <v>1074</v>
      </c>
      <c r="I37" s="61">
        <v>352.08</v>
      </c>
      <c r="J37" s="10">
        <f t="shared" si="0"/>
        <v>78403624.700451195</v>
      </c>
      <c r="K37" s="10"/>
      <c r="L37" s="14"/>
    </row>
    <row r="38" spans="1:12" x14ac:dyDescent="0.25">
      <c r="A38" s="3">
        <v>38687</v>
      </c>
      <c r="B38" s="44">
        <v>81481154.800153002</v>
      </c>
      <c r="C38" s="59">
        <v>688.8</v>
      </c>
      <c r="D38" s="59">
        <v>0</v>
      </c>
      <c r="E38" s="62">
        <v>133.97600339315525</v>
      </c>
      <c r="F38" s="61">
        <v>31</v>
      </c>
      <c r="G38" s="61">
        <v>0</v>
      </c>
      <c r="H38" s="45">
        <v>1079</v>
      </c>
      <c r="I38" s="61">
        <v>319.92</v>
      </c>
      <c r="J38" s="10">
        <f t="shared" si="0"/>
        <v>80320509.120875016</v>
      </c>
      <c r="K38" s="10"/>
      <c r="L38" s="14"/>
    </row>
    <row r="39" spans="1:12" x14ac:dyDescent="0.25">
      <c r="A39" s="3">
        <v>38718</v>
      </c>
      <c r="B39" s="38">
        <v>83468522.183973983</v>
      </c>
      <c r="C39" s="59">
        <v>554.70000000000005</v>
      </c>
      <c r="D39" s="59">
        <v>0</v>
      </c>
      <c r="E39" s="62">
        <v>134.25197202423305</v>
      </c>
      <c r="F39" s="61">
        <v>31</v>
      </c>
      <c r="G39" s="61">
        <v>0</v>
      </c>
      <c r="H39" s="45">
        <v>1088</v>
      </c>
      <c r="I39" s="61">
        <v>336.28800000000001</v>
      </c>
      <c r="J39" s="10">
        <f t="shared" si="0"/>
        <v>80277793.226210937</v>
      </c>
      <c r="K39" s="10"/>
      <c r="L39" s="14"/>
    </row>
    <row r="40" spans="1:12" x14ac:dyDescent="0.25">
      <c r="A40" s="3">
        <v>38749</v>
      </c>
      <c r="B40" s="38">
        <v>77626470.587110341</v>
      </c>
      <c r="C40" s="59">
        <v>602.79999999999995</v>
      </c>
      <c r="D40" s="59">
        <v>0</v>
      </c>
      <c r="E40" s="62">
        <v>134.52850910550649</v>
      </c>
      <c r="F40" s="61">
        <v>28</v>
      </c>
      <c r="G40" s="61">
        <v>0</v>
      </c>
      <c r="H40" s="45">
        <v>1094</v>
      </c>
      <c r="I40" s="61">
        <v>319.87200000000001</v>
      </c>
      <c r="J40" s="10">
        <f t="shared" si="0"/>
        <v>78293115.543902978</v>
      </c>
      <c r="K40" s="10"/>
      <c r="L40" s="14"/>
    </row>
    <row r="41" spans="1:12" x14ac:dyDescent="0.25">
      <c r="A41" s="3">
        <v>38777</v>
      </c>
      <c r="B41" s="38">
        <v>80628498.642187804</v>
      </c>
      <c r="C41" s="59">
        <v>530.4</v>
      </c>
      <c r="D41" s="59">
        <v>0</v>
      </c>
      <c r="E41" s="62">
        <v>134.80561580788986</v>
      </c>
      <c r="F41" s="61">
        <v>31</v>
      </c>
      <c r="G41" s="61">
        <v>1</v>
      </c>
      <c r="H41" s="45">
        <v>1097</v>
      </c>
      <c r="I41" s="61">
        <v>368.28</v>
      </c>
      <c r="J41" s="10">
        <f t="shared" si="0"/>
        <v>80404522.841985285</v>
      </c>
      <c r="K41" s="10"/>
      <c r="L41" s="14"/>
    </row>
    <row r="42" spans="1:12" x14ac:dyDescent="0.25">
      <c r="A42" s="3">
        <v>38808</v>
      </c>
      <c r="B42" s="38">
        <v>74263532.013769358</v>
      </c>
      <c r="C42" s="59">
        <v>314.60000000000002</v>
      </c>
      <c r="D42" s="59">
        <v>0</v>
      </c>
      <c r="E42" s="62">
        <v>135.08329330470943</v>
      </c>
      <c r="F42" s="61">
        <v>30</v>
      </c>
      <c r="G42" s="61">
        <v>1</v>
      </c>
      <c r="H42" s="45">
        <v>1094</v>
      </c>
      <c r="I42" s="61">
        <v>303.83999999999997</v>
      </c>
      <c r="J42" s="10">
        <f t="shared" si="0"/>
        <v>77141406.64265132</v>
      </c>
      <c r="K42" s="10"/>
      <c r="L42" s="14"/>
    </row>
    <row r="43" spans="1:12" x14ac:dyDescent="0.25">
      <c r="A43" s="3">
        <v>38838</v>
      </c>
      <c r="B43" s="38">
        <v>79077511.717326686</v>
      </c>
      <c r="C43" s="59">
        <v>155.5</v>
      </c>
      <c r="D43" s="59">
        <v>22.4</v>
      </c>
      <c r="E43" s="62">
        <v>135.36154277170829</v>
      </c>
      <c r="F43" s="61">
        <v>31</v>
      </c>
      <c r="G43" s="61">
        <v>1</v>
      </c>
      <c r="H43" s="45">
        <v>1096</v>
      </c>
      <c r="I43" s="61">
        <v>351.91199999999998</v>
      </c>
      <c r="J43" s="10">
        <f t="shared" si="0"/>
        <v>80027582.800841287</v>
      </c>
      <c r="K43" s="10"/>
      <c r="L43" s="14"/>
    </row>
    <row r="44" spans="1:12" x14ac:dyDescent="0.25">
      <c r="A44" s="3">
        <v>38869</v>
      </c>
      <c r="B44" s="38">
        <v>83209893.441365436</v>
      </c>
      <c r="C44" s="59">
        <v>26.7</v>
      </c>
      <c r="D44" s="59">
        <v>43.2</v>
      </c>
      <c r="E44" s="62">
        <v>135.64036538705133</v>
      </c>
      <c r="F44" s="61">
        <v>30</v>
      </c>
      <c r="G44" s="61">
        <v>0</v>
      </c>
      <c r="H44" s="45">
        <v>1101</v>
      </c>
      <c r="I44" s="61">
        <v>352.08</v>
      </c>
      <c r="J44" s="10">
        <f t="shared" si="0"/>
        <v>81229840.274181813</v>
      </c>
      <c r="K44" s="10"/>
      <c r="L44" s="14"/>
    </row>
    <row r="45" spans="1:12" x14ac:dyDescent="0.25">
      <c r="A45" s="3">
        <v>38899</v>
      </c>
      <c r="B45" s="38">
        <v>88040404.276536584</v>
      </c>
      <c r="C45" s="59">
        <v>1.9</v>
      </c>
      <c r="D45" s="59">
        <v>136.1</v>
      </c>
      <c r="E45" s="62">
        <v>135.9197623313303</v>
      </c>
      <c r="F45" s="61">
        <v>31</v>
      </c>
      <c r="G45" s="61">
        <v>0</v>
      </c>
      <c r="H45" s="45">
        <v>1103</v>
      </c>
      <c r="I45" s="61">
        <v>319.92</v>
      </c>
      <c r="J45" s="10">
        <f t="shared" si="0"/>
        <v>88411555.25487712</v>
      </c>
      <c r="K45" s="10"/>
      <c r="L45" s="14"/>
    </row>
    <row r="46" spans="1:12" x14ac:dyDescent="0.25">
      <c r="A46" s="3">
        <v>38930</v>
      </c>
      <c r="B46" s="38">
        <v>85613533.493144125</v>
      </c>
      <c r="C46" s="59">
        <v>8.1</v>
      </c>
      <c r="D46" s="59">
        <v>70.099999999999994</v>
      </c>
      <c r="E46" s="62">
        <v>136.19973478756879</v>
      </c>
      <c r="F46" s="61">
        <v>31</v>
      </c>
      <c r="G46" s="61">
        <v>0</v>
      </c>
      <c r="H46" s="45">
        <v>1102</v>
      </c>
      <c r="I46" s="61">
        <v>351.91199999999998</v>
      </c>
      <c r="J46" s="10">
        <f t="shared" si="0"/>
        <v>83885107.917546898</v>
      </c>
      <c r="K46" s="10"/>
      <c r="L46" s="14"/>
    </row>
    <row r="47" spans="1:12" x14ac:dyDescent="0.25">
      <c r="A47" s="3">
        <v>38961</v>
      </c>
      <c r="B47" s="38">
        <v>76887798.398695946</v>
      </c>
      <c r="C47" s="59">
        <v>105.3</v>
      </c>
      <c r="D47" s="59">
        <v>4.0999999999999996</v>
      </c>
      <c r="E47" s="62">
        <v>136.48028394122719</v>
      </c>
      <c r="F47" s="61">
        <v>30</v>
      </c>
      <c r="G47" s="61">
        <v>1</v>
      </c>
      <c r="H47" s="45">
        <v>1104</v>
      </c>
      <c r="I47" s="61">
        <v>319.68</v>
      </c>
      <c r="J47" s="10">
        <f t="shared" si="0"/>
        <v>76970399.804047137</v>
      </c>
      <c r="K47" s="10"/>
      <c r="L47" s="14"/>
    </row>
    <row r="48" spans="1:12" x14ac:dyDescent="0.25">
      <c r="A48" s="3">
        <v>38991</v>
      </c>
      <c r="B48" s="38">
        <v>77734572.394285172</v>
      </c>
      <c r="C48" s="59">
        <v>304.10000000000002</v>
      </c>
      <c r="D48" s="59">
        <v>0</v>
      </c>
      <c r="E48" s="62">
        <v>136.76141098020776</v>
      </c>
      <c r="F48" s="61">
        <v>31</v>
      </c>
      <c r="G48" s="61">
        <v>1</v>
      </c>
      <c r="H48" s="45">
        <v>1111</v>
      </c>
      <c r="I48" s="61">
        <v>336.28800000000001</v>
      </c>
      <c r="J48" s="10">
        <f t="shared" si="0"/>
        <v>78693367.317079142</v>
      </c>
      <c r="K48" s="10"/>
      <c r="L48" s="14"/>
    </row>
    <row r="49" spans="1:12" x14ac:dyDescent="0.25">
      <c r="A49" s="3">
        <v>39022</v>
      </c>
      <c r="B49" s="38">
        <v>72261566.957522303</v>
      </c>
      <c r="C49" s="59">
        <v>393.1</v>
      </c>
      <c r="D49" s="59">
        <v>0</v>
      </c>
      <c r="E49" s="62">
        <v>137.04311709485967</v>
      </c>
      <c r="F49" s="61">
        <v>30</v>
      </c>
      <c r="G49" s="61">
        <v>1</v>
      </c>
      <c r="H49" s="45">
        <v>961</v>
      </c>
      <c r="I49" s="61">
        <v>352.08</v>
      </c>
      <c r="J49" s="10">
        <f t="shared" si="0"/>
        <v>75561115.026353776</v>
      </c>
      <c r="K49" s="10"/>
      <c r="L49" s="14"/>
    </row>
    <row r="50" spans="1:12" x14ac:dyDescent="0.25">
      <c r="A50" s="3">
        <v>39052</v>
      </c>
      <c r="B50" s="38">
        <v>75158394.678300902</v>
      </c>
      <c r="C50" s="59">
        <v>508.1</v>
      </c>
      <c r="D50" s="59">
        <v>0</v>
      </c>
      <c r="E50" s="62">
        <v>137.32540347798411</v>
      </c>
      <c r="F50" s="61">
        <v>31</v>
      </c>
      <c r="G50" s="61">
        <v>0</v>
      </c>
      <c r="H50" s="45">
        <v>974</v>
      </c>
      <c r="I50" s="61">
        <v>304.29599999999999</v>
      </c>
      <c r="J50" s="10">
        <f t="shared" si="0"/>
        <v>76475765.033413932</v>
      </c>
      <c r="K50" s="10"/>
      <c r="L50" s="14"/>
    </row>
    <row r="51" spans="1:12" x14ac:dyDescent="0.25">
      <c r="A51" s="3">
        <v>39083</v>
      </c>
      <c r="B51" s="38">
        <v>81970978.540607914</v>
      </c>
      <c r="C51" s="59">
        <v>665.6</v>
      </c>
      <c r="D51" s="59">
        <v>0</v>
      </c>
      <c r="E51" s="62">
        <v>137.58587596073079</v>
      </c>
      <c r="F51" s="61">
        <v>31</v>
      </c>
      <c r="G51" s="61">
        <v>0</v>
      </c>
      <c r="H51" s="45">
        <v>980</v>
      </c>
      <c r="I51" s="61">
        <v>351.91199999999998</v>
      </c>
      <c r="J51" s="10">
        <f t="shared" si="0"/>
        <v>78439040.788028792</v>
      </c>
      <c r="K51" s="10"/>
      <c r="L51" s="14"/>
    </row>
    <row r="52" spans="1:12" x14ac:dyDescent="0.25">
      <c r="A52" s="3">
        <v>39114</v>
      </c>
      <c r="B52" s="38">
        <v>78614761.16597949</v>
      </c>
      <c r="C52" s="59">
        <v>761.8</v>
      </c>
      <c r="D52" s="59">
        <v>0</v>
      </c>
      <c r="E52" s="62">
        <v>137.84684249565245</v>
      </c>
      <c r="F52" s="61">
        <v>28</v>
      </c>
      <c r="G52" s="61">
        <v>0</v>
      </c>
      <c r="H52" s="45">
        <v>981</v>
      </c>
      <c r="I52" s="61">
        <v>319.87200000000001</v>
      </c>
      <c r="J52" s="10">
        <f t="shared" si="0"/>
        <v>76185469.829791099</v>
      </c>
      <c r="K52" s="10"/>
      <c r="L52" s="14"/>
    </row>
    <row r="53" spans="1:12" x14ac:dyDescent="0.25">
      <c r="A53" s="3">
        <v>39142</v>
      </c>
      <c r="B53" s="38">
        <v>81615210.211909115</v>
      </c>
      <c r="C53" s="59">
        <v>565.20000000000005</v>
      </c>
      <c r="D53" s="59">
        <v>0</v>
      </c>
      <c r="E53" s="62">
        <v>138.10830401984444</v>
      </c>
      <c r="F53" s="61">
        <v>31</v>
      </c>
      <c r="G53" s="61">
        <v>1</v>
      </c>
      <c r="H53" s="45">
        <v>982</v>
      </c>
      <c r="I53" s="61">
        <v>351.91199999999998</v>
      </c>
      <c r="J53" s="10">
        <f t="shared" si="0"/>
        <v>77299835.816907436</v>
      </c>
      <c r="K53" s="10"/>
      <c r="L53" s="14"/>
    </row>
    <row r="54" spans="1:12" x14ac:dyDescent="0.25">
      <c r="A54" s="3">
        <v>39173</v>
      </c>
      <c r="B54" s="38">
        <v>76941902.694409832</v>
      </c>
      <c r="C54" s="59">
        <v>374.2</v>
      </c>
      <c r="D54" s="59">
        <v>0</v>
      </c>
      <c r="E54" s="62">
        <v>138.37026147217955</v>
      </c>
      <c r="F54" s="61">
        <v>30</v>
      </c>
      <c r="G54" s="61">
        <v>1</v>
      </c>
      <c r="H54" s="45">
        <v>985</v>
      </c>
      <c r="I54" s="61">
        <v>319.68</v>
      </c>
      <c r="J54" s="10">
        <f t="shared" si="0"/>
        <v>75060748.046207309</v>
      </c>
      <c r="K54" s="10"/>
      <c r="L54" s="14"/>
    </row>
    <row r="55" spans="1:12" x14ac:dyDescent="0.25">
      <c r="A55" s="3">
        <v>39203</v>
      </c>
      <c r="B55" s="38">
        <v>78855847.84734875</v>
      </c>
      <c r="C55" s="59">
        <v>138.4</v>
      </c>
      <c r="D55" s="59">
        <v>23.3</v>
      </c>
      <c r="E55" s="62">
        <v>138.63271579331135</v>
      </c>
      <c r="F55" s="61">
        <v>31</v>
      </c>
      <c r="G55" s="61">
        <v>1</v>
      </c>
      <c r="H55" s="45">
        <v>986</v>
      </c>
      <c r="I55" s="61">
        <v>351.91199999999998</v>
      </c>
      <c r="J55" s="10">
        <f t="shared" si="0"/>
        <v>77270000.052323237</v>
      </c>
      <c r="K55" s="10"/>
      <c r="L55" s="14"/>
    </row>
    <row r="56" spans="1:12" x14ac:dyDescent="0.25">
      <c r="A56" s="3">
        <v>39234</v>
      </c>
      <c r="B56" s="38">
        <v>85177647.655575797</v>
      </c>
      <c r="C56" s="59">
        <v>19.2</v>
      </c>
      <c r="D56" s="59">
        <v>74.2</v>
      </c>
      <c r="E56" s="62">
        <v>138.89566792567766</v>
      </c>
      <c r="F56" s="61">
        <v>30</v>
      </c>
      <c r="G56" s="61">
        <v>0</v>
      </c>
      <c r="H56" s="45">
        <v>992</v>
      </c>
      <c r="I56" s="61">
        <v>336.24</v>
      </c>
      <c r="J56" s="10">
        <f t="shared" si="0"/>
        <v>80561359.153704837</v>
      </c>
      <c r="K56" s="10"/>
      <c r="L56" s="14"/>
    </row>
    <row r="57" spans="1:12" x14ac:dyDescent="0.25">
      <c r="A57" s="3">
        <v>39264</v>
      </c>
      <c r="B57" s="38">
        <v>83848447.924057931</v>
      </c>
      <c r="C57" s="59">
        <v>9.1999999999999993</v>
      </c>
      <c r="D57" s="59">
        <v>82</v>
      </c>
      <c r="E57" s="62">
        <v>139.1591188135038</v>
      </c>
      <c r="F57" s="61">
        <v>31</v>
      </c>
      <c r="G57" s="61">
        <v>0</v>
      </c>
      <c r="H57" s="45">
        <v>995</v>
      </c>
      <c r="I57" s="61">
        <v>336.28800000000001</v>
      </c>
      <c r="J57" s="10">
        <f t="shared" si="0"/>
        <v>81810318.843648359</v>
      </c>
      <c r="K57" s="10"/>
      <c r="L57" s="14"/>
    </row>
    <row r="58" spans="1:12" x14ac:dyDescent="0.25">
      <c r="A58" s="3">
        <v>39295</v>
      </c>
      <c r="B58" s="38">
        <v>87075178.099530175</v>
      </c>
      <c r="C58" s="59">
        <v>8.4</v>
      </c>
      <c r="D58" s="59">
        <v>106</v>
      </c>
      <c r="E58" s="62">
        <v>139.42306940280611</v>
      </c>
      <c r="F58" s="61">
        <v>31</v>
      </c>
      <c r="G58" s="61">
        <v>0</v>
      </c>
      <c r="H58" s="45">
        <v>996</v>
      </c>
      <c r="I58" s="61">
        <v>351.91199999999998</v>
      </c>
      <c r="J58" s="10">
        <f t="shared" si="0"/>
        <v>84096012.58451359</v>
      </c>
      <c r="K58" s="10"/>
      <c r="L58" s="14"/>
    </row>
    <row r="59" spans="1:12" x14ac:dyDescent="0.25">
      <c r="A59" s="3">
        <v>39326</v>
      </c>
      <c r="B59" s="38">
        <v>79161236.810816005</v>
      </c>
      <c r="C59" s="59">
        <v>55.2</v>
      </c>
      <c r="D59" s="59">
        <v>37.200000000000003</v>
      </c>
      <c r="E59" s="62">
        <v>139.68752064139528</v>
      </c>
      <c r="F59" s="61">
        <v>30</v>
      </c>
      <c r="G59" s="61">
        <v>1</v>
      </c>
      <c r="H59" s="45">
        <v>997</v>
      </c>
      <c r="I59" s="61">
        <v>303.83999999999997</v>
      </c>
      <c r="J59" s="10">
        <f t="shared" si="0"/>
        <v>76326924.219193101</v>
      </c>
      <c r="K59" s="10"/>
      <c r="L59" s="14"/>
    </row>
    <row r="60" spans="1:12" x14ac:dyDescent="0.25">
      <c r="A60" s="3">
        <v>39356</v>
      </c>
      <c r="B60" s="38">
        <v>79313297.535717711</v>
      </c>
      <c r="C60" s="59">
        <v>157.80000000000001</v>
      </c>
      <c r="D60" s="59">
        <v>13</v>
      </c>
      <c r="E60" s="62">
        <v>139.95247347887977</v>
      </c>
      <c r="F60" s="61">
        <v>31</v>
      </c>
      <c r="G60" s="61">
        <v>1</v>
      </c>
      <c r="H60" s="45">
        <v>996</v>
      </c>
      <c r="I60" s="61">
        <v>351.91199999999998</v>
      </c>
      <c r="J60" s="10">
        <f t="shared" si="0"/>
        <v>76601366.07008405</v>
      </c>
      <c r="K60" s="10"/>
      <c r="L60" s="14"/>
    </row>
    <row r="61" spans="1:12" x14ac:dyDescent="0.25">
      <c r="A61" s="3">
        <v>39387</v>
      </c>
      <c r="B61" s="38">
        <v>71740385.943043441</v>
      </c>
      <c r="C61" s="59">
        <v>467.5</v>
      </c>
      <c r="D61" s="59">
        <v>0</v>
      </c>
      <c r="E61" s="62">
        <v>140.21792886666915</v>
      </c>
      <c r="F61" s="61">
        <v>30</v>
      </c>
      <c r="G61" s="61">
        <v>1</v>
      </c>
      <c r="H61" s="45">
        <v>1006</v>
      </c>
      <c r="I61" s="61">
        <v>352.08</v>
      </c>
      <c r="J61" s="10">
        <f t="shared" si="0"/>
        <v>76512041.819896489</v>
      </c>
      <c r="K61" s="10"/>
      <c r="L61" s="14"/>
    </row>
    <row r="62" spans="1:12" x14ac:dyDescent="0.25">
      <c r="A62" s="3">
        <v>39417</v>
      </c>
      <c r="B62" s="38">
        <v>77329975.280467927</v>
      </c>
      <c r="C62" s="59">
        <v>641</v>
      </c>
      <c r="D62" s="59">
        <v>0</v>
      </c>
      <c r="E62" s="62">
        <v>140.48388775797773</v>
      </c>
      <c r="F62" s="61">
        <v>31</v>
      </c>
      <c r="G62" s="61">
        <v>0</v>
      </c>
      <c r="H62" s="45">
        <v>1007</v>
      </c>
      <c r="I62" s="61">
        <v>304.29599999999999</v>
      </c>
      <c r="J62" s="10">
        <f t="shared" si="0"/>
        <v>77431736.177400857</v>
      </c>
      <c r="K62" s="10"/>
      <c r="L62" s="14"/>
    </row>
    <row r="63" spans="1:12" x14ac:dyDescent="0.25">
      <c r="A63" s="3">
        <v>39448</v>
      </c>
      <c r="B63" s="45">
        <v>81241462.028957725</v>
      </c>
      <c r="C63" s="59">
        <v>632.70000000000005</v>
      </c>
      <c r="D63" s="59">
        <v>0</v>
      </c>
      <c r="E63" s="62">
        <v>140.42521823206457</v>
      </c>
      <c r="F63" s="61">
        <v>31</v>
      </c>
      <c r="G63" s="61">
        <v>0</v>
      </c>
      <c r="H63" s="45">
        <v>1012</v>
      </c>
      <c r="I63" s="61">
        <v>352</v>
      </c>
      <c r="J63" s="10">
        <f t="shared" si="0"/>
        <v>78665660.640452504</v>
      </c>
    </row>
    <row r="64" spans="1:12" x14ac:dyDescent="0.25">
      <c r="A64" s="3">
        <v>39479</v>
      </c>
      <c r="B64" s="45">
        <v>77799441.336657405</v>
      </c>
      <c r="C64" s="59">
        <v>678.8</v>
      </c>
      <c r="D64" s="59">
        <v>0</v>
      </c>
      <c r="E64" s="62">
        <v>140.36657320798807</v>
      </c>
      <c r="F64" s="61">
        <v>29</v>
      </c>
      <c r="G64" s="61">
        <v>0</v>
      </c>
      <c r="H64" s="45">
        <v>1011</v>
      </c>
      <c r="I64" s="61">
        <v>320</v>
      </c>
      <c r="J64" s="10">
        <f t="shared" si="0"/>
        <v>76814420.406970829</v>
      </c>
    </row>
    <row r="65" spans="1:33" x14ac:dyDescent="0.25">
      <c r="A65" s="3">
        <v>39508</v>
      </c>
      <c r="B65" s="45">
        <v>78670887.32380861</v>
      </c>
      <c r="C65" s="59">
        <v>621.79999999999995</v>
      </c>
      <c r="D65" s="59">
        <v>0</v>
      </c>
      <c r="E65" s="62">
        <v>140.30795267551565</v>
      </c>
      <c r="F65" s="61">
        <v>31</v>
      </c>
      <c r="G65" s="61">
        <v>1</v>
      </c>
      <c r="H65" s="45">
        <v>1012</v>
      </c>
      <c r="I65" s="61">
        <v>304</v>
      </c>
      <c r="J65" s="10">
        <f t="shared" si="0"/>
        <v>76794532.75798355</v>
      </c>
    </row>
    <row r="66" spans="1:33" x14ac:dyDescent="0.25">
      <c r="A66" s="3">
        <v>39539</v>
      </c>
      <c r="B66" s="45">
        <v>74410559.631795958</v>
      </c>
      <c r="C66" s="59">
        <v>290.60000000000002</v>
      </c>
      <c r="D66" s="59">
        <v>0</v>
      </c>
      <c r="E66" s="62">
        <v>140.24935662441902</v>
      </c>
      <c r="F66" s="61">
        <v>30</v>
      </c>
      <c r="G66" s="61">
        <v>1</v>
      </c>
      <c r="H66" s="45">
        <v>1013</v>
      </c>
      <c r="I66" s="61">
        <v>352</v>
      </c>
      <c r="J66" s="10">
        <f t="shared" si="0"/>
        <v>75862392.939134687</v>
      </c>
    </row>
    <row r="67" spans="1:33" x14ac:dyDescent="0.25">
      <c r="A67" s="3">
        <v>39569</v>
      </c>
      <c r="B67" s="45">
        <v>74549248.1445968</v>
      </c>
      <c r="C67" s="59">
        <v>214.1</v>
      </c>
      <c r="D67" s="59">
        <v>0.3</v>
      </c>
      <c r="E67" s="62">
        <v>140.19078504447415</v>
      </c>
      <c r="F67" s="61">
        <v>31</v>
      </c>
      <c r="G67" s="61">
        <v>1</v>
      </c>
      <c r="H67" s="45">
        <v>1013</v>
      </c>
      <c r="I67" s="61">
        <v>336</v>
      </c>
      <c r="J67" s="10">
        <f t="shared" ref="J67:J122" si="1">$N$18+C67*$N$19+D67*$N$20+E67*$N$21+F67*$N$22+G67*$N$23+H67*$N$24+I67*$N$25</f>
        <v>75794983.087207347</v>
      </c>
    </row>
    <row r="68" spans="1:33" x14ac:dyDescent="0.25">
      <c r="A68" s="3">
        <v>39600</v>
      </c>
      <c r="B68" s="45">
        <v>79221333.579441935</v>
      </c>
      <c r="C68" s="59">
        <v>34.200000000000003</v>
      </c>
      <c r="D68" s="59">
        <v>55</v>
      </c>
      <c r="E68" s="62">
        <v>140.13223792546131</v>
      </c>
      <c r="F68" s="61">
        <v>30</v>
      </c>
      <c r="G68" s="61">
        <v>0</v>
      </c>
      <c r="H68" s="45">
        <v>1012</v>
      </c>
      <c r="I68" s="61">
        <v>336</v>
      </c>
      <c r="J68" s="10">
        <f t="shared" si="1"/>
        <v>79381623.907703757</v>
      </c>
    </row>
    <row r="69" spans="1:33" x14ac:dyDescent="0.25">
      <c r="A69" s="3">
        <v>39630</v>
      </c>
      <c r="B69" s="45">
        <v>84482828.238565534</v>
      </c>
      <c r="C69" s="59">
        <v>3.7</v>
      </c>
      <c r="D69" s="59">
        <v>87.7</v>
      </c>
      <c r="E69" s="62">
        <v>140.07371525716499</v>
      </c>
      <c r="F69" s="61">
        <v>31</v>
      </c>
      <c r="G69" s="61">
        <v>0</v>
      </c>
      <c r="H69" s="45">
        <v>1017</v>
      </c>
      <c r="I69" s="61">
        <v>352</v>
      </c>
      <c r="J69" s="10">
        <f t="shared" si="1"/>
        <v>82995413.597756356</v>
      </c>
    </row>
    <row r="70" spans="1:33" x14ac:dyDescent="0.25">
      <c r="A70" s="3">
        <v>39661</v>
      </c>
      <c r="B70" s="45">
        <v>80071649.563716561</v>
      </c>
      <c r="C70" s="59">
        <v>20.2</v>
      </c>
      <c r="D70" s="59">
        <v>45.2</v>
      </c>
      <c r="E70" s="62">
        <v>140.01521702937399</v>
      </c>
      <c r="F70" s="61">
        <v>31</v>
      </c>
      <c r="G70" s="61">
        <v>0</v>
      </c>
      <c r="H70" s="45">
        <v>1018</v>
      </c>
      <c r="I70" s="61">
        <v>320</v>
      </c>
      <c r="J70" s="10">
        <f t="shared" si="1"/>
        <v>78924500.908295646</v>
      </c>
    </row>
    <row r="71" spans="1:33" x14ac:dyDescent="0.25">
      <c r="A71" s="3">
        <v>39692</v>
      </c>
      <c r="B71" s="45">
        <v>76620766.602742374</v>
      </c>
      <c r="C71" s="59">
        <v>70.400000000000006</v>
      </c>
      <c r="D71" s="59">
        <v>20.3</v>
      </c>
      <c r="E71" s="62">
        <v>139.95674323188132</v>
      </c>
      <c r="F71" s="61">
        <v>30</v>
      </c>
      <c r="G71" s="61">
        <v>1</v>
      </c>
      <c r="H71" s="45">
        <v>1020</v>
      </c>
      <c r="I71" s="61">
        <v>336</v>
      </c>
      <c r="J71" s="10">
        <f t="shared" si="1"/>
        <v>76291596.741927117</v>
      </c>
    </row>
    <row r="72" spans="1:33" x14ac:dyDescent="0.25">
      <c r="A72" s="3">
        <v>39722</v>
      </c>
      <c r="B72" s="45">
        <v>74151729.427557781</v>
      </c>
      <c r="C72" s="59">
        <v>297.5</v>
      </c>
      <c r="D72" s="59">
        <v>0</v>
      </c>
      <c r="E72" s="62">
        <v>139.89829385448431</v>
      </c>
      <c r="F72" s="61">
        <v>31</v>
      </c>
      <c r="G72" s="61">
        <v>1</v>
      </c>
      <c r="H72" s="45">
        <v>1027</v>
      </c>
      <c r="I72" s="61">
        <v>352</v>
      </c>
      <c r="J72" s="10">
        <f t="shared" si="1"/>
        <v>76870356.583536386</v>
      </c>
    </row>
    <row r="73" spans="1:33" x14ac:dyDescent="0.25">
      <c r="A73" s="3">
        <v>39753</v>
      </c>
      <c r="B73" s="45">
        <v>71216502.291686654</v>
      </c>
      <c r="C73" s="59">
        <v>460.6</v>
      </c>
      <c r="D73" s="59">
        <v>0</v>
      </c>
      <c r="E73" s="62">
        <v>139.83986888698453</v>
      </c>
      <c r="F73" s="61">
        <v>30</v>
      </c>
      <c r="G73" s="61">
        <v>1</v>
      </c>
      <c r="H73" s="45">
        <v>1030</v>
      </c>
      <c r="I73" s="61">
        <v>304</v>
      </c>
      <c r="J73" s="10">
        <f t="shared" si="1"/>
        <v>75878223.482632309</v>
      </c>
    </row>
    <row r="74" spans="1:33" x14ac:dyDescent="0.25">
      <c r="A74" s="3">
        <v>39783</v>
      </c>
      <c r="B74" s="45">
        <v>75091590.008629784</v>
      </c>
      <c r="C74" s="59">
        <v>655.29999999999995</v>
      </c>
      <c r="D74" s="59">
        <v>0</v>
      </c>
      <c r="E74" s="62">
        <v>139.78146831918784</v>
      </c>
      <c r="F74" s="61">
        <v>31</v>
      </c>
      <c r="G74" s="61">
        <v>0</v>
      </c>
      <c r="H74" s="45">
        <v>1035</v>
      </c>
      <c r="I74" s="61">
        <v>336</v>
      </c>
      <c r="J74" s="10">
        <f t="shared" si="1"/>
        <v>78950501.562941089</v>
      </c>
    </row>
    <row r="75" spans="1:33" s="15" customFormat="1" x14ac:dyDescent="0.25">
      <c r="A75" s="3">
        <v>39814</v>
      </c>
      <c r="B75" s="45">
        <v>81241462.028957725</v>
      </c>
      <c r="C75" s="59">
        <v>712.8153846153848</v>
      </c>
      <c r="D75" s="59">
        <v>0</v>
      </c>
      <c r="E75" s="62">
        <v>139.37911160687111</v>
      </c>
      <c r="F75" s="61">
        <v>31</v>
      </c>
      <c r="G75" s="61">
        <v>0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77799441.336657405</v>
      </c>
      <c r="C76" s="59">
        <v>627.4</v>
      </c>
      <c r="D76" s="59">
        <v>0</v>
      </c>
      <c r="E76" s="62">
        <v>138.97791306613385</v>
      </c>
      <c r="F76" s="61">
        <v>28</v>
      </c>
      <c r="G76" s="61">
        <v>0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78670887.32380861</v>
      </c>
      <c r="C77" s="59">
        <v>566.50769230769231</v>
      </c>
      <c r="D77" s="59">
        <v>0</v>
      </c>
      <c r="E77" s="62">
        <v>138.57786936321438</v>
      </c>
      <c r="F77" s="61">
        <v>31</v>
      </c>
      <c r="G77" s="61">
        <v>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74410559.631795958</v>
      </c>
      <c r="C78" s="59">
        <v>341.76153846153852</v>
      </c>
      <c r="D78" s="59">
        <v>0.61538461538461542</v>
      </c>
      <c r="E78" s="62">
        <v>138.17897717394706</v>
      </c>
      <c r="F78" s="61">
        <v>30</v>
      </c>
      <c r="G78" s="61">
        <v>1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74549248.1445968</v>
      </c>
      <c r="C79" s="59">
        <v>178.33076923076925</v>
      </c>
      <c r="D79" s="59">
        <v>11.461538461538463</v>
      </c>
      <c r="E79" s="62">
        <v>137.78123318373483</v>
      </c>
      <c r="F79" s="61">
        <v>31</v>
      </c>
      <c r="G79" s="61">
        <v>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79221333.579441935</v>
      </c>
      <c r="C80" s="59">
        <v>38</v>
      </c>
      <c r="D80" s="59">
        <v>61.2</v>
      </c>
      <c r="E80" s="62">
        <v>137.38463408752156</v>
      </c>
      <c r="F80" s="61">
        <v>30</v>
      </c>
      <c r="G80" s="61">
        <v>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84482828.238565534</v>
      </c>
      <c r="C81" s="59">
        <v>6.9153846153846157</v>
      </c>
      <c r="D81" s="59">
        <v>96.953846153846143</v>
      </c>
      <c r="E81" s="62">
        <v>136.98917658976464</v>
      </c>
      <c r="F81" s="61">
        <v>31</v>
      </c>
      <c r="G81" s="61">
        <v>0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80071649.563716561</v>
      </c>
      <c r="C82" s="59">
        <v>10.86923076923077</v>
      </c>
      <c r="D82" s="59">
        <v>76.623076923076937</v>
      </c>
      <c r="E82" s="62">
        <v>136.59485740440758</v>
      </c>
      <c r="F82" s="61">
        <v>31</v>
      </c>
      <c r="G82" s="61">
        <v>0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76620766.602742374</v>
      </c>
      <c r="C83" s="59">
        <v>70.815384615384602</v>
      </c>
      <c r="D83" s="59">
        <v>27.34615384615385</v>
      </c>
      <c r="E83" s="62">
        <v>136.20167325485272</v>
      </c>
      <c r="F83" s="61">
        <v>30</v>
      </c>
      <c r="G83" s="61">
        <v>1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74151729.427557781</v>
      </c>
      <c r="C84" s="59">
        <v>259.90769230769229</v>
      </c>
      <c r="D84" s="59">
        <v>2.5846153846153848</v>
      </c>
      <c r="E84" s="62">
        <v>135.80962087393394</v>
      </c>
      <c r="F84" s="61">
        <v>31</v>
      </c>
      <c r="G84" s="61">
        <v>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71216502.291686654</v>
      </c>
      <c r="C85" s="59">
        <v>424.6153846153847</v>
      </c>
      <c r="D85" s="59">
        <v>0</v>
      </c>
      <c r="E85" s="62">
        <v>135.41869700388958</v>
      </c>
      <c r="F85" s="61">
        <v>30</v>
      </c>
      <c r="G85" s="61">
        <v>1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75091590.008629784</v>
      </c>
      <c r="C86" s="59">
        <v>614.35384615384623</v>
      </c>
      <c r="D86" s="59">
        <v>0</v>
      </c>
      <c r="E86" s="62">
        <v>135.02889839633545</v>
      </c>
      <c r="F86" s="61">
        <v>31</v>
      </c>
      <c r="G86" s="61">
        <v>0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77932126.179520398</v>
      </c>
      <c r="C87" s="59">
        <v>719.94353846153865</v>
      </c>
      <c r="D87" s="59">
        <v>0</v>
      </c>
      <c r="E87" s="62">
        <v>135.32901731143812</v>
      </c>
      <c r="F87" s="61">
        <v>31</v>
      </c>
      <c r="G87" s="61">
        <v>0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77905016.959558696</v>
      </c>
      <c r="C88" s="59">
        <v>633.67399999999998</v>
      </c>
      <c r="D88" s="59">
        <v>0</v>
      </c>
      <c r="E88" s="62">
        <v>135.62980327903304</v>
      </c>
      <c r="F88" s="61">
        <v>28</v>
      </c>
      <c r="G88" s="61">
        <v>0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77877907.739596903</v>
      </c>
      <c r="C89" s="59">
        <v>572.17276923076929</v>
      </c>
      <c r="D89" s="59">
        <v>0</v>
      </c>
      <c r="E89" s="62">
        <v>135.9312577817293</v>
      </c>
      <c r="F89" s="61">
        <v>31</v>
      </c>
      <c r="G89" s="61">
        <v>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77850798.519635096</v>
      </c>
      <c r="C90" s="59">
        <v>345.17915384615389</v>
      </c>
      <c r="D90" s="59">
        <v>0.6215384615384616</v>
      </c>
      <c r="E90" s="62">
        <v>136.23338230543126</v>
      </c>
      <c r="F90" s="61">
        <v>30</v>
      </c>
      <c r="G90" s="61">
        <v>1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77823689.299673393</v>
      </c>
      <c r="C91" s="59">
        <v>180.11407692307694</v>
      </c>
      <c r="D91" s="59">
        <v>11.576153846153849</v>
      </c>
      <c r="E91" s="62">
        <v>136.53617833934589</v>
      </c>
      <c r="F91" s="61">
        <v>31</v>
      </c>
      <c r="G91" s="61">
        <v>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77796580.079711601</v>
      </c>
      <c r="C92" s="59">
        <v>38.380000000000003</v>
      </c>
      <c r="D92" s="59">
        <v>61.812000000000005</v>
      </c>
      <c r="E92" s="62">
        <v>136.83964737599013</v>
      </c>
      <c r="F92" s="61">
        <v>30</v>
      </c>
      <c r="G92" s="61">
        <v>0</v>
      </c>
      <c r="H92" s="45">
        <f>'Rate Class Customer Model'!D3</f>
        <v>167.99999999999994</v>
      </c>
      <c r="I92" s="61">
        <v>352</v>
      </c>
      <c r="J92" s="10">
        <f t="shared" si="1"/>
        <v>62420240.434560172</v>
      </c>
      <c r="K92" s="46"/>
    </row>
    <row r="93" spans="1:33" x14ac:dyDescent="0.25">
      <c r="A93" s="3">
        <v>40360</v>
      </c>
      <c r="B93" s="44">
        <v>77769470.859749794</v>
      </c>
      <c r="C93" s="59">
        <v>6.9845384615384623</v>
      </c>
      <c r="D93" s="59">
        <v>97.923384615384606</v>
      </c>
      <c r="E93" s="62">
        <v>137.14379091119821</v>
      </c>
      <c r="F93" s="61">
        <v>31</v>
      </c>
      <c r="G93" s="61">
        <v>0</v>
      </c>
      <c r="H93" s="45" t="e">
        <f t="shared" ref="H93:H109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77742361.639788106</v>
      </c>
      <c r="C94" s="59">
        <v>10.977923076923078</v>
      </c>
      <c r="D94" s="59">
        <v>77.38930769230771</v>
      </c>
      <c r="E94" s="62">
        <v>137.44861044412903</v>
      </c>
      <c r="F94" s="61">
        <v>31</v>
      </c>
      <c r="G94" s="61">
        <v>0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77715252.419826299</v>
      </c>
      <c r="C95" s="59">
        <v>71.52353846153845</v>
      </c>
      <c r="D95" s="59">
        <v>27.61961538461539</v>
      </c>
      <c r="E95" s="62">
        <v>137.75410747727361</v>
      </c>
      <c r="F95" s="61">
        <v>30</v>
      </c>
      <c r="G95" s="61">
        <v>1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77688143.199864596</v>
      </c>
      <c r="C96" s="59">
        <v>262.50676923076924</v>
      </c>
      <c r="D96" s="59">
        <v>2.6104615384615388</v>
      </c>
      <c r="E96" s="62">
        <v>138.06028351646239</v>
      </c>
      <c r="F96" s="61">
        <v>31</v>
      </c>
      <c r="G96" s="61">
        <v>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77661033.979902804</v>
      </c>
      <c r="C97" s="59">
        <v>428.86153846153854</v>
      </c>
      <c r="D97" s="59">
        <v>0</v>
      </c>
      <c r="E97" s="62">
        <v>138.36714007087275</v>
      </c>
      <c r="F97" s="61">
        <v>30</v>
      </c>
      <c r="G97" s="61">
        <v>1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77633924.759940997</v>
      </c>
      <c r="C98" s="59">
        <v>620.4973846153847</v>
      </c>
      <c r="D98" s="59">
        <v>0</v>
      </c>
      <c r="E98" s="62">
        <v>138.67467865303649</v>
      </c>
      <c r="F98" s="61">
        <v>31</v>
      </c>
      <c r="G98" s="61">
        <v>0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2">
        <v>139.03916243618784</v>
      </c>
      <c r="F99" s="61">
        <v>31</v>
      </c>
      <c r="G99" s="61">
        <v>0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2">
        <v>139.40460420553731</v>
      </c>
      <c r="F100" s="61">
        <v>28</v>
      </c>
      <c r="G100" s="61">
        <v>0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2">
        <v>139.77100647899545</v>
      </c>
      <c r="F101" s="61">
        <v>31</v>
      </c>
      <c r="G101" s="61">
        <v>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2">
        <v>140.13837178109071</v>
      </c>
      <c r="F102" s="61">
        <v>30</v>
      </c>
      <c r="G102" s="61">
        <v>1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2">
        <v>140.50670264298682</v>
      </c>
      <c r="F103" s="61">
        <v>31</v>
      </c>
      <c r="G103" s="61">
        <v>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2">
        <v>140.87600160250034</v>
      </c>
      <c r="F104" s="61">
        <v>30</v>
      </c>
      <c r="G104" s="61">
        <v>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2">
        <v>141.24627120411799</v>
      </c>
      <c r="F105" s="61">
        <v>31</v>
      </c>
      <c r="G105" s="61">
        <v>0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2">
        <v>141.61751399901428</v>
      </c>
      <c r="F106" s="61">
        <v>31</v>
      </c>
      <c r="G106" s="61">
        <v>0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2">
        <v>141.98973254506907</v>
      </c>
      <c r="F107" s="61">
        <v>30</v>
      </c>
      <c r="G107" s="61">
        <v>1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2">
        <v>142.3629294068852</v>
      </c>
      <c r="F108" s="61">
        <v>31</v>
      </c>
      <c r="G108" s="61">
        <v>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2">
        <v>142.73710715580614</v>
      </c>
      <c r="F109" s="61">
        <v>30</v>
      </c>
      <c r="G109" s="61">
        <v>1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2">
        <v>143.11226836993367</v>
      </c>
      <c r="F110" s="61">
        <v>31</v>
      </c>
      <c r="G110" s="61">
        <v>0</v>
      </c>
      <c r="H110" s="45">
        <v>1040.5273865414699</v>
      </c>
      <c r="I110" s="61">
        <v>336</v>
      </c>
      <c r="J110" s="10">
        <f t="shared" si="1"/>
        <v>78521527.550281093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2">
        <v>143.48841563414587</v>
      </c>
      <c r="F111" s="61">
        <v>31</v>
      </c>
      <c r="G111" s="61">
        <v>0</v>
      </c>
      <c r="H111" s="45">
        <v>1041.02433168264</v>
      </c>
      <c r="I111" s="61">
        <v>336</v>
      </c>
      <c r="J111" s="10">
        <f t="shared" si="1"/>
        <v>78942142.02906926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2">
        <v>143.86555154011452</v>
      </c>
      <c r="F112" s="61">
        <v>29</v>
      </c>
      <c r="G112" s="61">
        <v>0</v>
      </c>
      <c r="H112" s="45">
        <v>1041.5212768238</v>
      </c>
      <c r="I112" s="61">
        <v>320</v>
      </c>
      <c r="J112" s="10">
        <f t="shared" si="1"/>
        <v>77003134.969250858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2">
        <v>144.24367868632334</v>
      </c>
      <c r="F113" s="61">
        <v>31</v>
      </c>
      <c r="G113" s="61">
        <v>1</v>
      </c>
      <c r="H113" s="45">
        <v>1042.0182219649701</v>
      </c>
      <c r="I113" s="61">
        <v>352</v>
      </c>
      <c r="J113" s="10">
        <f t="shared" si="1"/>
        <v>77958628.322377473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2">
        <v>144.62279967808564</v>
      </c>
      <c r="F114" s="61">
        <v>30</v>
      </c>
      <c r="G114" s="61">
        <v>1</v>
      </c>
      <c r="H114" s="45">
        <v>1042.5151671061401</v>
      </c>
      <c r="I114" s="61">
        <v>320</v>
      </c>
      <c r="J114" s="10">
        <f t="shared" si="1"/>
        <v>75467657.667465597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2">
        <v>145.00291712756245</v>
      </c>
      <c r="F115" s="61">
        <v>31</v>
      </c>
      <c r="G115" s="61">
        <v>1</v>
      </c>
      <c r="H115" s="45">
        <v>1043.0121122472999</v>
      </c>
      <c r="I115" s="61">
        <v>352</v>
      </c>
      <c r="J115" s="10">
        <f t="shared" si="1"/>
        <v>76954520.089441061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2">
        <v>145.38403365378039</v>
      </c>
      <c r="F116" s="61">
        <v>30</v>
      </c>
      <c r="G116" s="61">
        <v>0</v>
      </c>
      <c r="H116" s="45">
        <v>1043.50905738847</v>
      </c>
      <c r="I116" s="61">
        <v>336</v>
      </c>
      <c r="J116" s="10">
        <f t="shared" si="1"/>
        <v>79932711.506958649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2">
        <v>145.76615188264978</v>
      </c>
      <c r="F117" s="61">
        <v>31</v>
      </c>
      <c r="G117" s="61">
        <v>0</v>
      </c>
      <c r="H117" s="45">
        <v>1044.00600252964</v>
      </c>
      <c r="I117" s="61">
        <v>336</v>
      </c>
      <c r="J117" s="10">
        <f t="shared" si="1"/>
        <v>83549782.723687991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2">
        <v>146.14927444698273</v>
      </c>
      <c r="F118" s="61">
        <v>31</v>
      </c>
      <c r="G118" s="61">
        <v>0</v>
      </c>
      <c r="H118" s="45">
        <v>1044.5029476708</v>
      </c>
      <c r="I118" s="61">
        <v>352</v>
      </c>
      <c r="J118" s="10">
        <f t="shared" si="1"/>
        <v>82131414.384608418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2">
        <v>146.53340398651127</v>
      </c>
      <c r="F119" s="61">
        <v>30</v>
      </c>
      <c r="G119" s="61">
        <v>1</v>
      </c>
      <c r="H119" s="45">
        <v>1044.9998928119701</v>
      </c>
      <c r="I119" s="61">
        <v>304</v>
      </c>
      <c r="J119" s="10">
        <f t="shared" si="1"/>
        <v>75549923.700338587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2">
        <v>146.91854314790552</v>
      </c>
      <c r="F120" s="61">
        <v>31</v>
      </c>
      <c r="G120" s="61">
        <v>1</v>
      </c>
      <c r="H120" s="45">
        <v>1045.4968379531399</v>
      </c>
      <c r="I120" s="61">
        <v>352</v>
      </c>
      <c r="J120" s="10">
        <f t="shared" si="1"/>
        <v>76557523.40217039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2">
        <v>147.30469458479195</v>
      </c>
      <c r="F121" s="61">
        <v>30</v>
      </c>
      <c r="G121" s="61">
        <v>1</v>
      </c>
      <c r="H121" s="45">
        <v>1045.9937830942999</v>
      </c>
      <c r="I121" s="61">
        <v>352</v>
      </c>
      <c r="J121" s="10">
        <f t="shared" si="1"/>
        <v>76361397.471883804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2">
        <v>147.69186095777155</v>
      </c>
      <c r="F122" s="61">
        <v>31</v>
      </c>
      <c r="G122" s="61">
        <v>0</v>
      </c>
      <c r="H122" s="45">
        <v>1046.49072823547</v>
      </c>
      <c r="I122" s="61">
        <v>304</v>
      </c>
      <c r="J122" s="10">
        <f t="shared" si="1"/>
        <v>77357699.482645288</v>
      </c>
      <c r="K122" s="46"/>
    </row>
    <row r="123" spans="1:27" x14ac:dyDescent="0.25">
      <c r="A123" s="3"/>
      <c r="Y123" s="11"/>
      <c r="Z123" s="11"/>
      <c r="AA123" s="11"/>
    </row>
    <row r="124" spans="1:27" x14ac:dyDescent="0.25">
      <c r="A124" s="3"/>
      <c r="C124" s="20"/>
      <c r="D124" s="1" t="s">
        <v>15</v>
      </c>
      <c r="J124" s="46" t="e">
        <f>SUM(J3:J110)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930792138.52553058</v>
      </c>
      <c r="J126" s="6">
        <f>SUM(J3:J14)</f>
        <v>942354308.85335875</v>
      </c>
      <c r="K126" s="37">
        <f t="shared" ref="K126:K133" si="7">J126-B126</f>
        <v>11562170.327828169</v>
      </c>
      <c r="L126" s="5">
        <f t="shared" ref="L126:L133" si="8">K126/B126</f>
        <v>1.2421860745562186E-2</v>
      </c>
    </row>
    <row r="127" spans="1:27" x14ac:dyDescent="0.25">
      <c r="A127">
        <v>2004</v>
      </c>
      <c r="B127" s="6">
        <f>SUM(B15:B26)</f>
        <v>960535031.02887738</v>
      </c>
      <c r="J127" s="6">
        <f>SUM(J15:J26)</f>
        <v>945617124.60146165</v>
      </c>
      <c r="K127" s="37">
        <f t="shared" si="7"/>
        <v>-14917906.427415729</v>
      </c>
      <c r="L127" s="5">
        <f t="shared" si="8"/>
        <v>-1.5530830157684524E-2</v>
      </c>
    </row>
    <row r="128" spans="1:27" x14ac:dyDescent="0.25">
      <c r="A128" s="17">
        <v>2005</v>
      </c>
      <c r="B128" s="6">
        <f>SUM(B27:B38)</f>
        <v>981079779.93880272</v>
      </c>
      <c r="J128" s="6">
        <f>SUM(J27:J38)</f>
        <v>971522474.65665376</v>
      </c>
      <c r="K128" s="37">
        <f t="shared" si="7"/>
        <v>-9557305.2821489573</v>
      </c>
      <c r="L128" s="5">
        <f t="shared" si="8"/>
        <v>-9.7416188546308822E-3</v>
      </c>
      <c r="Y128" s="11"/>
      <c r="Z128" s="11"/>
      <c r="AA128" s="11"/>
    </row>
    <row r="129" spans="1:12" x14ac:dyDescent="0.25">
      <c r="A129">
        <v>2006</v>
      </c>
      <c r="B129" s="6">
        <f>SUM(B39:B50)</f>
        <v>953970698.78421855</v>
      </c>
      <c r="J129" s="6">
        <f>SUM(J39:J50)</f>
        <v>957371571.6830914</v>
      </c>
      <c r="K129" s="37">
        <f t="shared" si="7"/>
        <v>3400872.8988728523</v>
      </c>
      <c r="L129" s="5">
        <f t="shared" si="8"/>
        <v>3.5649657827091247E-3</v>
      </c>
    </row>
    <row r="130" spans="1:12" x14ac:dyDescent="0.25">
      <c r="A130" s="17">
        <v>2007</v>
      </c>
      <c r="B130" s="6">
        <f>SUM(B51:B62)</f>
        <v>961644869.70946431</v>
      </c>
      <c r="J130" s="6">
        <f>SUM(J51:J62)</f>
        <v>937594853.40169907</v>
      </c>
      <c r="K130" s="37">
        <f t="shared" si="7"/>
        <v>-24050016.307765245</v>
      </c>
      <c r="L130" s="5">
        <f t="shared" si="8"/>
        <v>-2.5009249324057983E-2</v>
      </c>
    </row>
    <row r="131" spans="1:12" x14ac:dyDescent="0.25">
      <c r="A131">
        <v>2008</v>
      </c>
      <c r="B131" s="6">
        <f>SUM(B63:B74)</f>
        <v>927527998.17815709</v>
      </c>
      <c r="J131" s="6">
        <f>SUM(J63:J74)</f>
        <v>933224206.6165415</v>
      </c>
      <c r="K131" s="37">
        <f t="shared" si="7"/>
        <v>5696208.4383844137</v>
      </c>
      <c r="L131" s="5">
        <f t="shared" si="8"/>
        <v>6.1412792385489813E-3</v>
      </c>
    </row>
    <row r="132" spans="1:12" x14ac:dyDescent="0.25">
      <c r="A132" s="17">
        <v>2009</v>
      </c>
      <c r="B132" s="6">
        <f>SUM(B75:B86)</f>
        <v>927527998.17815709</v>
      </c>
      <c r="J132" s="6" t="e">
        <f>SUM(J75:J86)</f>
        <v>#REF!</v>
      </c>
      <c r="K132" s="37" t="e">
        <f>J132-B132</f>
        <v>#REF!</v>
      </c>
      <c r="L132" s="5" t="e">
        <f>K132/B132</f>
        <v>#REF!</v>
      </c>
    </row>
    <row r="133" spans="1:12" x14ac:dyDescent="0.25">
      <c r="A133">
        <v>2010</v>
      </c>
      <c r="B133" s="6">
        <f>SUM(B87:B98)</f>
        <v>933396305.6367687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12" x14ac:dyDescent="0.25">
      <c r="A134" s="17">
        <v>2011</v>
      </c>
      <c r="J134" s="6" t="e">
        <f>SUM(J99:J110)</f>
        <v>#REF!</v>
      </c>
      <c r="K134" s="37"/>
      <c r="L134" s="5"/>
    </row>
    <row r="135" spans="1:12" x14ac:dyDescent="0.25">
      <c r="A135" s="17">
        <v>2012</v>
      </c>
      <c r="J135" s="6">
        <f>SUM(J111:J122)</f>
        <v>937766535.74989736</v>
      </c>
    </row>
    <row r="136" spans="1:12" x14ac:dyDescent="0.25">
      <c r="J136" s="6"/>
    </row>
    <row r="137" spans="1:12" x14ac:dyDescent="0.25">
      <c r="A137" t="s">
        <v>79</v>
      </c>
      <c r="B137" s="6">
        <f>SUM(B126:B133)</f>
        <v>7576474819.9799757</v>
      </c>
      <c r="J137" s="6" t="e">
        <f>SUM(J126:J133)</f>
        <v>#REF!</v>
      </c>
      <c r="K137" s="6" t="e">
        <f>J137-B137</f>
        <v>#REF!</v>
      </c>
    </row>
    <row r="138" spans="1:12" x14ac:dyDescent="0.25">
      <c r="J138" s="6"/>
      <c r="K138" s="6"/>
    </row>
    <row r="139" spans="1:12" x14ac:dyDescent="0.25">
      <c r="J139" s="6" t="e">
        <f>SUM(J126:J134)</f>
        <v>#REF!</v>
      </c>
      <c r="K139" s="46" t="e">
        <f>J124-J139</f>
        <v>#REF!</v>
      </c>
    </row>
    <row r="140" spans="1:12" x14ac:dyDescent="0.25">
      <c r="J140" s="20"/>
      <c r="K140" s="20" t="s">
        <v>65</v>
      </c>
      <c r="L140" s="20"/>
    </row>
    <row r="152" spans="25:27" x14ac:dyDescent="0.25">
      <c r="Y152" s="11"/>
      <c r="Z152" s="11"/>
      <c r="AA152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Summary</vt:lpstr>
      <vt:lpstr>Power Purchases</vt:lpstr>
      <vt:lpstr>Purchased Power Model</vt:lpstr>
      <vt:lpstr>Rate Class Energy Model</vt:lpstr>
      <vt:lpstr>Rate Class Customer Model</vt:lpstr>
      <vt:lpstr>Rate Class Load Model</vt:lpstr>
      <vt:lpstr>Residential</vt:lpstr>
      <vt:lpstr>GS &lt; 50 kW</vt:lpstr>
      <vt:lpstr>GS &gt; 50 kW</vt:lpstr>
      <vt:lpstr>CDM</vt:lpstr>
      <vt:lpstr>HDD CDD</vt:lpstr>
      <vt:lpstr>WMP</vt:lpstr>
      <vt:lpstr>Sheet1</vt:lpstr>
      <vt:lpstr>Sheet2</vt:lpstr>
      <vt:lpstr>Tables</vt:lpstr>
      <vt:lpstr>CDM!Print_Area</vt:lpstr>
      <vt:lpstr>'GS &lt; 50 kW'!Print_Area</vt:lpstr>
      <vt:lpstr>'GS &gt; 50 kW'!Print_Area</vt:lpstr>
      <vt:lpstr>'Power Purchases'!Print_Area</vt:lpstr>
      <vt:lpstr>'Purchased Power Model'!Print_Area</vt:lpstr>
      <vt:lpstr>'Rate Class Customer Model'!Print_Area</vt:lpstr>
      <vt:lpstr>'Rate Class Energy Model'!Print_Area</vt:lpstr>
      <vt:lpstr>Residential!Print_Area</vt:lpstr>
      <vt:lpstr>'HDD CDD'!Print_Titles</vt:lpstr>
      <vt:lpstr>'Power Purchases'!Print_Titles</vt:lpstr>
      <vt:lpstr>'Purchased Power Model'!Print_Titles</vt:lpstr>
      <vt:lpstr>WMP!Print_Titles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2020-02-11T23:31:53Z</dcterms:created>
  <dcterms:modified xsi:type="dcterms:W3CDTF">2020-11-23T02:34:58Z</dcterms:modified>
  <cp:category/>
  <cp:contentStatus/>
</cp:coreProperties>
</file>