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709MILPFV04\208160$\SynchFolder\Desktop\Regulatory Affairs\Letters\Uri's update\"/>
    </mc:Choice>
  </mc:AlternateContent>
  <bookViews>
    <workbookView xWindow="0" yWindow="0" windowWidth="19200" windowHeight="6770" tabRatio="727"/>
  </bookViews>
  <sheets>
    <sheet name="1595 (2015-2017)" sheetId="6" r:id="rId1"/>
    <sheet name="Step 3 (2015)" sheetId="1" r:id="rId2"/>
    <sheet name="Step 3 (2016)" sheetId="7" r:id="rId3"/>
    <sheet name="Step 3 (2017)" sheetId="8" r:id="rId4"/>
  </sheets>
  <externalReferences>
    <externalReference r:id="rId5"/>
    <externalReference r:id="rId6"/>
    <externalReference r:id="rId7"/>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6" l="1"/>
  <c r="H25" i="8" l="1"/>
  <c r="F25" i="8"/>
  <c r="H25" i="7" l="1"/>
  <c r="F25" i="7"/>
  <c r="F44" i="6" l="1"/>
  <c r="L25" i="7"/>
  <c r="L25" i="8"/>
  <c r="H25" i="1"/>
  <c r="L25" i="1" s="1"/>
  <c r="F25" i="1"/>
  <c r="F65" i="6" l="1"/>
  <c r="F66" i="6"/>
  <c r="P33" i="1" l="1"/>
  <c r="H46" i="1" l="1"/>
  <c r="L46" i="1" s="1"/>
  <c r="E15" i="7"/>
  <c r="H46" i="8"/>
  <c r="H47" i="8"/>
  <c r="H48" i="8"/>
  <c r="H51" i="8"/>
  <c r="H52" i="8"/>
  <c r="H53" i="8"/>
  <c r="H54" i="8"/>
  <c r="H55" i="8"/>
  <c r="H56" i="8"/>
  <c r="H57" i="8"/>
  <c r="H58" i="8"/>
  <c r="H59" i="8"/>
  <c r="H45" i="8"/>
  <c r="L18" i="1"/>
  <c r="L19" i="1"/>
  <c r="L13" i="1"/>
  <c r="H24" i="8"/>
  <c r="H23" i="8"/>
  <c r="H22" i="8"/>
  <c r="H24" i="7"/>
  <c r="H23" i="7"/>
  <c r="H22" i="7"/>
  <c r="H24" i="1"/>
  <c r="L24" i="1" s="1"/>
  <c r="H23" i="1"/>
  <c r="L23" i="1" s="1"/>
  <c r="H22" i="1"/>
  <c r="L22" i="1" s="1"/>
  <c r="H15" i="1"/>
  <c r="L15" i="1" s="1"/>
  <c r="H16" i="1"/>
  <c r="L16" i="1" s="1"/>
  <c r="H17" i="1"/>
  <c r="L17" i="1" s="1"/>
  <c r="H20" i="1"/>
  <c r="L20" i="1" s="1"/>
  <c r="H21" i="1"/>
  <c r="L21" i="1" s="1"/>
  <c r="H26" i="1"/>
  <c r="L26" i="1" s="1"/>
  <c r="H27" i="1"/>
  <c r="L27" i="1" s="1"/>
  <c r="H28" i="1"/>
  <c r="L28" i="1" s="1"/>
  <c r="H14" i="1"/>
  <c r="L14" i="1" s="1"/>
  <c r="K18" i="1"/>
  <c r="K19" i="1"/>
  <c r="K13" i="1"/>
  <c r="G15" i="1"/>
  <c r="K15" i="1" s="1"/>
  <c r="G16" i="1"/>
  <c r="K16" i="1" s="1"/>
  <c r="G17" i="1"/>
  <c r="K17" i="1" s="1"/>
  <c r="G20" i="1"/>
  <c r="K20" i="1" s="1"/>
  <c r="G21" i="1"/>
  <c r="K21" i="1" s="1"/>
  <c r="G22" i="1"/>
  <c r="K22" i="1" s="1"/>
  <c r="G23" i="1"/>
  <c r="K23" i="1" s="1"/>
  <c r="G24" i="1"/>
  <c r="K24" i="1" s="1"/>
  <c r="G25" i="1"/>
  <c r="K25" i="1" s="1"/>
  <c r="G26" i="1"/>
  <c r="K26" i="1" s="1"/>
  <c r="G27" i="1"/>
  <c r="K27" i="1" s="1"/>
  <c r="G28" i="1"/>
  <c r="K28" i="1" s="1"/>
  <c r="G14" i="1"/>
  <c r="K14" i="1" s="1"/>
  <c r="I61" i="6" l="1"/>
  <c r="G14" i="7"/>
  <c r="G15" i="7"/>
  <c r="G16" i="7"/>
  <c r="G17" i="7"/>
  <c r="G20" i="7"/>
  <c r="G21" i="7"/>
  <c r="G22" i="7"/>
  <c r="G23" i="7"/>
  <c r="G24" i="7"/>
  <c r="G25" i="7"/>
  <c r="G26" i="7"/>
  <c r="G27" i="7"/>
  <c r="G28" i="7"/>
  <c r="M14" i="7"/>
  <c r="F46" i="8" l="1"/>
  <c r="F47" i="8"/>
  <c r="F48" i="8"/>
  <c r="F51" i="8"/>
  <c r="F52" i="8"/>
  <c r="F53" i="8"/>
  <c r="F54" i="8"/>
  <c r="F55" i="8"/>
  <c r="F56" i="8"/>
  <c r="F57" i="8"/>
  <c r="F58" i="8"/>
  <c r="F59" i="8"/>
  <c r="F45" i="8"/>
  <c r="F14" i="8"/>
  <c r="N46" i="8"/>
  <c r="N47" i="8"/>
  <c r="N48" i="8"/>
  <c r="N51" i="8"/>
  <c r="N52" i="8"/>
  <c r="N53" i="8"/>
  <c r="N54" i="8"/>
  <c r="N55" i="8"/>
  <c r="N56" i="8"/>
  <c r="N57" i="8"/>
  <c r="N58" i="8"/>
  <c r="N59" i="8"/>
  <c r="N45" i="8"/>
  <c r="M15" i="8"/>
  <c r="N15" i="8"/>
  <c r="M16" i="8"/>
  <c r="N16" i="8"/>
  <c r="M17" i="8"/>
  <c r="N17" i="8"/>
  <c r="M20" i="8"/>
  <c r="N20" i="8"/>
  <c r="M21" i="8"/>
  <c r="N21" i="8"/>
  <c r="M22" i="8"/>
  <c r="N22" i="8"/>
  <c r="M23" i="8"/>
  <c r="N23" i="8"/>
  <c r="M24" i="8"/>
  <c r="N24" i="8"/>
  <c r="M25" i="8"/>
  <c r="N25" i="8"/>
  <c r="P25" i="8" s="1"/>
  <c r="M26" i="8"/>
  <c r="N26" i="8"/>
  <c r="M27" i="8"/>
  <c r="N27" i="8"/>
  <c r="M28" i="8"/>
  <c r="N28" i="8"/>
  <c r="N14" i="8"/>
  <c r="M14" i="8"/>
  <c r="G15" i="8"/>
  <c r="H15" i="8"/>
  <c r="G16" i="8"/>
  <c r="H16" i="8"/>
  <c r="L16" i="8" s="1"/>
  <c r="G17" i="8"/>
  <c r="H17" i="8"/>
  <c r="G20" i="8"/>
  <c r="H20" i="8"/>
  <c r="G21" i="8"/>
  <c r="H21" i="8"/>
  <c r="G22" i="8"/>
  <c r="G23" i="8"/>
  <c r="G24" i="8"/>
  <c r="G25" i="8"/>
  <c r="G26" i="8"/>
  <c r="H26" i="8"/>
  <c r="G27" i="8"/>
  <c r="H27" i="8"/>
  <c r="G28" i="8"/>
  <c r="H28" i="8"/>
  <c r="H14" i="8"/>
  <c r="G14" i="8"/>
  <c r="R25" i="8"/>
  <c r="E15" i="8"/>
  <c r="F15" i="8"/>
  <c r="E16" i="8"/>
  <c r="F16" i="8"/>
  <c r="E17" i="8"/>
  <c r="F17" i="8"/>
  <c r="E20" i="8"/>
  <c r="F20" i="8"/>
  <c r="E21" i="8"/>
  <c r="F21" i="8"/>
  <c r="E22" i="8"/>
  <c r="F22" i="8"/>
  <c r="E23" i="8"/>
  <c r="F23" i="8"/>
  <c r="E24" i="8"/>
  <c r="F24" i="8"/>
  <c r="E25" i="8"/>
  <c r="E26" i="8"/>
  <c r="F26" i="8"/>
  <c r="E27" i="8"/>
  <c r="F27" i="8"/>
  <c r="E28" i="8"/>
  <c r="F28" i="8"/>
  <c r="E14" i="8"/>
  <c r="L59" i="8" l="1"/>
  <c r="P59" i="8" s="1"/>
  <c r="J59" i="8"/>
  <c r="L58" i="8"/>
  <c r="P58" i="8" s="1"/>
  <c r="D58" i="8"/>
  <c r="L57" i="8"/>
  <c r="P57" i="8" s="1"/>
  <c r="J57" i="8"/>
  <c r="D57" i="8"/>
  <c r="L56" i="8"/>
  <c r="P56" i="8" s="1"/>
  <c r="D56" i="8"/>
  <c r="L55" i="8"/>
  <c r="P55" i="8" s="1"/>
  <c r="J55" i="8"/>
  <c r="L54" i="8"/>
  <c r="P54" i="8" s="1"/>
  <c r="D54" i="8"/>
  <c r="L53" i="8"/>
  <c r="P53" i="8" s="1"/>
  <c r="J53" i="8"/>
  <c r="R53" i="8" s="1"/>
  <c r="T53" i="8" s="1"/>
  <c r="D53" i="8"/>
  <c r="L52" i="8"/>
  <c r="P52" i="8" s="1"/>
  <c r="D52" i="8"/>
  <c r="L51" i="8"/>
  <c r="P51" i="8" s="1"/>
  <c r="J51" i="8"/>
  <c r="L48" i="8"/>
  <c r="P48" i="8" s="1"/>
  <c r="D48" i="8"/>
  <c r="L47" i="8"/>
  <c r="P47" i="8" s="1"/>
  <c r="J47" i="8"/>
  <c r="D47" i="8"/>
  <c r="L46" i="8"/>
  <c r="P46" i="8" s="1"/>
  <c r="D46" i="8"/>
  <c r="N61" i="8"/>
  <c r="H61" i="8"/>
  <c r="J45" i="8"/>
  <c r="F44" i="8"/>
  <c r="L28" i="8"/>
  <c r="P28" i="8" s="1"/>
  <c r="K28" i="8"/>
  <c r="O28" i="8" s="1"/>
  <c r="J28" i="8"/>
  <c r="I28" i="8"/>
  <c r="L27" i="8"/>
  <c r="P27" i="8" s="1"/>
  <c r="K27" i="8"/>
  <c r="O27" i="8" s="1"/>
  <c r="J27" i="8"/>
  <c r="I27" i="8"/>
  <c r="L26" i="8"/>
  <c r="P26" i="8" s="1"/>
  <c r="K26" i="8"/>
  <c r="O26" i="8" s="1"/>
  <c r="J26" i="8"/>
  <c r="I26" i="8"/>
  <c r="K25" i="8"/>
  <c r="O25" i="8" s="1"/>
  <c r="J25" i="8"/>
  <c r="I25" i="8"/>
  <c r="L24" i="8"/>
  <c r="P24" i="8" s="1"/>
  <c r="K24" i="8"/>
  <c r="O24" i="8" s="1"/>
  <c r="D24" i="8"/>
  <c r="I24" i="8"/>
  <c r="L23" i="8"/>
  <c r="P23" i="8" s="1"/>
  <c r="K23" i="8"/>
  <c r="O23" i="8" s="1"/>
  <c r="J23" i="8"/>
  <c r="I23" i="8"/>
  <c r="D23" i="8"/>
  <c r="L22" i="8"/>
  <c r="P22" i="8" s="1"/>
  <c r="K22" i="8"/>
  <c r="O22" i="8" s="1"/>
  <c r="J22" i="8"/>
  <c r="I22" i="8"/>
  <c r="D22" i="8"/>
  <c r="L21" i="8"/>
  <c r="P21" i="8" s="1"/>
  <c r="K21" i="8"/>
  <c r="O21" i="8" s="1"/>
  <c r="J21" i="8"/>
  <c r="I21" i="8"/>
  <c r="L20" i="8"/>
  <c r="P20" i="8" s="1"/>
  <c r="K20" i="8"/>
  <c r="O20" i="8" s="1"/>
  <c r="D20" i="8"/>
  <c r="I20" i="8"/>
  <c r="L17" i="8"/>
  <c r="P17" i="8" s="1"/>
  <c r="K17" i="8"/>
  <c r="O17" i="8" s="1"/>
  <c r="J17" i="8"/>
  <c r="I17" i="8"/>
  <c r="D17" i="8"/>
  <c r="K16" i="8"/>
  <c r="O16" i="8" s="1"/>
  <c r="J16" i="8"/>
  <c r="I16" i="8"/>
  <c r="D16" i="8"/>
  <c r="L15" i="8"/>
  <c r="P15" i="8" s="1"/>
  <c r="K15" i="8"/>
  <c r="O15" i="8" s="1"/>
  <c r="J15" i="8"/>
  <c r="I15" i="8"/>
  <c r="N30" i="8"/>
  <c r="M30" i="8"/>
  <c r="L14" i="8"/>
  <c r="K14" i="8"/>
  <c r="D14" i="8"/>
  <c r="E30" i="8"/>
  <c r="F13" i="8"/>
  <c r="H46" i="7"/>
  <c r="H47" i="7"/>
  <c r="H48" i="7"/>
  <c r="H51" i="7"/>
  <c r="H52" i="7"/>
  <c r="H53" i="7"/>
  <c r="H54" i="7"/>
  <c r="H55" i="7"/>
  <c r="H56" i="7"/>
  <c r="H57" i="7"/>
  <c r="H58" i="7"/>
  <c r="H59" i="7"/>
  <c r="H45" i="7"/>
  <c r="N46" i="7"/>
  <c r="N47" i="7"/>
  <c r="N48" i="7"/>
  <c r="N51" i="7"/>
  <c r="N52" i="7"/>
  <c r="N53" i="7"/>
  <c r="N54" i="7"/>
  <c r="N55" i="7"/>
  <c r="N56" i="7"/>
  <c r="N57" i="7"/>
  <c r="N58" i="7"/>
  <c r="N59" i="7"/>
  <c r="N45" i="7"/>
  <c r="M15" i="7"/>
  <c r="M16" i="7"/>
  <c r="M17" i="7"/>
  <c r="M20" i="7"/>
  <c r="M21" i="7"/>
  <c r="M22" i="7"/>
  <c r="M23" i="7"/>
  <c r="M24" i="7"/>
  <c r="M25" i="7"/>
  <c r="M26" i="7"/>
  <c r="M27" i="7"/>
  <c r="M28" i="7"/>
  <c r="F60" i="6"/>
  <c r="F46" i="1"/>
  <c r="F47" i="1"/>
  <c r="F48" i="1"/>
  <c r="F51" i="1"/>
  <c r="F52" i="1"/>
  <c r="F53" i="1"/>
  <c r="F54" i="1"/>
  <c r="F55" i="1"/>
  <c r="F56" i="1"/>
  <c r="F57" i="1"/>
  <c r="F58" i="1"/>
  <c r="F59" i="1"/>
  <c r="F45" i="1"/>
  <c r="F14" i="1"/>
  <c r="F27" i="1"/>
  <c r="F28" i="1"/>
  <c r="F26" i="1"/>
  <c r="E25" i="1"/>
  <c r="E26" i="1"/>
  <c r="E27" i="1"/>
  <c r="E28" i="1"/>
  <c r="E15" i="1"/>
  <c r="E34" i="6" s="1"/>
  <c r="F15" i="1"/>
  <c r="E16" i="1"/>
  <c r="F16" i="1"/>
  <c r="E17" i="1"/>
  <c r="F17" i="1"/>
  <c r="E20" i="1"/>
  <c r="F20" i="1"/>
  <c r="E21" i="1"/>
  <c r="F21" i="1"/>
  <c r="E22" i="1"/>
  <c r="F22" i="1"/>
  <c r="E23" i="1"/>
  <c r="F23" i="1"/>
  <c r="E24" i="1"/>
  <c r="F24" i="1"/>
  <c r="E14" i="1"/>
  <c r="R25" i="1" l="1"/>
  <c r="T25" i="1" s="1"/>
  <c r="D53" i="1"/>
  <c r="D56" i="1"/>
  <c r="D46" i="1"/>
  <c r="D55" i="1"/>
  <c r="D58" i="1"/>
  <c r="D54" i="1"/>
  <c r="D48" i="1"/>
  <c r="I14" i="1"/>
  <c r="D57" i="1"/>
  <c r="D47" i="1"/>
  <c r="D45" i="1"/>
  <c r="D52" i="1"/>
  <c r="D59" i="1"/>
  <c r="D51" i="1"/>
  <c r="D27" i="1"/>
  <c r="D24" i="1"/>
  <c r="D22" i="1"/>
  <c r="D20" i="1"/>
  <c r="D16" i="1"/>
  <c r="T25" i="8"/>
  <c r="R26" i="8"/>
  <c r="T26" i="8" s="1"/>
  <c r="Q15" i="8"/>
  <c r="S15" i="8" s="1"/>
  <c r="Q23" i="8"/>
  <c r="S23" i="8" s="1"/>
  <c r="Q25" i="8"/>
  <c r="S25" i="8" s="1"/>
  <c r="R57" i="8"/>
  <c r="T57" i="8" s="1"/>
  <c r="R47" i="8"/>
  <c r="T47" i="8" s="1"/>
  <c r="D28" i="1"/>
  <c r="D23" i="1"/>
  <c r="D21" i="1"/>
  <c r="D17" i="1"/>
  <c r="D15" i="1"/>
  <c r="D26" i="1"/>
  <c r="R16" i="8"/>
  <c r="T16" i="8" s="1"/>
  <c r="Q20" i="8"/>
  <c r="S20" i="8" s="1"/>
  <c r="Q26" i="8"/>
  <c r="S26" i="8" s="1"/>
  <c r="Q28" i="8"/>
  <c r="S28" i="8" s="1"/>
  <c r="R28" i="8"/>
  <c r="T28" i="8" s="1"/>
  <c r="Q16" i="8"/>
  <c r="S16" i="8" s="1"/>
  <c r="R17" i="8"/>
  <c r="T17" i="8" s="1"/>
  <c r="R21" i="8"/>
  <c r="T21" i="8" s="1"/>
  <c r="K30" i="8"/>
  <c r="O14" i="8"/>
  <c r="O30" i="8" s="1"/>
  <c r="P14" i="8"/>
  <c r="L30" i="8"/>
  <c r="R15" i="8"/>
  <c r="T15" i="8" s="1"/>
  <c r="Q22" i="8"/>
  <c r="S22" i="8" s="1"/>
  <c r="R23" i="8"/>
  <c r="T23" i="8" s="1"/>
  <c r="Q27" i="8"/>
  <c r="S27" i="8" s="1"/>
  <c r="Q17" i="8"/>
  <c r="S17" i="8" s="1"/>
  <c r="Q21" i="8"/>
  <c r="S21" i="8" s="1"/>
  <c r="R22" i="8"/>
  <c r="T22" i="8" s="1"/>
  <c r="Q24" i="8"/>
  <c r="S24" i="8" s="1"/>
  <c r="R27" i="8"/>
  <c r="T27" i="8" s="1"/>
  <c r="R51" i="8"/>
  <c r="T51" i="8" s="1"/>
  <c r="R55" i="8"/>
  <c r="T55" i="8" s="1"/>
  <c r="R59" i="8"/>
  <c r="T59" i="8" s="1"/>
  <c r="I14" i="8"/>
  <c r="D15" i="8"/>
  <c r="D21" i="8"/>
  <c r="D25" i="8"/>
  <c r="D26" i="8"/>
  <c r="D27" i="8"/>
  <c r="F30" i="8"/>
  <c r="D45" i="8"/>
  <c r="L45" i="8"/>
  <c r="J46" i="8"/>
  <c r="R46" i="8" s="1"/>
  <c r="T46" i="8" s="1"/>
  <c r="D51" i="8"/>
  <c r="J52" i="8"/>
  <c r="R52" i="8" s="1"/>
  <c r="T52" i="8" s="1"/>
  <c r="D55" i="8"/>
  <c r="J56" i="8"/>
  <c r="R56" i="8" s="1"/>
  <c r="T56" i="8" s="1"/>
  <c r="D59" i="8"/>
  <c r="J14" i="8"/>
  <c r="J20" i="8"/>
  <c r="R20" i="8" s="1"/>
  <c r="T20" i="8" s="1"/>
  <c r="J24" i="8"/>
  <c r="R24" i="8" s="1"/>
  <c r="T24" i="8" s="1"/>
  <c r="D28" i="8"/>
  <c r="G30" i="8"/>
  <c r="H30" i="8"/>
  <c r="J48" i="8"/>
  <c r="R48" i="8" s="1"/>
  <c r="T48" i="8" s="1"/>
  <c r="J54" i="8"/>
  <c r="R54" i="8" s="1"/>
  <c r="T54" i="8" s="1"/>
  <c r="J58" i="8"/>
  <c r="R58" i="8" s="1"/>
  <c r="T58" i="8" s="1"/>
  <c r="F61" i="8"/>
  <c r="D14" i="1"/>
  <c r="P30" i="8" l="1"/>
  <c r="D61" i="8"/>
  <c r="R14" i="8"/>
  <c r="R30" i="8" s="1"/>
  <c r="Q14" i="8"/>
  <c r="Q30" i="8" s="1"/>
  <c r="D30" i="8"/>
  <c r="P45" i="8"/>
  <c r="L61" i="8"/>
  <c r="F26" i="7"/>
  <c r="F45" i="6" s="1"/>
  <c r="F27" i="7"/>
  <c r="F46" i="6" s="1"/>
  <c r="F28" i="7"/>
  <c r="F47" i="6" s="1"/>
  <c r="E25" i="7"/>
  <c r="E44" i="6" s="1"/>
  <c r="D44" i="6" s="1"/>
  <c r="E26" i="7"/>
  <c r="E27" i="7"/>
  <c r="E28" i="7"/>
  <c r="F15" i="7"/>
  <c r="E16" i="7"/>
  <c r="E35" i="6" s="1"/>
  <c r="F16" i="7"/>
  <c r="F35" i="6" s="1"/>
  <c r="E17" i="7"/>
  <c r="E36" i="6" s="1"/>
  <c r="F17" i="7"/>
  <c r="F36" i="6" s="1"/>
  <c r="E20" i="7"/>
  <c r="E39" i="6" s="1"/>
  <c r="F20" i="7"/>
  <c r="F39" i="6" s="1"/>
  <c r="E21" i="7"/>
  <c r="E40" i="6" s="1"/>
  <c r="F21" i="7"/>
  <c r="F40" i="6" s="1"/>
  <c r="E22" i="7"/>
  <c r="E41" i="6" s="1"/>
  <c r="F22" i="7"/>
  <c r="F41" i="6" s="1"/>
  <c r="E23" i="7"/>
  <c r="E42" i="6" s="1"/>
  <c r="F23" i="7"/>
  <c r="E24" i="7"/>
  <c r="E43" i="6" s="1"/>
  <c r="F24" i="7"/>
  <c r="F46" i="7"/>
  <c r="F47" i="7"/>
  <c r="F48" i="7"/>
  <c r="F51" i="7"/>
  <c r="F52" i="7"/>
  <c r="F53" i="7"/>
  <c r="F54" i="7"/>
  <c r="F55" i="7"/>
  <c r="F56" i="7"/>
  <c r="F57" i="7"/>
  <c r="F58" i="7"/>
  <c r="F59" i="7"/>
  <c r="F45" i="7"/>
  <c r="F61" i="6" s="1"/>
  <c r="F14" i="7"/>
  <c r="F33" i="6" s="1"/>
  <c r="E14" i="7"/>
  <c r="E33" i="6" s="1"/>
  <c r="N15" i="7"/>
  <c r="N16" i="7"/>
  <c r="N17" i="7"/>
  <c r="N20" i="7"/>
  <c r="N21" i="7"/>
  <c r="N22" i="7"/>
  <c r="N23" i="7"/>
  <c r="N24" i="7"/>
  <c r="N25" i="7"/>
  <c r="P25" i="7" s="1"/>
  <c r="N26" i="7"/>
  <c r="N27" i="7"/>
  <c r="N28" i="7"/>
  <c r="N14" i="7"/>
  <c r="H15" i="7"/>
  <c r="H16" i="7"/>
  <c r="H17" i="7"/>
  <c r="H20" i="7"/>
  <c r="H21" i="7"/>
  <c r="H26" i="7"/>
  <c r="H27" i="7"/>
  <c r="H28" i="7"/>
  <c r="H14" i="7"/>
  <c r="J15" i="7" l="1"/>
  <c r="J21" i="7"/>
  <c r="S14" i="8"/>
  <c r="R25" i="7"/>
  <c r="D33" i="6"/>
  <c r="D40" i="6"/>
  <c r="D36" i="6"/>
  <c r="D39" i="6"/>
  <c r="T14" i="8"/>
  <c r="D52" i="7"/>
  <c r="F68" i="6"/>
  <c r="D28" i="7"/>
  <c r="E47" i="6"/>
  <c r="D47" i="6" s="1"/>
  <c r="J25" i="7"/>
  <c r="D59" i="7"/>
  <c r="F75" i="6"/>
  <c r="D51" i="7"/>
  <c r="F67" i="6"/>
  <c r="J24" i="7"/>
  <c r="F43" i="6"/>
  <c r="D43" i="6" s="1"/>
  <c r="D27" i="7"/>
  <c r="E46" i="6"/>
  <c r="D46" i="6" s="1"/>
  <c r="J22" i="7"/>
  <c r="D58" i="7"/>
  <c r="F74" i="6"/>
  <c r="D48" i="7"/>
  <c r="F64" i="6"/>
  <c r="D41" i="6"/>
  <c r="D35" i="6"/>
  <c r="D26" i="7"/>
  <c r="E45" i="6"/>
  <c r="D45" i="6" s="1"/>
  <c r="D56" i="7"/>
  <c r="F72" i="6"/>
  <c r="D46" i="7"/>
  <c r="F62" i="6"/>
  <c r="D55" i="7"/>
  <c r="F71" i="6"/>
  <c r="D54" i="7"/>
  <c r="F70" i="6"/>
  <c r="J16" i="7"/>
  <c r="D57" i="7"/>
  <c r="F73" i="6"/>
  <c r="D53" i="7"/>
  <c r="F69" i="6"/>
  <c r="D47" i="7"/>
  <c r="F63" i="6"/>
  <c r="J23" i="7"/>
  <c r="F42" i="6"/>
  <c r="D42" i="6" s="1"/>
  <c r="D15" i="7"/>
  <c r="F34" i="6"/>
  <c r="D34" i="6" s="1"/>
  <c r="N30" i="7"/>
  <c r="D23" i="7"/>
  <c r="D17" i="7"/>
  <c r="J28" i="7"/>
  <c r="J17" i="7"/>
  <c r="J20" i="7"/>
  <c r="J27" i="7"/>
  <c r="D21" i="7"/>
  <c r="J45" i="7"/>
  <c r="D45" i="7"/>
  <c r="I14" i="7"/>
  <c r="D14" i="7"/>
  <c r="D24" i="7"/>
  <c r="D22" i="7"/>
  <c r="D20" i="7"/>
  <c r="D16" i="7"/>
  <c r="J26" i="7"/>
  <c r="J14" i="7"/>
  <c r="D25" i="7"/>
  <c r="P61" i="8"/>
  <c r="R45" i="8"/>
  <c r="D50" i="6" l="1"/>
  <c r="R61" i="8"/>
  <c r="T45" i="8"/>
  <c r="L59" i="7" l="1"/>
  <c r="P59" i="7" s="1"/>
  <c r="J59" i="7"/>
  <c r="L58" i="7"/>
  <c r="P58" i="7" s="1"/>
  <c r="J58" i="7"/>
  <c r="L57" i="7"/>
  <c r="P57" i="7" s="1"/>
  <c r="J57" i="7"/>
  <c r="L56" i="7"/>
  <c r="P56" i="7" s="1"/>
  <c r="L55" i="7"/>
  <c r="P55" i="7" s="1"/>
  <c r="L54" i="7"/>
  <c r="P54" i="7" s="1"/>
  <c r="J54" i="7"/>
  <c r="L53" i="7"/>
  <c r="P53" i="7" s="1"/>
  <c r="J53" i="7"/>
  <c r="L52" i="7"/>
  <c r="P52" i="7" s="1"/>
  <c r="L51" i="7"/>
  <c r="P51" i="7" s="1"/>
  <c r="J51" i="7"/>
  <c r="L48" i="7"/>
  <c r="P48" i="7" s="1"/>
  <c r="J48" i="7"/>
  <c r="L47" i="7"/>
  <c r="P47" i="7" s="1"/>
  <c r="J46" i="7"/>
  <c r="L46" i="7"/>
  <c r="P46" i="7" s="1"/>
  <c r="N61" i="7"/>
  <c r="F61" i="7"/>
  <c r="F44" i="7"/>
  <c r="L28" i="7"/>
  <c r="P28" i="7" s="1"/>
  <c r="K28" i="7"/>
  <c r="O28" i="7" s="1"/>
  <c r="I28" i="7"/>
  <c r="L27" i="7"/>
  <c r="P27" i="7" s="1"/>
  <c r="K27" i="7"/>
  <c r="O27" i="7" s="1"/>
  <c r="I27" i="7"/>
  <c r="L26" i="7"/>
  <c r="K26" i="7"/>
  <c r="O26" i="7" s="1"/>
  <c r="R26" i="7"/>
  <c r="T26" i="7" s="1"/>
  <c r="I26" i="7"/>
  <c r="K25" i="7"/>
  <c r="O25" i="7" s="1"/>
  <c r="I25" i="7"/>
  <c r="L24" i="7"/>
  <c r="P24" i="7" s="1"/>
  <c r="K24" i="7"/>
  <c r="O24" i="7" s="1"/>
  <c r="I24" i="7"/>
  <c r="L23" i="7"/>
  <c r="P23" i="7" s="1"/>
  <c r="K23" i="7"/>
  <c r="O23" i="7" s="1"/>
  <c r="I23" i="7"/>
  <c r="L22" i="7"/>
  <c r="P22" i="7" s="1"/>
  <c r="R22" i="7" s="1"/>
  <c r="T22" i="7" s="1"/>
  <c r="K22" i="7"/>
  <c r="O22" i="7" s="1"/>
  <c r="I22" i="7"/>
  <c r="L21" i="7"/>
  <c r="P21" i="7" s="1"/>
  <c r="K21" i="7"/>
  <c r="O21" i="7" s="1"/>
  <c r="I21" i="7"/>
  <c r="L20" i="7"/>
  <c r="P20" i="7" s="1"/>
  <c r="K20" i="7"/>
  <c r="O20" i="7" s="1"/>
  <c r="I20" i="7"/>
  <c r="L17" i="7"/>
  <c r="P17" i="7" s="1"/>
  <c r="K17" i="7"/>
  <c r="O17" i="7" s="1"/>
  <c r="I17" i="7"/>
  <c r="L16" i="7"/>
  <c r="P16" i="7" s="1"/>
  <c r="R16" i="7" s="1"/>
  <c r="T16" i="7" s="1"/>
  <c r="K16" i="7"/>
  <c r="O16" i="7" s="1"/>
  <c r="I16" i="7"/>
  <c r="L15" i="7"/>
  <c r="P15" i="7" s="1"/>
  <c r="R15" i="7" s="1"/>
  <c r="T15" i="7" s="1"/>
  <c r="K15" i="7"/>
  <c r="O15" i="7" s="1"/>
  <c r="I15" i="7"/>
  <c r="M30" i="7"/>
  <c r="H30" i="7"/>
  <c r="G30" i="7"/>
  <c r="F30" i="7"/>
  <c r="E30" i="7"/>
  <c r="L13" i="7"/>
  <c r="K13" i="7"/>
  <c r="F13" i="7"/>
  <c r="N46" i="1"/>
  <c r="P46" i="1" s="1"/>
  <c r="N47" i="1"/>
  <c r="N48" i="1"/>
  <c r="N51" i="1"/>
  <c r="N52" i="1"/>
  <c r="N53" i="1"/>
  <c r="N54" i="1"/>
  <c r="N55" i="1"/>
  <c r="N56" i="1"/>
  <c r="N57" i="1"/>
  <c r="N58" i="1"/>
  <c r="N59" i="1"/>
  <c r="N45" i="1"/>
  <c r="L44" i="1"/>
  <c r="H47" i="1"/>
  <c r="L47" i="1" s="1"/>
  <c r="H48" i="1"/>
  <c r="L48" i="1" s="1"/>
  <c r="H51" i="1"/>
  <c r="L51" i="1" s="1"/>
  <c r="H52" i="1"/>
  <c r="L52" i="1" s="1"/>
  <c r="H53" i="1"/>
  <c r="L53" i="1" s="1"/>
  <c r="H54" i="1"/>
  <c r="L54" i="1" s="1"/>
  <c r="H55" i="1"/>
  <c r="L55" i="1" s="1"/>
  <c r="H56" i="1"/>
  <c r="L56" i="1" s="1"/>
  <c r="H57" i="1"/>
  <c r="H58" i="1"/>
  <c r="L58" i="1" s="1"/>
  <c r="H59" i="1"/>
  <c r="L59" i="1" s="1"/>
  <c r="H45" i="1"/>
  <c r="K44" i="1"/>
  <c r="F44" i="1"/>
  <c r="N28" i="1"/>
  <c r="N15" i="1"/>
  <c r="N16" i="1"/>
  <c r="N17" i="1"/>
  <c r="N20" i="1"/>
  <c r="N21" i="1"/>
  <c r="N22" i="1"/>
  <c r="N23" i="1"/>
  <c r="N24" i="1"/>
  <c r="N25" i="1"/>
  <c r="P25" i="1" s="1"/>
  <c r="N27" i="1"/>
  <c r="N14" i="1"/>
  <c r="M15" i="1"/>
  <c r="M16" i="1"/>
  <c r="M17" i="1"/>
  <c r="M20" i="1"/>
  <c r="M21" i="1"/>
  <c r="O21" i="1" s="1"/>
  <c r="M22" i="1"/>
  <c r="M23" i="1"/>
  <c r="M24" i="1"/>
  <c r="M25" i="1"/>
  <c r="M26" i="1"/>
  <c r="M27" i="1"/>
  <c r="M28" i="1"/>
  <c r="M14" i="1"/>
  <c r="O14" i="1" s="1"/>
  <c r="Q14" i="1" s="1"/>
  <c r="E8" i="6"/>
  <c r="E7" i="6"/>
  <c r="P51" i="1" l="1"/>
  <c r="R51" i="7"/>
  <c r="T51" i="7" s="1"/>
  <c r="N61" i="1"/>
  <c r="P53" i="1"/>
  <c r="P47" i="1"/>
  <c r="R59" i="7"/>
  <c r="T59" i="7" s="1"/>
  <c r="P56" i="1"/>
  <c r="P59" i="1"/>
  <c r="P55" i="1"/>
  <c r="P52" i="1"/>
  <c r="N30" i="1"/>
  <c r="P14" i="1"/>
  <c r="Q25" i="7"/>
  <c r="S25" i="7" s="1"/>
  <c r="Q15" i="7"/>
  <c r="R53" i="7"/>
  <c r="T53" i="7" s="1"/>
  <c r="Q21" i="7"/>
  <c r="S21" i="7" s="1"/>
  <c r="Q28" i="7"/>
  <c r="S28" i="7" s="1"/>
  <c r="H61" i="1"/>
  <c r="P58" i="1"/>
  <c r="P54" i="1"/>
  <c r="P48" i="1"/>
  <c r="L45" i="1"/>
  <c r="P45" i="1" s="1"/>
  <c r="J47" i="7"/>
  <c r="R47" i="7" s="1"/>
  <c r="T47" i="7" s="1"/>
  <c r="J55" i="7"/>
  <c r="R55" i="7" s="1"/>
  <c r="T55" i="7" s="1"/>
  <c r="R57" i="7"/>
  <c r="T57" i="7" s="1"/>
  <c r="H61" i="7"/>
  <c r="J52" i="7"/>
  <c r="L57" i="1"/>
  <c r="P57" i="1" s="1"/>
  <c r="L45" i="7"/>
  <c r="P45" i="7" s="1"/>
  <c r="R45" i="7" s="1"/>
  <c r="T45" i="7" s="1"/>
  <c r="J56" i="7"/>
  <c r="R56" i="7" s="1"/>
  <c r="T56" i="7" s="1"/>
  <c r="Q16" i="7"/>
  <c r="S16" i="7" s="1"/>
  <c r="R17" i="7"/>
  <c r="T17" i="7" s="1"/>
  <c r="Q22" i="7"/>
  <c r="S22" i="7" s="1"/>
  <c r="R23" i="7"/>
  <c r="T23" i="7" s="1"/>
  <c r="Q26" i="7"/>
  <c r="S26" i="7" s="1"/>
  <c r="T25" i="7"/>
  <c r="Q20" i="7"/>
  <c r="S20" i="7" s="1"/>
  <c r="R21" i="7"/>
  <c r="T21" i="7" s="1"/>
  <c r="Q24" i="7"/>
  <c r="S24" i="7" s="1"/>
  <c r="Q27" i="7"/>
  <c r="S27" i="7" s="1"/>
  <c r="R28" i="7"/>
  <c r="T28" i="7" s="1"/>
  <c r="R48" i="7"/>
  <c r="T48" i="7" s="1"/>
  <c r="R54" i="7"/>
  <c r="T54" i="7" s="1"/>
  <c r="R58" i="7"/>
  <c r="T58" i="7" s="1"/>
  <c r="Q17" i="7"/>
  <c r="S17" i="7" s="1"/>
  <c r="R20" i="7"/>
  <c r="T20" i="7" s="1"/>
  <c r="Q23" i="7"/>
  <c r="S23" i="7" s="1"/>
  <c r="R24" i="7"/>
  <c r="T24" i="7" s="1"/>
  <c r="R27" i="7"/>
  <c r="T27" i="7" s="1"/>
  <c r="R46" i="7"/>
  <c r="T46" i="7" s="1"/>
  <c r="R52" i="7"/>
  <c r="T52" i="7" s="1"/>
  <c r="L14" i="7"/>
  <c r="K14" i="7"/>
  <c r="O14" i="7" s="1"/>
  <c r="M30" i="1"/>
  <c r="S15" i="7" l="1"/>
  <c r="P61" i="1"/>
  <c r="L61" i="7"/>
  <c r="P61" i="7"/>
  <c r="K30" i="7"/>
  <c r="L30" i="7"/>
  <c r="P14" i="7"/>
  <c r="P30" i="7" s="1"/>
  <c r="R61" i="7"/>
  <c r="R14" i="7" l="1"/>
  <c r="R30" i="7" s="1"/>
  <c r="O30" i="7"/>
  <c r="Q14" i="7"/>
  <c r="Q30" i="7" s="1"/>
  <c r="T14" i="7" l="1"/>
  <c r="S14" i="7"/>
  <c r="G65" i="6" l="1"/>
  <c r="G66" i="6"/>
  <c r="I62" i="6"/>
  <c r="I63" i="6"/>
  <c r="I64" i="6"/>
  <c r="I67" i="6"/>
  <c r="I68" i="6"/>
  <c r="I69" i="6"/>
  <c r="I70" i="6"/>
  <c r="I71" i="6"/>
  <c r="I72" i="6"/>
  <c r="I73" i="6"/>
  <c r="I74" i="6"/>
  <c r="I75" i="6"/>
  <c r="H34" i="6"/>
  <c r="I34" i="6"/>
  <c r="H35" i="6"/>
  <c r="I35" i="6"/>
  <c r="H36" i="6"/>
  <c r="I36" i="6"/>
  <c r="H39" i="6"/>
  <c r="I39" i="6"/>
  <c r="H40" i="6"/>
  <c r="I40" i="6"/>
  <c r="H41" i="6"/>
  <c r="I41" i="6"/>
  <c r="H42" i="6"/>
  <c r="I42" i="6"/>
  <c r="H43" i="6"/>
  <c r="I43" i="6"/>
  <c r="H44" i="6"/>
  <c r="I44" i="6"/>
  <c r="L44" i="6" s="1"/>
  <c r="H45" i="6"/>
  <c r="I45" i="6"/>
  <c r="H46" i="6"/>
  <c r="I46" i="6"/>
  <c r="H47" i="6"/>
  <c r="I47" i="6"/>
  <c r="I33" i="6"/>
  <c r="H33" i="6"/>
  <c r="G44" i="6" l="1"/>
  <c r="J44" i="6" s="1"/>
  <c r="M44" i="6" s="1"/>
  <c r="G74" i="6"/>
  <c r="G70" i="6"/>
  <c r="G64" i="6"/>
  <c r="G73" i="6"/>
  <c r="G69" i="6"/>
  <c r="G63" i="6"/>
  <c r="G75" i="6"/>
  <c r="G71" i="6"/>
  <c r="G67" i="6"/>
  <c r="G61" i="6"/>
  <c r="G72" i="6"/>
  <c r="G68" i="6"/>
  <c r="G62" i="6"/>
  <c r="I77" i="6"/>
  <c r="G77" i="6" l="1"/>
  <c r="G33" i="6"/>
  <c r="G34" i="6"/>
  <c r="G36" i="6"/>
  <c r="G39" i="6"/>
  <c r="G40" i="6"/>
  <c r="G42" i="6"/>
  <c r="G43" i="6"/>
  <c r="G45" i="6"/>
  <c r="G47" i="6"/>
  <c r="I50" i="6" l="1"/>
  <c r="H50" i="6"/>
  <c r="G35" i="6"/>
  <c r="G46" i="6"/>
  <c r="G41" i="6"/>
  <c r="G50" i="6" l="1"/>
  <c r="J46" i="1" l="1"/>
  <c r="R46" i="1" s="1"/>
  <c r="T46" i="1" s="1"/>
  <c r="F13" i="1"/>
  <c r="D75" i="6" l="1"/>
  <c r="J75" i="6" s="1"/>
  <c r="J55" i="1"/>
  <c r="R55" i="1" s="1"/>
  <c r="T55" i="1" s="1"/>
  <c r="D67" i="6"/>
  <c r="J67" i="6" s="1"/>
  <c r="D62" i="6"/>
  <c r="J62" i="6" s="1"/>
  <c r="J58" i="1"/>
  <c r="R58" i="1" s="1"/>
  <c r="T58" i="1" s="1"/>
  <c r="J54" i="1"/>
  <c r="R54" i="1" s="1"/>
  <c r="T54" i="1" s="1"/>
  <c r="J57" i="1"/>
  <c r="R57" i="1" s="1"/>
  <c r="T57" i="1" s="1"/>
  <c r="J53" i="1"/>
  <c r="R53" i="1" s="1"/>
  <c r="T53" i="1" s="1"/>
  <c r="D64" i="6"/>
  <c r="J64" i="6" s="1"/>
  <c r="D72" i="6"/>
  <c r="J72" i="6" s="1"/>
  <c r="D68" i="6"/>
  <c r="J68" i="6" s="1"/>
  <c r="D63" i="6"/>
  <c r="J63" i="6" s="1"/>
  <c r="J48" i="1"/>
  <c r="R48" i="1" s="1"/>
  <c r="T48" i="1" s="1"/>
  <c r="J51" i="1"/>
  <c r="R51" i="1" s="1"/>
  <c r="T51" i="1" s="1"/>
  <c r="J47" i="1"/>
  <c r="R47" i="1" s="1"/>
  <c r="T47" i="1" s="1"/>
  <c r="J52" i="1"/>
  <c r="R52" i="1" s="1"/>
  <c r="T52" i="1" s="1"/>
  <c r="J56" i="1"/>
  <c r="R56" i="1" s="1"/>
  <c r="T56" i="1" s="1"/>
  <c r="J59" i="1"/>
  <c r="R59" i="1" s="1"/>
  <c r="T59" i="1" s="1"/>
  <c r="D71" i="6"/>
  <c r="J71" i="6" s="1"/>
  <c r="D74" i="6"/>
  <c r="J74" i="6" s="1"/>
  <c r="D70" i="6"/>
  <c r="J70" i="6" s="1"/>
  <c r="D73" i="6"/>
  <c r="J73" i="6" s="1"/>
  <c r="D69" i="6"/>
  <c r="J69" i="6" s="1"/>
  <c r="D61" i="6"/>
  <c r="F77" i="6"/>
  <c r="L61" i="1"/>
  <c r="J45" i="1" l="1"/>
  <c r="R45" i="1" s="1"/>
  <c r="F61" i="1"/>
  <c r="J61" i="6"/>
  <c r="D77" i="6"/>
  <c r="T45" i="1" l="1"/>
  <c r="R61" i="1"/>
  <c r="J77" i="6"/>
  <c r="D61" i="7" l="1"/>
  <c r="L47" i="6"/>
  <c r="K47" i="6"/>
  <c r="L46" i="6"/>
  <c r="K46" i="6"/>
  <c r="L45" i="6"/>
  <c r="K45" i="6"/>
  <c r="K44" i="6"/>
  <c r="L43" i="6"/>
  <c r="K43" i="6"/>
  <c r="L42" i="6"/>
  <c r="K42" i="6"/>
  <c r="L41" i="6"/>
  <c r="K41" i="6"/>
  <c r="L40" i="6"/>
  <c r="K40" i="6"/>
  <c r="L39" i="6"/>
  <c r="K39" i="6"/>
  <c r="L36" i="6"/>
  <c r="K36" i="6"/>
  <c r="L35" i="6"/>
  <c r="K35" i="6"/>
  <c r="L34" i="6"/>
  <c r="K34" i="6"/>
  <c r="L33" i="6"/>
  <c r="K33" i="6"/>
  <c r="F32" i="6"/>
  <c r="E50" i="6" l="1"/>
  <c r="J33" i="6" s="1"/>
  <c r="M33" i="6" s="1"/>
  <c r="F50" i="6"/>
  <c r="J39" i="6" l="1"/>
  <c r="M39" i="6" s="1"/>
  <c r="J34" i="6"/>
  <c r="M34" i="6" s="1"/>
  <c r="J40" i="6"/>
  <c r="M40" i="6" s="1"/>
  <c r="J47" i="6"/>
  <c r="M47" i="6" s="1"/>
  <c r="J42" i="6"/>
  <c r="M42" i="6" s="1"/>
  <c r="J45" i="6"/>
  <c r="M45" i="6" s="1"/>
  <c r="J46" i="6"/>
  <c r="M46" i="6" s="1"/>
  <c r="J35" i="6"/>
  <c r="M35" i="6" s="1"/>
  <c r="J41" i="6"/>
  <c r="M41" i="6" s="1"/>
  <c r="J36" i="6"/>
  <c r="M36" i="6" s="1"/>
  <c r="J43" i="6"/>
  <c r="M43" i="6" s="1"/>
  <c r="D30" i="7"/>
  <c r="D25" i="1"/>
  <c r="D30" i="1" s="1"/>
  <c r="L50" i="6"/>
  <c r="K50" i="6"/>
  <c r="J25" i="1" l="1"/>
  <c r="E30" i="1"/>
  <c r="F30" i="1"/>
  <c r="D61" i="1"/>
  <c r="I84" i="6" l="1"/>
  <c r="M50" i="6"/>
  <c r="G9" i="6"/>
  <c r="E9" i="6"/>
  <c r="C9" i="6"/>
  <c r="B9" i="6"/>
  <c r="D8" i="6"/>
  <c r="F8" i="6" s="1"/>
  <c r="D7" i="6"/>
  <c r="F7" i="6" s="1"/>
  <c r="D9" i="6" l="1"/>
  <c r="I7" i="6"/>
  <c r="H7" i="6"/>
  <c r="I8" i="6"/>
  <c r="H8" i="6"/>
  <c r="F9" i="6" l="1"/>
  <c r="I85" i="6" l="1"/>
  <c r="I86" i="6" s="1"/>
  <c r="H9" i="6"/>
  <c r="H10" i="6" s="1"/>
  <c r="H11" i="6" s="1"/>
  <c r="I9" i="6"/>
  <c r="P17" i="1" l="1"/>
  <c r="J17" i="1"/>
  <c r="P23" i="1"/>
  <c r="J23" i="1"/>
  <c r="P28" i="1"/>
  <c r="J28" i="1"/>
  <c r="O17" i="1"/>
  <c r="I17" i="1"/>
  <c r="O23" i="1"/>
  <c r="I23" i="1"/>
  <c r="O27" i="1"/>
  <c r="I27" i="1"/>
  <c r="J14" i="1"/>
  <c r="P20" i="1"/>
  <c r="J20" i="1"/>
  <c r="P24" i="1"/>
  <c r="J24" i="1"/>
  <c r="O20" i="1"/>
  <c r="I20" i="1"/>
  <c r="O24" i="1"/>
  <c r="I24" i="1"/>
  <c r="O28" i="1"/>
  <c r="I28" i="1"/>
  <c r="J15" i="1"/>
  <c r="R15" i="1" s="1"/>
  <c r="T15" i="1" s="1"/>
  <c r="P21" i="1"/>
  <c r="J21" i="1"/>
  <c r="J26" i="1"/>
  <c r="O15" i="1"/>
  <c r="I15" i="1"/>
  <c r="I21" i="1"/>
  <c r="O25" i="1"/>
  <c r="I25" i="1"/>
  <c r="P16" i="1"/>
  <c r="J16" i="1"/>
  <c r="P22" i="1"/>
  <c r="J22" i="1"/>
  <c r="P27" i="1"/>
  <c r="J27" i="1"/>
  <c r="O16" i="1"/>
  <c r="I16" i="1"/>
  <c r="O22" i="1"/>
  <c r="I22" i="1"/>
  <c r="O26" i="1"/>
  <c r="I26" i="1"/>
  <c r="H30" i="1"/>
  <c r="G30" i="1"/>
  <c r="Q22" i="1" l="1"/>
  <c r="S22" i="1" s="1"/>
  <c r="R27" i="1"/>
  <c r="T27" i="1" s="1"/>
  <c r="R16" i="1"/>
  <c r="T16" i="1" s="1"/>
  <c r="Q21" i="1"/>
  <c r="S21" i="1" s="1"/>
  <c r="R26" i="1"/>
  <c r="T26" i="1" s="1"/>
  <c r="Q24" i="1"/>
  <c r="S24" i="1" s="1"/>
  <c r="R20" i="1"/>
  <c r="T20" i="1" s="1"/>
  <c r="Q27" i="1"/>
  <c r="S27" i="1" s="1"/>
  <c r="Q17" i="1"/>
  <c r="S17" i="1" s="1"/>
  <c r="R23" i="1"/>
  <c r="T23" i="1" s="1"/>
  <c r="Q26" i="1"/>
  <c r="S26" i="1" s="1"/>
  <c r="Q16" i="1"/>
  <c r="S16" i="1" s="1"/>
  <c r="R22" i="1"/>
  <c r="T22" i="1" s="1"/>
  <c r="Q25" i="1"/>
  <c r="S25" i="1" s="1"/>
  <c r="Q15" i="1"/>
  <c r="R21" i="1"/>
  <c r="T21" i="1" s="1"/>
  <c r="Q28" i="1"/>
  <c r="S28" i="1" s="1"/>
  <c r="Q20" i="1"/>
  <c r="S20" i="1" s="1"/>
  <c r="R24" i="1"/>
  <c r="T24" i="1" s="1"/>
  <c r="R14" i="1"/>
  <c r="Q23" i="1"/>
  <c r="S23" i="1" s="1"/>
  <c r="R28" i="1"/>
  <c r="T28" i="1" s="1"/>
  <c r="R17" i="1"/>
  <c r="T17" i="1" s="1"/>
  <c r="O30" i="1"/>
  <c r="P30" i="1"/>
  <c r="L30" i="1"/>
  <c r="K30" i="1"/>
  <c r="S15" i="1" l="1"/>
  <c r="Q30" i="1"/>
  <c r="T14" i="1"/>
  <c r="R30" i="1"/>
  <c r="S14" i="1"/>
</calcChain>
</file>

<file path=xl/sharedStrings.xml><?xml version="1.0" encoding="utf-8"?>
<sst xmlns="http://schemas.openxmlformats.org/spreadsheetml/2006/main" count="897" uniqueCount="135">
  <si>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</si>
  <si>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</si>
  <si>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</si>
  <si>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</si>
  <si>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</si>
  <si>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Denominator Used in Rider Calculation as Approved by OEB (annualized)</t>
  </si>
  <si>
    <t>Calculated Rate Rider as Approved by OEB</t>
  </si>
  <si>
    <t>Projected Consumption over Recovery Period</t>
  </si>
  <si>
    <t>Calculated Variance ($)</t>
  </si>
  <si>
    <t>Calculated Variance (%)</t>
  </si>
  <si>
    <t>UR RESIDENTIAL SERVICE CLASSIFICATION</t>
  </si>
  <si>
    <t>kWh</t>
  </si>
  <si>
    <t/>
  </si>
  <si>
    <t>R1  RESIDENTIAL SERVICE CLASSIFICATION</t>
  </si>
  <si>
    <t>R2  RESIDENTIAL SERVICE CLASSIFICATION</t>
  </si>
  <si>
    <t>SEASONAL SERVICE CLASSIFICATION</t>
  </si>
  <si>
    <t>ONTARIO ELECTRICITY SUPPORT PROGRAM RECIPIENTS</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</si>
  <si>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</si>
  <si>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</si>
  <si>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</si>
  <si>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</si>
  <si>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</si>
  <si>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</si>
  <si>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UNMETERED SCATTERED LOAD SERVICE CLASSIFICATION</t>
  </si>
  <si>
    <t>SENTINEL LIGHTING SERVICE CLASSIFICATION</t>
  </si>
  <si>
    <t>STREET LIGHTING SERVICE CLASSIFICATION</t>
  </si>
  <si>
    <t>microFIT SERVICE CLASSIFICATION</t>
  </si>
  <si>
    <t>UR</t>
  </si>
  <si>
    <t>R1</t>
  </si>
  <si>
    <t>R2</t>
  </si>
  <si>
    <t>Seasonal</t>
  </si>
  <si>
    <t>GSe</t>
  </si>
  <si>
    <t>GSd</t>
  </si>
  <si>
    <t>UGe</t>
  </si>
  <si>
    <t>UGd</t>
  </si>
  <si>
    <t>St Lgt</t>
  </si>
  <si>
    <t>Sen Lgt</t>
  </si>
  <si>
    <t>USL</t>
  </si>
  <si>
    <t>Dgen</t>
  </si>
  <si>
    <t>ST</t>
  </si>
  <si>
    <t>KW</t>
  </si>
  <si>
    <t>Year in which this worksheet relates to</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</si>
  <si>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</si>
  <si>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</si>
  <si>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</si>
  <si>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</si>
  <si>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</si>
  <si>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</si>
  <si>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</si>
  <si>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</si>
  <si>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</si>
  <si>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</si>
  <si>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</si>
  <si>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</si>
  <si>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</si>
  <si>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</si>
  <si>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</si>
  <si>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Select Rate Rider(s) Applicable for 1595 Recovery Period by indicating "Yes" in column G</t>
  </si>
  <si>
    <t>Rate Rider- Group 1 DVA Accounts (Excluding Global Adjustment)</t>
  </si>
  <si>
    <t>Yes</t>
  </si>
  <si>
    <t>No</t>
  </si>
  <si>
    <t>Rate Rider - RSVA - Global Adjustment</t>
  </si>
  <si>
    <t>Rate Rider - RSVA - Group 2 Accounts (If a separate Group 2 rate rider was created)</t>
  </si>
  <si>
    <t>Other 1</t>
  </si>
  <si>
    <t>Other 2</t>
  </si>
  <si>
    <t>Other 3</t>
  </si>
  <si>
    <t>(B)</t>
  </si>
  <si>
    <t>Total</t>
  </si>
  <si>
    <t>(A = B+C)</t>
  </si>
  <si>
    <t>Allocated Balance to Fixed</t>
  </si>
  <si>
    <t>Allocated Balance to Volumetric</t>
  </si>
  <si>
    <t>Forecast vs Billed Fixed</t>
  </si>
  <si>
    <t>Forecast vs Billed Volumetric (kWh/kW)</t>
  </si>
  <si>
    <t>Step 3 - Year 1 2015</t>
  </si>
  <si>
    <t>Total (Excluding GA Rider Balance)</t>
  </si>
  <si>
    <t>Step 1</t>
  </si>
  <si>
    <t>Calculated differences of greater than + or - 10% require further analysis</t>
  </si>
  <si>
    <t>Step 2</t>
  </si>
  <si>
    <t>Account 1595 Residual Balance and Allocation to Rate Classes (2021)</t>
  </si>
  <si>
    <t>2015-2017</t>
  </si>
  <si>
    <t>Volumetric Rate Rider</t>
  </si>
  <si>
    <t xml:space="preserve">Step 3 </t>
  </si>
  <si>
    <t>Total per Year</t>
  </si>
  <si>
    <t>Allocated Balance to Fixed per Year</t>
  </si>
  <si>
    <t>Allocated Balance to Volumetric per Year</t>
  </si>
  <si>
    <t>(A)</t>
  </si>
  <si>
    <t>(D)</t>
  </si>
  <si>
    <t>(E)</t>
  </si>
  <si>
    <t>RATE RIDER - RSVA - GLOBAL ADJUSTMENT</t>
  </si>
  <si>
    <t>SUMMARY</t>
  </si>
  <si>
    <t>Total Calculated Account Balance</t>
  </si>
  <si>
    <t>Total Account Residual Balance per Step 1 above</t>
  </si>
  <si>
    <t>***Any unreconciled difference between amounts reported in the residual balances section in Step 1 and amounts calculated for the total of all applicable riders in Step 3 must be explained.</t>
  </si>
  <si>
    <t>Additional Notes and Comments</t>
  </si>
  <si>
    <t>We have a large liability rider amount in the amount of ~($6M) [we over-collected] because actual consumption during the rider recovery period (2015-2017) was higher than initially forecasted as a result of favourable weather. </t>
  </si>
  <si>
    <t>(J)</t>
  </si>
  <si>
    <t>Fixed Service Rate Rider</t>
  </si>
  <si>
    <t>Allocated Annual Balance to Rate Class as Approved by OEB ($)</t>
  </si>
  <si>
    <t>(F=B/D/8)</t>
  </si>
  <si>
    <t>[G=(C/E)*(12/8)]</t>
  </si>
  <si>
    <t>Volumetric Rider</t>
  </si>
  <si>
    <t>Fixed Service Rider</t>
  </si>
  <si>
    <t>(K)</t>
  </si>
  <si>
    <t>Billed Consumption that the rider was applied against**</t>
  </si>
  <si>
    <t>**Data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t>
  </si>
  <si>
    <t xml:space="preserve"> However, any substantial deviations between billed consumption that the rider was applied against and billed consumption reported in RRR can be an indicator of rider misallocations or errors in the data used in the workform.</t>
  </si>
  <si>
    <t>(L=H-J)</t>
  </si>
  <si>
    <t>(M=I-K)</t>
  </si>
  <si>
    <t>Forecasted versus billed Consumption Variance</t>
  </si>
  <si>
    <t>(N=F*L)</t>
  </si>
  <si>
    <t>(O=G*M)</t>
  </si>
  <si>
    <t>(P=N/B)</t>
  </si>
  <si>
    <t>(Q=O/C)</t>
  </si>
  <si>
    <t>[G=(C/E)]</t>
  </si>
  <si>
    <t>(F=B/D/12)</t>
  </si>
  <si>
    <t>Allocated Balance to Rate Class as Approved by OEB ($)*</t>
  </si>
  <si>
    <t>(G=A-D)</t>
  </si>
  <si>
    <t>(H=B-E)</t>
  </si>
  <si>
    <t>(I=C-F)</t>
  </si>
  <si>
    <t>(J=G/A)</t>
  </si>
  <si>
    <t>(F)</t>
  </si>
  <si>
    <t>G=(C/E)</t>
  </si>
  <si>
    <t>H=D</t>
  </si>
  <si>
    <t>I=E</t>
  </si>
  <si>
    <t>(H=D)</t>
  </si>
  <si>
    <t>Rider Amounts Billed ($) *</t>
  </si>
  <si>
    <t>Rider Amounts Billed ($)*</t>
  </si>
  <si>
    <t>Volumetric Rider***</t>
  </si>
  <si>
    <t>KW***</t>
  </si>
  <si>
    <t>* Sum of annual rate riders for 2015, 2016 and 2017</t>
  </si>
  <si>
    <t>KW**</t>
  </si>
  <si>
    <t>** The ST volumetric amounts shown combine the ST volumetric rider (General) and the ST Non-WMP rider</t>
  </si>
  <si>
    <t>Rate Rider- Group 1 DVA Accounts (Excluding Global Adjustment) - Non-WMP (ST Only)**</t>
  </si>
  <si>
    <t>*** The ST amounts shown for the volumetric rider combines the ST volumetric rider (General) and the ST Non-WMP rider</t>
  </si>
  <si>
    <t>Unreconciled Differences***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</si>
</sst>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 #,##0.0000_);_(* \(#,##0.0000\);_(* &quot;-&quot;??_);_(@_)"/>
    <numFmt numFmtId="168" formatCode="&quot;$&quot;#,##0.00"/>
    <numFmt numFmtId="169" formatCode="_(&quot;$&quot;* #,##0_);_(&quot;$&quot;* \(#,##0\);_(&quot;$&quot;* &quot;-&quot;??_);_(@_)"/>
    <numFmt numFmtId="170" formatCode="_-&quot;$&quot;* #,##0_-;\-&quot;$&quot;* #,##0_-;_-&quot;$&quot;* &quot;-&quot;??_-;_-@_-"/>
    <numFmt numFmtId="171" formatCode="0.00000"/>
    <numFmt numFmtId="172" formatCode="_(* #,##0.000000_);_(* \(#,##0.000000\);_(* &quot;-&quot;??_);_(@_)"/>
  </numFmts>
  <fonts count="10"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11"/>
      <color rgb="FFFF0000"/>
      <name val="Times New Roman"/>
      <family val="1"/>
    </font>
    <font>
      <sz val="11"/>
      <name val="Arial"/>
      <family val="2"/>
    </font>
    <font>
      <sz val="11"/>
      <color theme="1"/>
      <name val="Arial"/>
      <family val="2"/>
    </font>
    <font>
      <u/>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ck">
        <color theme="0" tint="-0.34998626667073579"/>
      </left>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42">
    <xf numFmtId="0" fontId="0" fillId="0" borderId="0" xfId="0"/>
    <xf numFmtId="0" fontId="2" fillId="0" borderId="0" xfId="0" applyFont="1"/>
    <xf numFmtId="0" fontId="3" fillId="0" borderId="0" xfId="0" applyFont="1" applyBorder="1"/>
    <xf numFmtId="0" fontId="5" fillId="0" borderId="0" xfId="0" applyFont="1" applyFill="1" applyBorder="1" applyAlignment="1">
      <alignment horizontal="left" vertical="center"/>
    </xf>
    <xf numFmtId="0" fontId="4" fillId="0" borderId="0" xfId="0" applyFont="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xf>
    <xf numFmtId="165" fontId="4" fillId="3" borderId="1" xfId="0" applyNumberFormat="1" applyFont="1" applyFill="1" applyBorder="1" applyAlignment="1" applyProtection="1">
      <alignment horizontal="right"/>
      <protection locked="0"/>
    </xf>
    <xf numFmtId="165" fontId="5" fillId="0" borderId="1" xfId="0" applyNumberFormat="1" applyFont="1" applyFill="1" applyBorder="1"/>
    <xf numFmtId="166" fontId="5" fillId="0" borderId="1" xfId="2" applyNumberFormat="1" applyFont="1" applyBorder="1"/>
    <xf numFmtId="0" fontId="6" fillId="0" borderId="0" xfId="0" applyFont="1"/>
    <xf numFmtId="165" fontId="4" fillId="3" borderId="1" xfId="0" applyNumberFormat="1" applyFont="1" applyFill="1" applyBorder="1" applyAlignment="1" applyProtection="1">
      <alignment horizontal="right" vertical="center"/>
      <protection locked="0"/>
    </xf>
    <xf numFmtId="165" fontId="4" fillId="0" borderId="1" xfId="0" applyNumberFormat="1" applyFont="1" applyFill="1" applyBorder="1"/>
    <xf numFmtId="165" fontId="4" fillId="0" borderId="1" xfId="0" applyNumberFormat="1" applyFont="1" applyFill="1" applyBorder="1" applyAlignment="1">
      <alignment horizontal="right"/>
    </xf>
    <xf numFmtId="165" fontId="4" fillId="0" borderId="1" xfId="0" applyNumberFormat="1" applyFont="1" applyFill="1" applyBorder="1" applyAlignment="1">
      <alignment vertical="center"/>
    </xf>
    <xf numFmtId="165" fontId="4" fillId="2" borderId="1" xfId="0" applyNumberFormat="1" applyFont="1" applyFill="1" applyBorder="1" applyAlignment="1">
      <alignment vertical="center"/>
    </xf>
    <xf numFmtId="165" fontId="4" fillId="0" borderId="0" xfId="0" applyNumberFormat="1" applyFont="1" applyFill="1" applyBorder="1" applyAlignment="1">
      <alignment vertical="center"/>
    </xf>
    <xf numFmtId="165" fontId="4" fillId="0" borderId="0" xfId="0" applyNumberFormat="1" applyFont="1" applyFill="1" applyBorder="1"/>
    <xf numFmtId="165" fontId="5" fillId="2" borderId="2" xfId="0" applyNumberFormat="1" applyFont="1" applyFill="1" applyBorder="1" applyAlignment="1">
      <alignment horizontal="right" vertical="center"/>
    </xf>
    <xf numFmtId="166" fontId="5" fillId="0" borderId="0" xfId="2" applyNumberFormat="1" applyFont="1" applyBorder="1"/>
    <xf numFmtId="165" fontId="5" fillId="2"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5" fillId="3" borderId="1" xfId="0" applyFont="1" applyFill="1" applyBorder="1" applyAlignment="1" applyProtection="1">
      <alignment horizontal="center" vertical="center"/>
      <protection locked="0"/>
    </xf>
    <xf numFmtId="0" fontId="2" fillId="0" borderId="0" xfId="0" applyFont="1" applyAlignment="1">
      <alignment wrapText="1"/>
    </xf>
    <xf numFmtId="164" fontId="2" fillId="0" borderId="0" xfId="1" applyNumberFormat="1" applyFont="1"/>
    <xf numFmtId="0" fontId="5" fillId="0" borderId="0" xfId="0" applyFont="1" applyFill="1" applyBorder="1" applyAlignment="1">
      <alignment horizontal="center" vertical="center"/>
    </xf>
    <xf numFmtId="43" fontId="2" fillId="0" borderId="0" xfId="0" applyNumberFormat="1" applyFont="1"/>
    <xf numFmtId="164" fontId="2" fillId="0" borderId="0" xfId="0" applyNumberFormat="1" applyFont="1"/>
    <xf numFmtId="167" fontId="2" fillId="0" borderId="0" xfId="0" applyNumberFormat="1" applyFont="1"/>
    <xf numFmtId="0" fontId="2" fillId="0" borderId="0" xfId="0" applyFont="1" applyAlignment="1">
      <alignment horizontal="center" wrapText="1"/>
    </xf>
    <xf numFmtId="0" fontId="2" fillId="0" borderId="1" xfId="0" applyFont="1" applyBorder="1" applyAlignment="1">
      <alignment horizontal="center" wrapText="1"/>
    </xf>
    <xf numFmtId="0" fontId="2" fillId="4" borderId="1" xfId="0" applyFont="1" applyFill="1" applyBorder="1" applyAlignment="1">
      <alignment horizontal="center" wrapText="1"/>
    </xf>
    <xf numFmtId="0" fontId="2" fillId="0" borderId="1" xfId="0" quotePrefix="1" applyFont="1" applyBorder="1" applyAlignment="1">
      <alignment horizontal="center" wrapText="1"/>
    </xf>
    <xf numFmtId="0" fontId="2" fillId="0" borderId="5" xfId="0" applyFont="1" applyBorder="1" applyAlignment="1">
      <alignment horizontal="center" wrapText="1"/>
    </xf>
    <xf numFmtId="0" fontId="3" fillId="0" borderId="5" xfId="0" applyFont="1" applyBorder="1" applyAlignment="1">
      <alignment horizontal="center" wrapText="1"/>
    </xf>
    <xf numFmtId="0" fontId="2" fillId="0" borderId="0" xfId="0" applyFont="1" applyFill="1"/>
    <xf numFmtId="164" fontId="2" fillId="0" borderId="0" xfId="1" applyNumberFormat="1" applyFont="1" applyFill="1"/>
    <xf numFmtId="0" fontId="8" fillId="0" borderId="0" xfId="0" applyFont="1"/>
    <xf numFmtId="0" fontId="4" fillId="0" borderId="0" xfId="0" applyFont="1" applyAlignment="1">
      <alignment vertical="top"/>
    </xf>
    <xf numFmtId="0" fontId="3" fillId="0" borderId="1" xfId="0" applyFont="1" applyBorder="1" applyAlignment="1">
      <alignment horizontal="left" vertical="center"/>
    </xf>
    <xf numFmtId="0" fontId="5" fillId="0" borderId="1" xfId="0" applyFont="1" applyFill="1" applyBorder="1" applyAlignment="1">
      <alignment horizontal="left" vertical="center" wrapText="1"/>
    </xf>
    <xf numFmtId="168" fontId="4" fillId="3" borderId="1" xfId="0" applyNumberFormat="1" applyFont="1" applyFill="1" applyBorder="1" applyAlignment="1" applyProtection="1">
      <alignment horizontal="right"/>
      <protection locked="0"/>
    </xf>
    <xf numFmtId="0" fontId="3" fillId="0" borderId="0" xfId="0" applyFont="1" applyBorder="1" applyAlignment="1">
      <alignment horizontal="center"/>
    </xf>
    <xf numFmtId="0" fontId="2" fillId="0" borderId="0" xfId="0" applyFont="1" applyBorder="1"/>
    <xf numFmtId="0" fontId="2" fillId="0" borderId="0" xfId="0" applyFont="1" applyFill="1" applyBorder="1"/>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2" fillId="2" borderId="8" xfId="0" applyFont="1" applyFill="1" applyBorder="1"/>
    <xf numFmtId="0" fontId="2" fillId="4" borderId="9" xfId="0" applyFont="1" applyFill="1" applyBorder="1" applyAlignment="1" applyProtection="1">
      <alignment horizontal="left" vertical="center" wrapText="1"/>
      <protection locked="0"/>
    </xf>
    <xf numFmtId="0" fontId="5" fillId="0" borderId="1" xfId="0" applyFont="1" applyFill="1" applyBorder="1" applyAlignment="1">
      <alignment horizontal="centerContinuous" vertical="center" wrapText="1"/>
    </xf>
    <xf numFmtId="9" fontId="2" fillId="0" borderId="0" xfId="2" applyFont="1"/>
    <xf numFmtId="10" fontId="2" fillId="0" borderId="0" xfId="2" applyNumberFormat="1" applyFont="1"/>
    <xf numFmtId="0" fontId="2" fillId="4" borderId="1" xfId="0" quotePrefix="1" applyFont="1" applyFill="1" applyBorder="1" applyAlignment="1">
      <alignment horizontal="center" wrapText="1"/>
    </xf>
    <xf numFmtId="0" fontId="2" fillId="0" borderId="1" xfId="0" applyFont="1" applyBorder="1" applyAlignment="1">
      <alignment horizontal="centerContinuous" wrapText="1"/>
    </xf>
    <xf numFmtId="0" fontId="2" fillId="4" borderId="1" xfId="0" applyFont="1" applyFill="1" applyBorder="1" applyAlignment="1">
      <alignment horizontal="centerContinuous" wrapText="1"/>
    </xf>
    <xf numFmtId="0" fontId="2" fillId="0" borderId="4" xfId="0" applyFont="1" applyBorder="1" applyAlignment="1">
      <alignment horizontal="centerContinuous" wrapText="1"/>
    </xf>
    <xf numFmtId="0" fontId="2" fillId="0" borderId="4" xfId="0" applyFont="1" applyBorder="1" applyAlignment="1">
      <alignment horizontal="center" wrapText="1"/>
    </xf>
    <xf numFmtId="0" fontId="2" fillId="0" borderId="7" xfId="0" applyFont="1" applyBorder="1" applyAlignment="1">
      <alignment wrapText="1"/>
    </xf>
    <xf numFmtId="0" fontId="3" fillId="0" borderId="0" xfId="0" applyFont="1" applyBorder="1" applyAlignment="1">
      <alignment wrapText="1"/>
    </xf>
    <xf numFmtId="0" fontId="2" fillId="0" borderId="0" xfId="0" applyFont="1" applyBorder="1" applyAlignment="1">
      <alignment wrapText="1"/>
    </xf>
    <xf numFmtId="0" fontId="2" fillId="0" borderId="3" xfId="0" applyFont="1" applyBorder="1" applyAlignment="1">
      <alignment wrapText="1"/>
    </xf>
    <xf numFmtId="0" fontId="3" fillId="0" borderId="10" xfId="0" applyFont="1" applyBorder="1" applyAlignment="1">
      <alignment wrapText="1"/>
    </xf>
    <xf numFmtId="0" fontId="2" fillId="0" borderId="10" xfId="0" applyFont="1" applyBorder="1" applyAlignment="1">
      <alignment wrapText="1"/>
    </xf>
    <xf numFmtId="169" fontId="2" fillId="0" borderId="0" xfId="3" applyNumberFormat="1" applyFont="1"/>
    <xf numFmtId="0" fontId="8" fillId="0" borderId="11" xfId="0" applyFont="1" applyBorder="1"/>
    <xf numFmtId="0" fontId="8" fillId="0" borderId="12" xfId="0" applyFont="1" applyBorder="1"/>
    <xf numFmtId="0" fontId="7" fillId="0" borderId="12" xfId="0" applyFont="1" applyFill="1" applyBorder="1"/>
    <xf numFmtId="0" fontId="8" fillId="0" borderId="13" xfId="0" applyFont="1" applyBorder="1"/>
    <xf numFmtId="0" fontId="8" fillId="0" borderId="14" xfId="0" applyFont="1" applyBorder="1"/>
    <xf numFmtId="0" fontId="8" fillId="0" borderId="0" xfId="0" applyFont="1" applyBorder="1"/>
    <xf numFmtId="0" fontId="7" fillId="0" borderId="0" xfId="0" applyFont="1" applyFill="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2" fillId="0" borderId="1" xfId="0" applyFont="1" applyFill="1" applyBorder="1" applyAlignment="1">
      <alignment horizontal="centerContinuous"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164" fontId="2" fillId="0" borderId="0" xfId="0" applyNumberFormat="1" applyFont="1" applyAlignment="1">
      <alignment wrapText="1"/>
    </xf>
    <xf numFmtId="0" fontId="9" fillId="0" borderId="0" xfId="0" applyFont="1"/>
    <xf numFmtId="171" fontId="2" fillId="0" borderId="0" xfId="0" applyNumberFormat="1" applyFont="1" applyBorder="1"/>
    <xf numFmtId="164" fontId="2" fillId="0" borderId="0" xfId="1" applyNumberFormat="1" applyFont="1" applyAlignment="1">
      <alignment wrapText="1"/>
    </xf>
    <xf numFmtId="9" fontId="2" fillId="0" borderId="0" xfId="2" applyNumberFormat="1" applyFont="1" applyAlignment="1">
      <alignment wrapText="1"/>
    </xf>
    <xf numFmtId="9" fontId="2" fillId="0" borderId="0" xfId="2" applyNumberFormat="1" applyFont="1"/>
    <xf numFmtId="164" fontId="2" fillId="0" borderId="0" xfId="0" applyNumberFormat="1" applyFont="1" applyFill="1" applyAlignment="1">
      <alignment wrapText="1"/>
    </xf>
    <xf numFmtId="164" fontId="2" fillId="0" borderId="0" xfId="1" applyNumberFormat="1" applyFont="1" applyFill="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170" fontId="2" fillId="0" borderId="0" xfId="3" applyNumberFormat="1" applyFont="1" applyFill="1"/>
    <xf numFmtId="171" fontId="2" fillId="0" borderId="0" xfId="0" applyNumberFormat="1" applyFont="1" applyFill="1" applyBorder="1"/>
    <xf numFmtId="0" fontId="3" fillId="0" borderId="0" xfId="0" applyFont="1" applyFill="1" applyBorder="1"/>
    <xf numFmtId="164" fontId="2" fillId="0" borderId="0" xfId="0" applyNumberFormat="1" applyFont="1" applyFill="1"/>
    <xf numFmtId="0" fontId="2" fillId="0" borderId="4" xfId="0" applyFont="1" applyFill="1" applyBorder="1" applyAlignment="1">
      <alignment horizontal="centerContinuous" wrapText="1"/>
    </xf>
    <xf numFmtId="0" fontId="2" fillId="0" borderId="4" xfId="0" applyFont="1" applyFill="1" applyBorder="1" applyAlignment="1">
      <alignment horizontal="center" wrapText="1"/>
    </xf>
    <xf numFmtId="0" fontId="2" fillId="0" borderId="1" xfId="0" applyFont="1" applyBorder="1"/>
    <xf numFmtId="0" fontId="5" fillId="0" borderId="1" xfId="0" applyFont="1" applyFill="1" applyBorder="1" applyAlignment="1">
      <alignment horizontal="center" vertical="center"/>
    </xf>
    <xf numFmtId="164" fontId="2" fillId="0" borderId="1" xfId="1" applyNumberFormat="1" applyFont="1" applyBorder="1"/>
    <xf numFmtId="9" fontId="2" fillId="0" borderId="1" xfId="2" applyFont="1" applyBorder="1" applyAlignment="1">
      <alignment wrapText="1"/>
    </xf>
    <xf numFmtId="164" fontId="2" fillId="0" borderId="1" xfId="1" applyNumberFormat="1" applyFont="1" applyBorder="1" applyAlignment="1">
      <alignment vertical="center"/>
    </xf>
    <xf numFmtId="9" fontId="2" fillId="0" borderId="1" xfId="2" applyFont="1" applyBorder="1" applyAlignment="1">
      <alignment vertical="center"/>
    </xf>
    <xf numFmtId="0" fontId="3" fillId="0" borderId="1" xfId="0" applyFont="1" applyBorder="1"/>
    <xf numFmtId="43" fontId="2" fillId="0" borderId="1" xfId="1" applyNumberFormat="1" applyFont="1" applyBorder="1"/>
    <xf numFmtId="164" fontId="2" fillId="0" borderId="1" xfId="0" applyNumberFormat="1" applyFont="1" applyBorder="1"/>
    <xf numFmtId="165" fontId="2" fillId="0" borderId="0" xfId="0" applyNumberFormat="1" applyFont="1" applyBorder="1"/>
    <xf numFmtId="164" fontId="2" fillId="0" borderId="0" xfId="0" applyNumberFormat="1" applyFont="1" applyBorder="1"/>
    <xf numFmtId="43" fontId="2" fillId="5" borderId="1" xfId="1" applyNumberFormat="1" applyFont="1" applyFill="1" applyBorder="1"/>
    <xf numFmtId="0" fontId="2" fillId="5" borderId="1" xfId="0" applyFont="1" applyFill="1" applyBorder="1" applyAlignment="1">
      <alignment wrapText="1"/>
    </xf>
    <xf numFmtId="164" fontId="2" fillId="0" borderId="1" xfId="0" applyNumberFormat="1" applyFont="1" applyBorder="1" applyAlignment="1">
      <alignment wrapText="1"/>
    </xf>
    <xf numFmtId="0" fontId="2" fillId="5" borderId="1" xfId="0" applyFont="1" applyFill="1" applyBorder="1"/>
    <xf numFmtId="43" fontId="2" fillId="0" borderId="1" xfId="0" applyNumberFormat="1" applyFont="1" applyBorder="1" applyAlignment="1">
      <alignment wrapText="1"/>
    </xf>
    <xf numFmtId="0" fontId="8" fillId="0" borderId="14" xfId="0" applyFont="1" applyFill="1" applyBorder="1"/>
    <xf numFmtId="0" fontId="8" fillId="0" borderId="0" xfId="0" applyFont="1" applyFill="1" applyBorder="1"/>
    <xf numFmtId="0" fontId="8" fillId="0" borderId="15" xfId="0" applyFont="1" applyFill="1" applyBorder="1"/>
    <xf numFmtId="0" fontId="8" fillId="0" borderId="0" xfId="0" applyFont="1" applyFill="1"/>
    <xf numFmtId="5" fontId="2" fillId="0" borderId="0" xfId="0" applyNumberFormat="1" applyFont="1"/>
    <xf numFmtId="167" fontId="2" fillId="0" borderId="0" xfId="0" applyNumberFormat="1" applyFont="1" applyFill="1"/>
    <xf numFmtId="0" fontId="2" fillId="0" borderId="19" xfId="0" applyFont="1" applyBorder="1" applyAlignment="1">
      <alignment horizontal="centerContinuous" wrapText="1"/>
    </xf>
    <xf numFmtId="0" fontId="2" fillId="4" borderId="19" xfId="0" applyFont="1" applyFill="1" applyBorder="1" applyAlignment="1">
      <alignment horizontal="centerContinuous" wrapText="1"/>
    </xf>
    <xf numFmtId="0" fontId="3"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horizontal="center" wrapText="1"/>
    </xf>
    <xf numFmtId="43" fontId="2" fillId="0" borderId="1" xfId="0" applyNumberFormat="1" applyFont="1" applyBorder="1"/>
    <xf numFmtId="167" fontId="2" fillId="0" borderId="1" xfId="0" applyNumberFormat="1" applyFont="1" applyBorder="1"/>
    <xf numFmtId="164" fontId="2" fillId="0" borderId="1" xfId="1" applyNumberFormat="1" applyFont="1" applyBorder="1" applyAlignment="1">
      <alignment wrapText="1"/>
    </xf>
    <xf numFmtId="9" fontId="2" fillId="0" borderId="1" xfId="2" applyFont="1" applyBorder="1"/>
    <xf numFmtId="172" fontId="2" fillId="0" borderId="1" xfId="1" applyNumberFormat="1" applyFont="1" applyBorder="1"/>
    <xf numFmtId="9" fontId="2" fillId="0" borderId="1" xfId="2" applyNumberFormat="1" applyFont="1" applyBorder="1" applyAlignment="1">
      <alignment wrapText="1"/>
    </xf>
    <xf numFmtId="9" fontId="2" fillId="0" borderId="1" xfId="2" applyNumberFormat="1" applyFont="1" applyBorder="1"/>
    <xf numFmtId="167" fontId="2" fillId="0" borderId="1" xfId="0" applyNumberFormat="1" applyFont="1" applyFill="1" applyBorder="1"/>
    <xf numFmtId="164" fontId="2" fillId="0" borderId="1" xfId="0" applyNumberFormat="1" applyFont="1" applyFill="1" applyBorder="1"/>
    <xf numFmtId="164" fontId="2" fillId="0" borderId="1" xfId="1" applyNumberFormat="1" applyFont="1" applyFill="1" applyBorder="1"/>
    <xf numFmtId="164" fontId="2" fillId="0" borderId="1" xfId="0" applyNumberFormat="1" applyFont="1" applyFill="1" applyBorder="1" applyAlignment="1">
      <alignment wrapText="1"/>
    </xf>
    <xf numFmtId="164" fontId="2" fillId="0" borderId="1" xfId="1" applyNumberFormat="1" applyFont="1" applyFill="1" applyBorder="1" applyAlignment="1">
      <alignment wrapText="1"/>
    </xf>
    <xf numFmtId="169" fontId="2" fillId="0" borderId="0" xfId="3" applyNumberFormat="1" applyFont="1" applyFill="1"/>
    <xf numFmtId="0" fontId="2" fillId="0" borderId="1" xfId="0" applyFont="1" applyBorder="1" applyAlignment="1"/>
    <xf numFmtId="164" fontId="2" fillId="0" borderId="1" xfId="1" applyNumberFormat="1" applyFont="1" applyBorder="1" applyAlignment="1"/>
    <xf numFmtId="0" fontId="2" fillId="0" borderId="0" xfId="0" applyFont="1" applyAlignment="1"/>
    <xf numFmtId="0" fontId="5" fillId="0" borderId="0"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sites/ra/ra/Proceedings%202020/EB-2020-0030%20-%20HONI%20Dx%20Rates%202021%20Annual%20Update/Working%20Folder/Account%201595%20BILLED%20from%20Bonnie%20Li%20v2%20IR-302-GL275253-Jan2015-Dec2019_B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20Pric/EB-2013-0416_UPDATE/2015/Post%20Decision/VA%20Rider_2015_Post%20Decision_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st%20Pric/EB-2013-0416_UPDATE/2016/Post%20Decision/Draft_Rate_Order/DRO_Seas%20Status%20Quo/DRO_VA%20Rider_2016_Seas%20Status%20Quo_22Dec2015_DECI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st%20Pric/EB-2013-0416_UPDATE/2017/Post%20Decision/Seasonal_Status%20Quo/VA%20Rider_2017_Seas%20Status%20Quo_Nov2016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R-302_275253"/>
    </sheetNames>
    <sheetDataSet>
      <sheetData sheetId="0">
        <row r="55">
          <cell r="A55" t="str">
            <v>Dgen</v>
          </cell>
          <cell r="B55" t="str">
            <v>DISTRIBUTED GENERATION</v>
          </cell>
          <cell r="C55">
            <v>-27734.058851540449</v>
          </cell>
          <cell r="D55">
            <v>-30866.349249584939</v>
          </cell>
          <cell r="E55">
            <v>-28038.722742559716</v>
          </cell>
          <cell r="F55">
            <v>474.63621472527302</v>
          </cell>
          <cell r="G55">
            <v>-7.0000000000000007E-2</v>
          </cell>
          <cell r="H55">
            <v>-86164.564628959837</v>
          </cell>
          <cell r="J55">
            <v>-21305.251359933776</v>
          </cell>
          <cell r="K55">
            <v>-23016.439633465769</v>
          </cell>
          <cell r="L55">
            <v>-23751.553619014459</v>
          </cell>
          <cell r="N55">
            <v>-18091.320016545826</v>
          </cell>
          <cell r="P55">
            <v>-1.5E-3</v>
          </cell>
          <cell r="Q55">
            <v>-1E-3</v>
          </cell>
          <cell r="R55">
            <v>-1E-3</v>
          </cell>
          <cell r="S55">
            <v>-1E-3</v>
          </cell>
          <cell r="T55">
            <v>-1E-3</v>
          </cell>
          <cell r="U55" t="str">
            <v>$/kWh</v>
          </cell>
          <cell r="W55">
            <v>18489372.567693632</v>
          </cell>
          <cell r="X55">
            <v>30866349.249584939</v>
          </cell>
          <cell r="Y55">
            <v>28038722.742559716</v>
          </cell>
          <cell r="Z55">
            <v>-474636.21472527302</v>
          </cell>
          <cell r="AA55">
            <v>70</v>
          </cell>
          <cell r="AB55">
            <v>27564156.527834442</v>
          </cell>
        </row>
        <row r="56">
          <cell r="A56" t="str">
            <v>GSD</v>
          </cell>
          <cell r="B56" t="str">
            <v>GSD</v>
          </cell>
          <cell r="C56">
            <v>-2032401.9802395219</v>
          </cell>
          <cell r="D56">
            <v>-2334138.9930217699</v>
          </cell>
          <cell r="E56">
            <v>-2305953.5623375759</v>
          </cell>
          <cell r="F56">
            <v>30101.543529828021</v>
          </cell>
          <cell r="G56">
            <v>-15.62</v>
          </cell>
          <cell r="H56">
            <v>-6642408.6120690405</v>
          </cell>
          <cell r="J56">
            <v>-2176088.035511605</v>
          </cell>
          <cell r="K56">
            <v>-2188642.076879893</v>
          </cell>
          <cell r="L56">
            <v>-2197058.9542126586</v>
          </cell>
          <cell r="N56">
            <v>-80619.54546488449</v>
          </cell>
          <cell r="P56">
            <v>-1.5E-3</v>
          </cell>
          <cell r="Q56">
            <v>-1E-3</v>
          </cell>
          <cell r="R56">
            <v>-1E-3</v>
          </cell>
          <cell r="S56">
            <v>-1E-3</v>
          </cell>
          <cell r="T56">
            <v>-1E-3</v>
          </cell>
          <cell r="U56" t="str">
            <v>$/kWh</v>
          </cell>
          <cell r="W56">
            <v>1354934653.4930146</v>
          </cell>
          <cell r="X56">
            <v>2334138993.02177</v>
          </cell>
          <cell r="Y56">
            <v>2305953562.3375759</v>
          </cell>
          <cell r="Z56">
            <v>-30101543.529828019</v>
          </cell>
          <cell r="AA56">
            <v>15619.999999999998</v>
          </cell>
          <cell r="AB56">
            <v>2275867638.8077478</v>
          </cell>
        </row>
        <row r="57">
          <cell r="A57" t="str">
            <v>GSE</v>
          </cell>
          <cell r="B57" t="str">
            <v>GSE - METERED</v>
          </cell>
          <cell r="C57">
            <v>-371518.05284807994</v>
          </cell>
          <cell r="D57">
            <v>-506136.95778664295</v>
          </cell>
          <cell r="E57">
            <v>-472754.21430146141</v>
          </cell>
          <cell r="F57">
            <v>7639.4784339679463</v>
          </cell>
          <cell r="G57">
            <v>-131.13</v>
          </cell>
          <cell r="H57">
            <v>-1342900.8765022161</v>
          </cell>
          <cell r="J57">
            <v>-447886.71624881687</v>
          </cell>
          <cell r="K57">
            <v>-446530.42061945022</v>
          </cell>
          <cell r="L57">
            <v>-444536.66166513955</v>
          </cell>
          <cell r="N57">
            <v>-3947.0779688095208</v>
          </cell>
          <cell r="P57">
            <v>-1.5E-3</v>
          </cell>
          <cell r="Q57">
            <v>-1E-3</v>
          </cell>
          <cell r="R57">
            <v>-1E-3</v>
          </cell>
          <cell r="S57">
            <v>-1E-3</v>
          </cell>
          <cell r="T57">
            <v>-1E-3</v>
          </cell>
          <cell r="U57" t="str">
            <v>$/kWh</v>
          </cell>
          <cell r="W57">
            <v>247678701.89871997</v>
          </cell>
          <cell r="X57">
            <v>506136957.78664291</v>
          </cell>
          <cell r="Y57">
            <v>472754214.3014614</v>
          </cell>
          <cell r="Z57">
            <v>-7639478.4339679461</v>
          </cell>
          <cell r="AA57">
            <v>131130</v>
          </cell>
          <cell r="AB57">
            <v>465245865.86749345</v>
          </cell>
        </row>
        <row r="58">
          <cell r="A58" t="str">
            <v>USL</v>
          </cell>
          <cell r="B58" t="str">
            <v>GSE - UNMETERED</v>
          </cell>
          <cell r="C58">
            <v>-1725.5588397472627</v>
          </cell>
          <cell r="D58">
            <v>-2049.1129908688404</v>
          </cell>
          <cell r="E58">
            <v>-1857.9858893513233</v>
          </cell>
          <cell r="F58">
            <v>37.854221744826873</v>
          </cell>
          <cell r="G58">
            <v>0</v>
          </cell>
          <cell r="H58">
            <v>-5594.8034982226</v>
          </cell>
          <cell r="J58">
            <v>-1499.139305893915</v>
          </cell>
          <cell r="K58">
            <v>-1523.2767029069328</v>
          </cell>
          <cell r="L58">
            <v>-1545.6782181182277</v>
          </cell>
          <cell r="N58">
            <v>-1026.7092713035245</v>
          </cell>
          <cell r="P58">
            <v>-1.5E-3</v>
          </cell>
          <cell r="Q58">
            <v>-1E-3</v>
          </cell>
          <cell r="R58">
            <v>-1E-3</v>
          </cell>
          <cell r="S58">
            <v>-1E-3</v>
          </cell>
          <cell r="T58">
            <v>-1E-3</v>
          </cell>
          <cell r="U58" t="str">
            <v>$/kWh</v>
          </cell>
          <cell r="W58">
            <v>1150372.5598315084</v>
          </cell>
          <cell r="X58">
            <v>2049112.9908688404</v>
          </cell>
          <cell r="Y58">
            <v>1857985.8893513232</v>
          </cell>
          <cell r="Z58">
            <v>-37854.221744826871</v>
          </cell>
          <cell r="AA58">
            <v>0</v>
          </cell>
          <cell r="AB58">
            <v>1820131.6676064965</v>
          </cell>
        </row>
        <row r="59">
          <cell r="A59" t="str">
            <v>R1</v>
          </cell>
          <cell r="B59" t="str">
            <v>R1</v>
          </cell>
          <cell r="C59">
            <v>-228401.53870701743</v>
          </cell>
          <cell r="D59">
            <v>-258084.54456109414</v>
          </cell>
          <cell r="E59">
            <v>-196728.00017570073</v>
          </cell>
          <cell r="F59">
            <v>2982.6093073208103</v>
          </cell>
          <cell r="G59">
            <v>0</v>
          </cell>
          <cell r="H59">
            <v>-680231.47413649154</v>
          </cell>
          <cell r="J59">
            <v>-545412.04220663104</v>
          </cell>
          <cell r="K59">
            <v>-547210.19039853278</v>
          </cell>
          <cell r="L59">
            <v>-550556.82377803815</v>
          </cell>
          <cell r="N59">
            <v>962947.58224671055</v>
          </cell>
          <cell r="P59">
            <v>-1.5E-3</v>
          </cell>
          <cell r="Q59">
            <v>-1E-3</v>
          </cell>
          <cell r="R59">
            <v>-1E-3</v>
          </cell>
          <cell r="S59">
            <v>-1E-3</v>
          </cell>
          <cell r="T59">
            <v>-1E-3</v>
          </cell>
          <cell r="U59" t="str">
            <v>$/kWh</v>
          </cell>
          <cell r="W59">
            <v>152267692.47134495</v>
          </cell>
          <cell r="X59">
            <v>258084544.56109414</v>
          </cell>
          <cell r="Y59">
            <v>196728000.17570072</v>
          </cell>
          <cell r="Z59">
            <v>-2982609.3073208104</v>
          </cell>
          <cell r="AA59">
            <v>0</v>
          </cell>
          <cell r="AB59">
            <v>193745390.86837992</v>
          </cell>
        </row>
        <row r="60">
          <cell r="A60" t="str">
            <v>R2</v>
          </cell>
          <cell r="B60" t="str">
            <v>R2</v>
          </cell>
          <cell r="C60">
            <v>-296279.93799530598</v>
          </cell>
          <cell r="D60">
            <v>-331097.25274247321</v>
          </cell>
          <cell r="E60">
            <v>-285887.54676220578</v>
          </cell>
          <cell r="F60">
            <v>4456.0824088201989</v>
          </cell>
          <cell r="G60">
            <v>-173.78</v>
          </cell>
          <cell r="H60">
            <v>-908982.43509116489</v>
          </cell>
          <cell r="J60">
            <v>-522737.86237649346</v>
          </cell>
          <cell r="K60">
            <v>-517755.49142157013</v>
          </cell>
          <cell r="L60">
            <v>-514506.52575938537</v>
          </cell>
          <cell r="N60">
            <v>646017.44446628401</v>
          </cell>
          <cell r="P60">
            <v>-1.5E-3</v>
          </cell>
          <cell r="Q60">
            <v>-1E-3</v>
          </cell>
          <cell r="R60">
            <v>-1E-3</v>
          </cell>
          <cell r="S60">
            <v>-1E-3</v>
          </cell>
          <cell r="T60">
            <v>-1E-3</v>
          </cell>
          <cell r="U60" t="str">
            <v>$/kWh</v>
          </cell>
          <cell r="W60">
            <v>197519958.66353732</v>
          </cell>
          <cell r="X60">
            <v>331097252.74247319</v>
          </cell>
          <cell r="Y60">
            <v>285887546.76220578</v>
          </cell>
          <cell r="Z60">
            <v>-4456082.4088201988</v>
          </cell>
          <cell r="AA60">
            <v>173780</v>
          </cell>
          <cell r="AB60">
            <v>281605244.35338557</v>
          </cell>
        </row>
        <row r="61">
          <cell r="A61" t="str">
            <v>SEASONAL</v>
          </cell>
          <cell r="B61" t="str">
            <v>SEASONAL</v>
          </cell>
          <cell r="C61">
            <v>-7960.9279734740376</v>
          </cell>
          <cell r="D61">
            <v>-8795.5120122902008</v>
          </cell>
          <cell r="E61">
            <v>-7000.735645857847</v>
          </cell>
          <cell r="F61">
            <v>151.63537089424426</v>
          </cell>
          <cell r="G61">
            <v>0</v>
          </cell>
          <cell r="H61">
            <v>-23605.540260727841</v>
          </cell>
          <cell r="J61">
            <v>-16889.252884133664</v>
          </cell>
          <cell r="K61">
            <v>-16536.123647113585</v>
          </cell>
          <cell r="L61">
            <v>-16395.269188859922</v>
          </cell>
          <cell r="N61">
            <v>26215.105459379334</v>
          </cell>
          <cell r="P61">
            <v>-1.5E-3</v>
          </cell>
          <cell r="Q61">
            <v>-1E-3</v>
          </cell>
          <cell r="R61">
            <v>-1E-3</v>
          </cell>
          <cell r="S61">
            <v>-1E-3</v>
          </cell>
          <cell r="T61">
            <v>-1E-3</v>
          </cell>
          <cell r="U61" t="str">
            <v>$/kWh</v>
          </cell>
          <cell r="W61">
            <v>5307285.3156493586</v>
          </cell>
          <cell r="X61">
            <v>8795512.0122902002</v>
          </cell>
          <cell r="Y61">
            <v>7000735.6458578464</v>
          </cell>
          <cell r="Z61">
            <v>-151635.37089424426</v>
          </cell>
          <cell r="AA61">
            <v>0</v>
          </cell>
          <cell r="AB61">
            <v>6849100.2749636024</v>
          </cell>
        </row>
        <row r="62">
          <cell r="A62" t="str">
            <v>Sen Lgt</v>
          </cell>
          <cell r="B62" t="str">
            <v>SENTINEL LIGHTS</v>
          </cell>
          <cell r="C62">
            <v>-1577.7108592010777</v>
          </cell>
          <cell r="D62">
            <v>-1668.2477423291566</v>
          </cell>
          <cell r="E62">
            <v>-1323.5430895830295</v>
          </cell>
          <cell r="F62">
            <v>17.800160793931923</v>
          </cell>
          <cell r="G62">
            <v>0</v>
          </cell>
          <cell r="H62">
            <v>-4551.7015303193321</v>
          </cell>
          <cell r="J62">
            <v>-3413.3806981175876</v>
          </cell>
          <cell r="K62">
            <v>-3424.7859433199551</v>
          </cell>
          <cell r="L62">
            <v>-3399.6239408730435</v>
          </cell>
          <cell r="N62">
            <v>5686.0890519912546</v>
          </cell>
          <cell r="P62">
            <v>-1.5E-3</v>
          </cell>
          <cell r="Q62">
            <v>-1E-3</v>
          </cell>
          <cell r="R62">
            <v>-1E-3</v>
          </cell>
          <cell r="S62">
            <v>-1E-3</v>
          </cell>
          <cell r="T62">
            <v>-1E-3</v>
          </cell>
          <cell r="U62" t="str">
            <v>$/kWh</v>
          </cell>
          <cell r="W62">
            <v>1051807.2394673852</v>
          </cell>
          <cell r="X62">
            <v>1668247.7423291565</v>
          </cell>
          <cell r="Y62">
            <v>1323543.0895830295</v>
          </cell>
          <cell r="Z62">
            <v>-17800.160793931922</v>
          </cell>
          <cell r="AA62">
            <v>0</v>
          </cell>
          <cell r="AB62">
            <v>1305742.9287890976</v>
          </cell>
        </row>
        <row r="63">
          <cell r="A63" t="str">
            <v>St Lgt</v>
          </cell>
          <cell r="B63" t="str">
            <v>STREET LIGHTS</v>
          </cell>
          <cell r="C63">
            <v>-53448.076670273207</v>
          </cell>
          <cell r="D63">
            <v>-55752.332599891437</v>
          </cell>
          <cell r="E63">
            <v>-48377.297002170271</v>
          </cell>
          <cell r="F63">
            <v>910.39484913862998</v>
          </cell>
          <cell r="G63">
            <v>0</v>
          </cell>
          <cell r="H63">
            <v>-156667.31142319628</v>
          </cell>
          <cell r="J63">
            <v>-60221.096414525266</v>
          </cell>
          <cell r="K63">
            <v>-60422.315215387964</v>
          </cell>
          <cell r="L63">
            <v>-59978.390699094307</v>
          </cell>
          <cell r="N63">
            <v>23954.490905811253</v>
          </cell>
          <cell r="P63">
            <v>-1.5E-3</v>
          </cell>
          <cell r="Q63">
            <v>-1E-3</v>
          </cell>
          <cell r="R63">
            <v>-1E-3</v>
          </cell>
          <cell r="S63">
            <v>-1E-3</v>
          </cell>
          <cell r="T63">
            <v>-1E-3</v>
          </cell>
          <cell r="U63" t="str">
            <v>$/kWh</v>
          </cell>
          <cell r="W63">
            <v>35632051.113515474</v>
          </cell>
          <cell r="X63">
            <v>55752332.599891439</v>
          </cell>
          <cell r="Y63">
            <v>48377297.002170272</v>
          </cell>
          <cell r="Z63">
            <v>-910394.84913862997</v>
          </cell>
          <cell r="AA63">
            <v>0</v>
          </cell>
          <cell r="AB63">
            <v>47466902.15303164</v>
          </cell>
        </row>
        <row r="64">
          <cell r="A64" t="str">
            <v>ST</v>
          </cell>
          <cell r="B64" t="str">
            <v>SUB TRANSMISSION</v>
          </cell>
          <cell r="C64">
            <v>-2357700.7726166956</v>
          </cell>
          <cell r="D64">
            <v>-2107480.6950901304</v>
          </cell>
          <cell r="E64">
            <v>-1823425.2112540554</v>
          </cell>
          <cell r="F64">
            <v>24147.957300174719</v>
          </cell>
          <cell r="G64">
            <v>-1.1499999999999999</v>
          </cell>
          <cell r="H64">
            <v>-6264459.8716607066</v>
          </cell>
          <cell r="J64">
            <v>-2386407.7293818174</v>
          </cell>
          <cell r="K64">
            <v>-2376459.0396156986</v>
          </cell>
          <cell r="L64">
            <v>-2370244.6572236265</v>
          </cell>
          <cell r="N64">
            <v>868651.55456043687</v>
          </cell>
          <cell r="P64">
            <v>-1.5E-3</v>
          </cell>
          <cell r="Q64">
            <v>-1E-3</v>
          </cell>
          <cell r="R64">
            <v>-1E-3</v>
          </cell>
          <cell r="S64">
            <v>-1E-3</v>
          </cell>
          <cell r="T64">
            <v>-1E-3</v>
          </cell>
          <cell r="U64" t="str">
            <v>$/kWh</v>
          </cell>
          <cell r="W64">
            <v>1571800515.0777969</v>
          </cell>
          <cell r="X64">
            <v>2107480695.0901303</v>
          </cell>
          <cell r="Y64">
            <v>1823425211.2540553</v>
          </cell>
          <cell r="Z64">
            <v>-24147957.300174721</v>
          </cell>
          <cell r="AA64">
            <v>1150</v>
          </cell>
          <cell r="AB64">
            <v>1799278403.9538805</v>
          </cell>
        </row>
        <row r="65">
          <cell r="A65" t="str">
            <v>UGD</v>
          </cell>
          <cell r="B65" t="str">
            <v>UGD</v>
          </cell>
          <cell r="C65">
            <v>-834321.45873358217</v>
          </cell>
          <cell r="D65">
            <v>-962873.39907997369</v>
          </cell>
          <cell r="E65">
            <v>-914023.02845101221</v>
          </cell>
          <cell r="F65">
            <v>11912.083324773877</v>
          </cell>
          <cell r="G65">
            <v>-95.26</v>
          </cell>
          <cell r="H65">
            <v>-2699401.0629397943</v>
          </cell>
          <cell r="J65">
            <v>-997361.53817222302</v>
          </cell>
          <cell r="K65">
            <v>-997957.65538883861</v>
          </cell>
          <cell r="L65">
            <v>-997023.65484371909</v>
          </cell>
          <cell r="N65">
            <v>292941.78546498669</v>
          </cell>
          <cell r="P65">
            <v>-1.5E-3</v>
          </cell>
          <cell r="Q65">
            <v>-1E-3</v>
          </cell>
          <cell r="R65">
            <v>-1E-3</v>
          </cell>
          <cell r="S65">
            <v>-1E-3</v>
          </cell>
          <cell r="T65">
            <v>-1E-3</v>
          </cell>
          <cell r="U65" t="str">
            <v>$/kWh</v>
          </cell>
          <cell r="W65">
            <v>556214305.82238805</v>
          </cell>
          <cell r="X65">
            <v>962873399.0799737</v>
          </cell>
          <cell r="Y65">
            <v>914023028.45101225</v>
          </cell>
          <cell r="Z65">
            <v>-11912083.324773878</v>
          </cell>
          <cell r="AA65">
            <v>95260</v>
          </cell>
          <cell r="AB65">
            <v>902206205.12623835</v>
          </cell>
        </row>
        <row r="66">
          <cell r="A66" t="str">
            <v>UGE</v>
          </cell>
          <cell r="B66" t="str">
            <v>UGE</v>
          </cell>
          <cell r="C66">
            <v>-107399.38156659236</v>
          </cell>
          <cell r="D66">
            <v>-140751.84199971365</v>
          </cell>
          <cell r="E66">
            <v>-131627.07495434504</v>
          </cell>
          <cell r="F66">
            <v>2169.7901279857724</v>
          </cell>
          <cell r="G66">
            <v>0</v>
          </cell>
          <cell r="H66">
            <v>-377608.5083926653</v>
          </cell>
          <cell r="J66">
            <v>-136788.14612830771</v>
          </cell>
          <cell r="K66">
            <v>-136773.35916066621</v>
          </cell>
          <cell r="L66">
            <v>-136559.28910720526</v>
          </cell>
          <cell r="N66">
            <v>32512.286003513844</v>
          </cell>
          <cell r="P66">
            <v>-1.5E-3</v>
          </cell>
          <cell r="Q66">
            <v>-1E-3</v>
          </cell>
          <cell r="R66">
            <v>-1E-3</v>
          </cell>
          <cell r="S66">
            <v>-1E-3</v>
          </cell>
          <cell r="T66">
            <v>-1E-3</v>
          </cell>
          <cell r="U66" t="str">
            <v>$/kWh</v>
          </cell>
          <cell r="W66">
            <v>71599587.711061567</v>
          </cell>
          <cell r="X66">
            <v>140751841.99971366</v>
          </cell>
          <cell r="Y66">
            <v>131627074.95434503</v>
          </cell>
          <cell r="Z66">
            <v>-2169790.1279857722</v>
          </cell>
          <cell r="AA66">
            <v>0</v>
          </cell>
          <cell r="AB66">
            <v>129457284.82635926</v>
          </cell>
        </row>
        <row r="67">
          <cell r="A67" t="str">
            <v>UR</v>
          </cell>
          <cell r="B67" t="str">
            <v>UR</v>
          </cell>
          <cell r="C67">
            <v>-128268.50084048907</v>
          </cell>
          <cell r="D67">
            <v>-135646.84077918177</v>
          </cell>
          <cell r="E67">
            <v>-100767.07607270157</v>
          </cell>
          <cell r="F67">
            <v>1442.2449695196246</v>
          </cell>
          <cell r="G67">
            <v>0</v>
          </cell>
          <cell r="H67">
            <v>-363240.17272285285</v>
          </cell>
          <cell r="J67">
            <v>-267366.12941475486</v>
          </cell>
          <cell r="K67">
            <v>-267125.14547641075</v>
          </cell>
          <cell r="L67">
            <v>-267819.23784752242</v>
          </cell>
          <cell r="N67">
            <v>439070.34001583507</v>
          </cell>
          <cell r="P67">
            <v>-1.5E-3</v>
          </cell>
          <cell r="Q67">
            <v>-1E-3</v>
          </cell>
          <cell r="R67">
            <v>-1E-3</v>
          </cell>
          <cell r="S67">
            <v>-1E-3</v>
          </cell>
          <cell r="T67">
            <v>-1E-3</v>
          </cell>
          <cell r="U67" t="str">
            <v>$/kWh</v>
          </cell>
          <cell r="W67">
            <v>85512333.893659383</v>
          </cell>
          <cell r="X67">
            <v>135646840.77918178</v>
          </cell>
          <cell r="Y67">
            <v>100767076.07270157</v>
          </cell>
          <cell r="Z67">
            <v>-1442244.9695196247</v>
          </cell>
          <cell r="AA67">
            <v>0</v>
          </cell>
          <cell r="AB67">
            <v>99324831.103181943</v>
          </cell>
        </row>
        <row r="68">
          <cell r="H68">
            <v>-19555816.934856359</v>
          </cell>
        </row>
        <row r="71">
          <cell r="A71" t="str">
            <v>Dgen</v>
          </cell>
          <cell r="B71" t="str">
            <v>DISTRIBUTED GENERATION</v>
          </cell>
          <cell r="C71">
            <v>28364.865131999013</v>
          </cell>
          <cell r="D71">
            <v>29424.238114337593</v>
          </cell>
          <cell r="E71">
            <v>32501.013966740127</v>
          </cell>
          <cell r="F71">
            <v>-394.18516349587026</v>
          </cell>
          <cell r="G71">
            <v>1</v>
          </cell>
          <cell r="H71">
            <v>89896.932049580864</v>
          </cell>
          <cell r="J71">
            <v>37366.690443977401</v>
          </cell>
          <cell r="K71">
            <v>35330.164427619864</v>
          </cell>
          <cell r="L71">
            <v>49751.023209974679</v>
          </cell>
          <cell r="N71">
            <v>-32550.946031991072</v>
          </cell>
          <cell r="P71">
            <v>4.62</v>
          </cell>
          <cell r="Q71">
            <v>2.2799999999999998</v>
          </cell>
          <cell r="R71">
            <v>2.72</v>
          </cell>
          <cell r="S71">
            <v>2.72</v>
          </cell>
          <cell r="T71">
            <v>2.72</v>
          </cell>
          <cell r="U71" t="str">
            <v>$/mth</v>
          </cell>
          <cell r="W71">
            <v>767.44764967529795</v>
          </cell>
          <cell r="X71">
            <v>1075.4472995006431</v>
          </cell>
          <cell r="Y71">
            <v>995.74184947120477</v>
          </cell>
          <cell r="Z71">
            <v>-12.076751332594064</v>
          </cell>
          <cell r="AA71">
            <v>3.0637254901960783E-2</v>
          </cell>
          <cell r="AB71">
            <v>983.69573539351268</v>
          </cell>
        </row>
        <row r="72">
          <cell r="A72" t="str">
            <v>GSD</v>
          </cell>
          <cell r="B72" t="str">
            <v>GSD</v>
          </cell>
          <cell r="C72">
            <v>86406.976563414137</v>
          </cell>
          <cell r="D72">
            <v>89208.53041607629</v>
          </cell>
          <cell r="E72">
            <v>85698.252472734166</v>
          </cell>
          <cell r="F72">
            <v>-1038.2820230029902</v>
          </cell>
          <cell r="G72">
            <v>-4.4899999999999984</v>
          </cell>
          <cell r="H72">
            <v>260270.98742922163</v>
          </cell>
          <cell r="J72">
            <v>91953.936392710937</v>
          </cell>
          <cell r="K72">
            <v>97790.262360506196</v>
          </cell>
          <cell r="L72">
            <v>103193.63557062701</v>
          </cell>
          <cell r="N72">
            <v>-32666.846894622489</v>
          </cell>
          <cell r="P72">
            <v>1.88</v>
          </cell>
          <cell r="Q72">
            <v>1.32</v>
          </cell>
          <cell r="R72">
            <v>1.37</v>
          </cell>
          <cell r="S72">
            <v>1.37</v>
          </cell>
          <cell r="T72">
            <v>1.37</v>
          </cell>
          <cell r="U72" t="str">
            <v>$/mth</v>
          </cell>
          <cell r="W72">
            <v>5745.1447183121109</v>
          </cell>
          <cell r="X72">
            <v>5631.8516676815843</v>
          </cell>
          <cell r="Y72">
            <v>5212.7890798500093</v>
          </cell>
          <cell r="Z72">
            <v>-63.155840815267034</v>
          </cell>
          <cell r="AA72">
            <v>-0.27311435523114341</v>
          </cell>
          <cell r="AB72">
            <v>5149.3601246795115</v>
          </cell>
        </row>
        <row r="73">
          <cell r="A73" t="str">
            <v>GSE</v>
          </cell>
          <cell r="B73" t="str">
            <v>GSE - METERED</v>
          </cell>
          <cell r="C73">
            <v>774458.70628849871</v>
          </cell>
          <cell r="D73">
            <v>819454.85641020082</v>
          </cell>
          <cell r="E73">
            <v>778200.88871609222</v>
          </cell>
          <cell r="F73">
            <v>-7172.1626860477263</v>
          </cell>
          <cell r="G73">
            <v>-203.26999999999998</v>
          </cell>
          <cell r="H73">
            <v>2364739.0187287442</v>
          </cell>
          <cell r="J73">
            <v>827793.22553745634</v>
          </cell>
          <cell r="K73">
            <v>824919.4455743609</v>
          </cell>
          <cell r="L73">
            <v>818609.42586858489</v>
          </cell>
          <cell r="N73">
            <v>-106583.07825165801</v>
          </cell>
          <cell r="P73">
            <v>1.1100000000000001</v>
          </cell>
          <cell r="Q73">
            <v>0.73</v>
          </cell>
          <cell r="R73">
            <v>0.73</v>
          </cell>
          <cell r="S73">
            <v>0.73</v>
          </cell>
          <cell r="T73">
            <v>0.73</v>
          </cell>
          <cell r="U73" t="str">
            <v>$/mth</v>
          </cell>
          <cell r="W73">
            <v>87213.818275731828</v>
          </cell>
          <cell r="X73">
            <v>93545.074932671327</v>
          </cell>
          <cell r="Y73">
            <v>88835.717889964872</v>
          </cell>
          <cell r="Z73">
            <v>-818.74003265384999</v>
          </cell>
          <cell r="AA73">
            <v>-23.204337899543376</v>
          </cell>
          <cell r="AB73">
            <v>87993.773519411479</v>
          </cell>
        </row>
        <row r="74">
          <cell r="A74" t="str">
            <v>USL</v>
          </cell>
          <cell r="B74" t="str">
            <v>GSE - UNMETERED</v>
          </cell>
          <cell r="C74">
            <v>33994.552983528556</v>
          </cell>
          <cell r="D74">
            <v>39185.157723087614</v>
          </cell>
          <cell r="E74">
            <v>33935.599625165742</v>
          </cell>
          <cell r="F74">
            <v>-497.39872282857459</v>
          </cell>
          <cell r="G74">
            <v>0.94000000000000039</v>
          </cell>
          <cell r="H74">
            <v>106618.85160895335</v>
          </cell>
          <cell r="J74">
            <v>38467.376489659066</v>
          </cell>
          <cell r="K74">
            <v>36615.71535065947</v>
          </cell>
          <cell r="L74">
            <v>34831.525437382137</v>
          </cell>
          <cell r="N74">
            <v>-3295.7656687473209</v>
          </cell>
          <cell r="P74">
            <v>0.85</v>
          </cell>
          <cell r="Q74">
            <v>0.54</v>
          </cell>
          <cell r="R74">
            <v>0.51</v>
          </cell>
          <cell r="S74">
            <v>0.51</v>
          </cell>
          <cell r="T74">
            <v>0.51</v>
          </cell>
          <cell r="U74" t="str">
            <v>$/mth</v>
          </cell>
          <cell r="W74">
            <v>4999.1989681659643</v>
          </cell>
          <cell r="X74">
            <v>6047.0922412172231</v>
          </cell>
          <cell r="Y74">
            <v>5545.0326184911346</v>
          </cell>
          <cell r="Z74">
            <v>-81.274301115780162</v>
          </cell>
          <cell r="AA74">
            <v>0.15359477124183013</v>
          </cell>
          <cell r="AB74">
            <v>5463.9119121465965</v>
          </cell>
        </row>
        <row r="75">
          <cell r="A75" t="str">
            <v>R1</v>
          </cell>
          <cell r="B75" t="str">
            <v>R1</v>
          </cell>
          <cell r="C75">
            <v>4030184.8355690385</v>
          </cell>
          <cell r="D75">
            <v>4295717.1941372948</v>
          </cell>
          <cell r="E75">
            <v>4412858.0543797351</v>
          </cell>
          <cell r="F75">
            <v>-36268.342436056526</v>
          </cell>
          <cell r="G75">
            <v>363.08</v>
          </cell>
          <cell r="H75">
            <v>12702854.821650011</v>
          </cell>
          <cell r="J75">
            <v>3942785.7741453927</v>
          </cell>
          <cell r="K75">
            <v>4131222.2690664828</v>
          </cell>
          <cell r="L75">
            <v>4402863.9073363449</v>
          </cell>
          <cell r="N75">
            <v>225982.87110179104</v>
          </cell>
          <cell r="P75">
            <v>1.1399999999999999</v>
          </cell>
          <cell r="Q75">
            <v>0.78</v>
          </cell>
          <cell r="R75">
            <v>0.82</v>
          </cell>
          <cell r="S75">
            <v>0.82</v>
          </cell>
          <cell r="T75">
            <v>0.82</v>
          </cell>
          <cell r="U75" t="str">
            <v>$/mth</v>
          </cell>
          <cell r="W75">
            <v>441906.23197028937</v>
          </cell>
          <cell r="X75">
            <v>458944.14467278792</v>
          </cell>
          <cell r="Y75">
            <v>448461.18438818445</v>
          </cell>
          <cell r="Z75">
            <v>-3685.8071581358258</v>
          </cell>
          <cell r="AA75">
            <v>36.898373983739837</v>
          </cell>
          <cell r="AB75">
            <v>444812.27560403239</v>
          </cell>
        </row>
        <row r="76">
          <cell r="A76" t="str">
            <v>R2</v>
          </cell>
          <cell r="B76" t="str">
            <v>R2</v>
          </cell>
          <cell r="C76">
            <v>4889208.9674943686</v>
          </cell>
          <cell r="D76">
            <v>5216885.6192239672</v>
          </cell>
          <cell r="E76">
            <v>5403428.7638771264</v>
          </cell>
          <cell r="F76">
            <v>-43357.428496931621</v>
          </cell>
          <cell r="G76">
            <v>431.15</v>
          </cell>
          <cell r="H76">
            <v>15466597.072098533</v>
          </cell>
          <cell r="J76">
            <v>4866247.8305434603</v>
          </cell>
          <cell r="K76">
            <v>5054204.9244703427</v>
          </cell>
          <cell r="L76">
            <v>5459245.0099991383</v>
          </cell>
          <cell r="N76">
            <v>86899.307085590437</v>
          </cell>
          <cell r="P76">
            <v>1.85</v>
          </cell>
          <cell r="Q76">
            <v>1.27</v>
          </cell>
          <cell r="R76">
            <v>1.36</v>
          </cell>
          <cell r="S76">
            <v>1.36</v>
          </cell>
          <cell r="T76">
            <v>1.36</v>
          </cell>
          <cell r="U76" t="str">
            <v>$/mth</v>
          </cell>
          <cell r="W76">
            <v>330351.95726313302</v>
          </cell>
          <cell r="X76">
            <v>342315.32934540469</v>
          </cell>
          <cell r="Y76">
            <v>331092.44876698073</v>
          </cell>
          <cell r="Z76">
            <v>-2656.7051775080649</v>
          </cell>
          <cell r="AA76">
            <v>26.418504901960784</v>
          </cell>
          <cell r="AB76">
            <v>328462.16209437465</v>
          </cell>
        </row>
        <row r="77">
          <cell r="A77" t="str">
            <v>SEASONAL</v>
          </cell>
          <cell r="B77" t="str">
            <v>SEASONAL</v>
          </cell>
          <cell r="C77">
            <v>1250169.2331517043</v>
          </cell>
          <cell r="D77">
            <v>1536027.0594480895</v>
          </cell>
          <cell r="E77">
            <v>1460612.7130898479</v>
          </cell>
          <cell r="F77">
            <v>-26841.781098136416</v>
          </cell>
          <cell r="G77">
            <v>-452.24999999999989</v>
          </cell>
          <cell r="H77">
            <v>4219514.9745915048</v>
          </cell>
          <cell r="J77">
            <v>1431248.6249853552</v>
          </cell>
          <cell r="K77">
            <v>1480108.0240745731</v>
          </cell>
          <cell r="L77">
            <v>1566740.3971945364</v>
          </cell>
          <cell r="N77">
            <v>-258582.07166295964</v>
          </cell>
          <cell r="P77">
            <v>1.1599999999999999</v>
          </cell>
          <cell r="Q77">
            <v>0.8</v>
          </cell>
          <cell r="R77">
            <v>0.84</v>
          </cell>
          <cell r="S77">
            <v>0.84</v>
          </cell>
          <cell r="T77">
            <v>0.84</v>
          </cell>
          <cell r="U77" t="str">
            <v>$/mth</v>
          </cell>
          <cell r="W77">
            <v>134716.5121930716</v>
          </cell>
          <cell r="X77">
            <v>160002.81869250932</v>
          </cell>
          <cell r="Y77">
            <v>144902.05487002459</v>
          </cell>
          <cell r="Z77">
            <v>-2662.8751089421048</v>
          </cell>
          <cell r="AA77">
            <v>-44.866071428571416</v>
          </cell>
          <cell r="AB77">
            <v>142194.31368965391</v>
          </cell>
        </row>
        <row r="78">
          <cell r="A78" t="str">
            <v>Sen Lgt</v>
          </cell>
          <cell r="B78" t="str">
            <v>SENTINEL LIGHTS</v>
          </cell>
          <cell r="C78">
            <v>12982.209081861887</v>
          </cell>
          <cell r="D78">
            <v>12335.88948323675</v>
          </cell>
          <cell r="E78">
            <v>10919.908869579134</v>
          </cell>
          <cell r="F78">
            <v>-88.636664111431628</v>
          </cell>
          <cell r="G78">
            <v>-9.6799999999999979</v>
          </cell>
          <cell r="H78">
            <v>36139.69077056634</v>
          </cell>
          <cell r="J78">
            <v>18254.507533323391</v>
          </cell>
          <cell r="K78">
            <v>18999.961004371635</v>
          </cell>
          <cell r="L78">
            <v>19220.326761255659</v>
          </cell>
          <cell r="N78">
            <v>-20335.104528384341</v>
          </cell>
          <cell r="P78">
            <v>0.08</v>
          </cell>
          <cell r="Q78">
            <v>0.05</v>
          </cell>
          <cell r="R78">
            <v>0.05</v>
          </cell>
          <cell r="S78">
            <v>0.05</v>
          </cell>
          <cell r="T78">
            <v>0.05</v>
          </cell>
          <cell r="U78" t="str">
            <v>$/mth</v>
          </cell>
          <cell r="W78">
            <v>20284.701690409198</v>
          </cell>
          <cell r="X78">
            <v>20559.815805394581</v>
          </cell>
          <cell r="Y78">
            <v>18199.848115965222</v>
          </cell>
          <cell r="Z78">
            <v>-147.7277735190527</v>
          </cell>
          <cell r="AA78">
            <v>-16.133333333333329</v>
          </cell>
          <cell r="AB78">
            <v>18035.987009112836</v>
          </cell>
        </row>
        <row r="79">
          <cell r="A79" t="str">
            <v>St Lgt</v>
          </cell>
          <cell r="B79" t="str">
            <v>STREET LIGHTS</v>
          </cell>
          <cell r="C79">
            <v>3932.1670533202969</v>
          </cell>
          <cell r="D79">
            <v>4756.615425136376</v>
          </cell>
          <cell r="E79">
            <v>4656.3433587030213</v>
          </cell>
          <cell r="F79">
            <v>-67.580590723067758</v>
          </cell>
          <cell r="G79">
            <v>0.2</v>
          </cell>
          <cell r="H79">
            <v>13277.745246436627</v>
          </cell>
          <cell r="J79">
            <v>4282.2914607145813</v>
          </cell>
          <cell r="K79">
            <v>4460.8578973664153</v>
          </cell>
          <cell r="L79">
            <v>4518.8081792639432</v>
          </cell>
          <cell r="N79">
            <v>15.787709091686338</v>
          </cell>
          <cell r="P79">
            <v>0.11</v>
          </cell>
          <cell r="Q79">
            <v>0.08</v>
          </cell>
          <cell r="R79">
            <v>0.08</v>
          </cell>
          <cell r="S79">
            <v>0.08</v>
          </cell>
          <cell r="T79">
            <v>0.08</v>
          </cell>
          <cell r="U79" t="str">
            <v>$/mth</v>
          </cell>
          <cell r="W79">
            <v>4468.3716515003371</v>
          </cell>
          <cell r="X79">
            <v>4954.8077345170577</v>
          </cell>
          <cell r="Y79">
            <v>4850.357665315647</v>
          </cell>
          <cell r="Z79">
            <v>-70.396448669862238</v>
          </cell>
          <cell r="AA79">
            <v>0.20833333333333334</v>
          </cell>
          <cell r="AB79">
            <v>4780.1695499791176</v>
          </cell>
        </row>
        <row r="80">
          <cell r="A80" t="str">
            <v>ST</v>
          </cell>
          <cell r="B80" t="str">
            <v>SUB TRANSMISSION</v>
          </cell>
          <cell r="C80">
            <v>103732.30145144963</v>
          </cell>
          <cell r="D80">
            <v>119296.28990302674</v>
          </cell>
          <cell r="E80">
            <v>116334.9254612448</v>
          </cell>
          <cell r="F80">
            <v>-1449.2979818770964</v>
          </cell>
          <cell r="G80">
            <v>15.59</v>
          </cell>
          <cell r="H80">
            <v>337929.80883384409</v>
          </cell>
          <cell r="J80">
            <v>107560.54035592427</v>
          </cell>
          <cell r="K80">
            <v>113765.12302247279</v>
          </cell>
          <cell r="L80">
            <v>116935.26636029575</v>
          </cell>
          <cell r="N80">
            <v>-331.12090484873625</v>
          </cell>
          <cell r="P80">
            <v>16.600000000000001</v>
          </cell>
          <cell r="Q80">
            <v>11.62</v>
          </cell>
          <cell r="R80">
            <v>11.86</v>
          </cell>
          <cell r="S80">
            <v>11.86</v>
          </cell>
          <cell r="T80">
            <v>11.86</v>
          </cell>
          <cell r="U80" t="str">
            <v>$/mth</v>
          </cell>
          <cell r="W80">
            <v>781.11672779706043</v>
          </cell>
          <cell r="X80">
            <v>855.53851049215973</v>
          </cell>
          <cell r="Y80">
            <v>817.41796979514345</v>
          </cell>
          <cell r="Z80">
            <v>-10.183375364510233</v>
          </cell>
          <cell r="AA80">
            <v>0.10954187745924678</v>
          </cell>
          <cell r="AB80">
            <v>807.34413630809252</v>
          </cell>
        </row>
        <row r="81">
          <cell r="A81" t="str">
            <v>UGD</v>
          </cell>
          <cell r="B81" t="str">
            <v>UGD</v>
          </cell>
          <cell r="C81">
            <v>28751.637832506887</v>
          </cell>
          <cell r="D81">
            <v>30392.582423142361</v>
          </cell>
          <cell r="E81">
            <v>29111.875330343064</v>
          </cell>
          <cell r="F81">
            <v>-350.04387875053499</v>
          </cell>
          <cell r="G81">
            <v>0</v>
          </cell>
          <cell r="H81">
            <v>87906.051707241772</v>
          </cell>
          <cell r="J81">
            <v>29762.198126394622</v>
          </cell>
          <cell r="K81">
            <v>31187.967076983361</v>
          </cell>
          <cell r="L81">
            <v>32670.519634384371</v>
          </cell>
          <cell r="N81">
            <v>-5714.6331305205822</v>
          </cell>
          <cell r="P81">
            <v>1.96</v>
          </cell>
          <cell r="Q81">
            <v>1.36</v>
          </cell>
          <cell r="R81">
            <v>1.42</v>
          </cell>
          <cell r="S81">
            <v>1.42</v>
          </cell>
          <cell r="T81">
            <v>1.42</v>
          </cell>
          <cell r="U81" t="str">
            <v>$/mth</v>
          </cell>
          <cell r="W81">
            <v>1833.6503719711025</v>
          </cell>
          <cell r="X81">
            <v>1862.2905896533309</v>
          </cell>
          <cell r="Y81">
            <v>1708.4433879309311</v>
          </cell>
          <cell r="Z81">
            <v>-20.542481147331866</v>
          </cell>
          <cell r="AA81">
            <v>0</v>
          </cell>
          <cell r="AB81">
            <v>1687.9009067835991</v>
          </cell>
        </row>
        <row r="82">
          <cell r="A82" t="str">
            <v>UGE</v>
          </cell>
          <cell r="B82" t="str">
            <v>UGE</v>
          </cell>
          <cell r="C82">
            <v>135905.34171517796</v>
          </cell>
          <cell r="D82">
            <v>146896.09791218393</v>
          </cell>
          <cell r="E82">
            <v>143149.13353885151</v>
          </cell>
          <cell r="F82">
            <v>-1324.3779200299523</v>
          </cell>
          <cell r="G82">
            <v>-10.170000000000002</v>
          </cell>
          <cell r="H82">
            <v>424616.02524618345</v>
          </cell>
          <cell r="J82">
            <v>137895.31730485571</v>
          </cell>
          <cell r="K82">
            <v>140413.83190799784</v>
          </cell>
          <cell r="L82">
            <v>142639.87453561995</v>
          </cell>
          <cell r="N82">
            <v>3667.001497709949</v>
          </cell>
          <cell r="P82">
            <v>0.97</v>
          </cell>
          <cell r="Q82">
            <v>0.66</v>
          </cell>
          <cell r="R82">
            <v>0.67</v>
          </cell>
          <cell r="S82">
            <v>0.67</v>
          </cell>
          <cell r="T82">
            <v>0.67</v>
          </cell>
          <cell r="U82" t="str">
            <v>$/mth</v>
          </cell>
          <cell r="W82">
            <v>17513.574963296131</v>
          </cell>
          <cell r="X82">
            <v>18547.487110124235</v>
          </cell>
          <cell r="Y82">
            <v>17804.618599359641</v>
          </cell>
          <cell r="Z82">
            <v>-164.72362189427267</v>
          </cell>
          <cell r="AA82">
            <v>-1.2649253731343284</v>
          </cell>
          <cell r="AB82">
            <v>17638.63005209223</v>
          </cell>
        </row>
        <row r="83">
          <cell r="A83" t="str">
            <v>UR</v>
          </cell>
          <cell r="B83" t="str">
            <v>UR</v>
          </cell>
          <cell r="C83">
            <v>1733848.4450695342</v>
          </cell>
          <cell r="D83">
            <v>1845254.9470792599</v>
          </cell>
          <cell r="E83">
            <v>1888511.9232686979</v>
          </cell>
          <cell r="F83">
            <v>-15515.935320706587</v>
          </cell>
          <cell r="G83">
            <v>45.58</v>
          </cell>
          <cell r="H83">
            <v>5452144.9600967849</v>
          </cell>
          <cell r="J83">
            <v>1687598.7066866744</v>
          </cell>
          <cell r="K83">
            <v>1760826.4454946625</v>
          </cell>
          <cell r="L83">
            <v>1850707.409370502</v>
          </cell>
          <cell r="N83">
            <v>153012.39854494575</v>
          </cell>
          <cell r="P83">
            <v>1.01</v>
          </cell>
          <cell r="Q83">
            <v>0.69</v>
          </cell>
          <cell r="R83">
            <v>0.72</v>
          </cell>
          <cell r="S83">
            <v>0.72</v>
          </cell>
          <cell r="T83">
            <v>0.72</v>
          </cell>
          <cell r="U83" t="str">
            <v>$/mth</v>
          </cell>
          <cell r="W83">
            <v>214585.20359771463</v>
          </cell>
          <cell r="X83">
            <v>222856.87766657732</v>
          </cell>
          <cell r="Y83">
            <v>218577.76889684005</v>
          </cell>
          <cell r="Z83">
            <v>-1795.8258473040032</v>
          </cell>
          <cell r="AA83">
            <v>5.2754629629629628</v>
          </cell>
          <cell r="AB83">
            <v>216787.21851249901</v>
          </cell>
        </row>
        <row r="84">
          <cell r="H84">
            <v>41562506.940057606</v>
          </cell>
        </row>
        <row r="87">
          <cell r="A87" t="str">
            <v>Dgen</v>
          </cell>
          <cell r="B87" t="str">
            <v>DISTRIBUTED GENERATION</v>
          </cell>
          <cell r="C87">
            <v>5270.7325074629762</v>
          </cell>
          <cell r="D87">
            <v>9081.7487789899296</v>
          </cell>
          <cell r="E87">
            <v>11895.152738868104</v>
          </cell>
          <cell r="F87">
            <v>-164.03496089424971</v>
          </cell>
          <cell r="G87">
            <v>0.01</v>
          </cell>
          <cell r="H87">
            <v>26083.609064426757</v>
          </cell>
          <cell r="J87">
            <v>6635.0359829211138</v>
          </cell>
          <cell r="K87">
            <v>11168.187065302813</v>
          </cell>
          <cell r="L87">
            <v>15196.159381605392</v>
          </cell>
          <cell r="N87">
            <v>-6915.7733654025615</v>
          </cell>
          <cell r="P87">
            <v>4.6100000000000002E-2</v>
          </cell>
          <cell r="Q87">
            <v>4.8099999999999997E-2</v>
          </cell>
          <cell r="R87">
            <v>6.3299999999999995E-2</v>
          </cell>
          <cell r="S87">
            <v>6.3299999999999995E-2</v>
          </cell>
          <cell r="T87">
            <v>6.3299999999999995E-2</v>
          </cell>
          <cell r="U87" t="str">
            <v>$/kW</v>
          </cell>
          <cell r="W87">
            <v>114332.59235277605</v>
          </cell>
          <cell r="X87">
            <v>188809.74592494656</v>
          </cell>
          <cell r="Y87">
            <v>187917.10487943294</v>
          </cell>
          <cell r="Z87">
            <v>-2591.3895875868834</v>
          </cell>
          <cell r="AA87">
            <v>0.15797788309636651</v>
          </cell>
          <cell r="AB87">
            <v>185325.87326972914</v>
          </cell>
        </row>
        <row r="88">
          <cell r="A88" t="str">
            <v>GSD</v>
          </cell>
          <cell r="B88" t="str">
            <v>GSD</v>
          </cell>
          <cell r="C88">
            <v>145491.26232982491</v>
          </cell>
          <cell r="D88">
            <v>230885.56363920684</v>
          </cell>
          <cell r="E88">
            <v>322447.96958057868</v>
          </cell>
          <cell r="F88">
            <v>-4033.715331606847</v>
          </cell>
          <cell r="G88">
            <v>5.7799999999999976</v>
          </cell>
          <cell r="H88">
            <v>694796.86021800363</v>
          </cell>
          <cell r="J88">
            <v>155429.79088535113</v>
          </cell>
          <cell r="K88">
            <v>262630.46041643084</v>
          </cell>
          <cell r="L88">
            <v>365440.94622433698</v>
          </cell>
          <cell r="N88">
            <v>-88704.337308115326</v>
          </cell>
          <cell r="P88">
            <v>2.75E-2</v>
          </cell>
          <cell r="Q88">
            <v>3.09E-2</v>
          </cell>
          <cell r="R88">
            <v>4.2799999999999998E-2</v>
          </cell>
          <cell r="S88">
            <v>4.2799999999999998E-2</v>
          </cell>
          <cell r="T88">
            <v>4.2799999999999998E-2</v>
          </cell>
          <cell r="U88" t="str">
            <v>$/kW</v>
          </cell>
          <cell r="W88">
            <v>5290591.3574481783</v>
          </cell>
          <cell r="X88">
            <v>7472024.7132429397</v>
          </cell>
          <cell r="Y88">
            <v>7533831.0649667922</v>
          </cell>
          <cell r="Z88">
            <v>-94245.685317916985</v>
          </cell>
          <cell r="AA88">
            <v>135.04672897196258</v>
          </cell>
          <cell r="AB88">
            <v>7439720.4263778478</v>
          </cell>
        </row>
        <row r="89">
          <cell r="A89" t="str">
            <v>GSE</v>
          </cell>
          <cell r="B89" t="str">
            <v>GSE - METERED</v>
          </cell>
          <cell r="C89">
            <v>399501.728612518</v>
          </cell>
          <cell r="D89">
            <v>470229.98083164927</v>
          </cell>
          <cell r="E89">
            <v>444061.69413753599</v>
          </cell>
          <cell r="F89">
            <v>-5125.0751337379625</v>
          </cell>
          <cell r="G89">
            <v>-97.27000000000001</v>
          </cell>
          <cell r="H89">
            <v>1308571.0584479654</v>
          </cell>
          <cell r="J89">
            <v>504632.67702071625</v>
          </cell>
          <cell r="K89">
            <v>505906.55150516215</v>
          </cell>
          <cell r="L89">
            <v>497123.08730688028</v>
          </cell>
          <cell r="N89">
            <v>-199091.25738479337</v>
          </cell>
          <cell r="P89">
            <v>2.9999999999999997E-4</v>
          </cell>
          <cell r="Q89">
            <v>2.0000000000000001E-4</v>
          </cell>
          <cell r="R89">
            <v>2.0000000000000001E-4</v>
          </cell>
          <cell r="S89">
            <v>2.0000000000000001E-4</v>
          </cell>
          <cell r="T89">
            <v>2.0000000000000001E-4</v>
          </cell>
          <cell r="U89" t="str">
            <v>$/kWh</v>
          </cell>
          <cell r="W89">
            <v>1331672428.7083933</v>
          </cell>
          <cell r="X89">
            <v>2351149904.158246</v>
          </cell>
          <cell r="Y89">
            <v>2220308470.6876798</v>
          </cell>
          <cell r="Z89">
            <v>-25625375.66868981</v>
          </cell>
          <cell r="AA89">
            <v>-486350</v>
          </cell>
          <cell r="AB89">
            <v>2194196745.01899</v>
          </cell>
        </row>
        <row r="90">
          <cell r="A90" t="str">
            <v>USL</v>
          </cell>
          <cell r="B90" t="str">
            <v>GSE - UNMETERED</v>
          </cell>
          <cell r="C90">
            <v>0</v>
          </cell>
          <cell r="D90">
            <v>0</v>
          </cell>
          <cell r="E90">
            <v>-2541.8237149697975</v>
          </cell>
          <cell r="F90">
            <v>42.791455960525241</v>
          </cell>
          <cell r="G90">
            <v>-0.26</v>
          </cell>
          <cell r="H90">
            <v>-2499.2922590092726</v>
          </cell>
          <cell r="J90">
            <v>-182.74591952255651</v>
          </cell>
          <cell r="K90">
            <v>-927.94892524312672</v>
          </cell>
          <cell r="L90">
            <v>-1617.3018934235424</v>
          </cell>
          <cell r="N90">
            <v>228.70447917995307</v>
          </cell>
          <cell r="P90">
            <v>0</v>
          </cell>
          <cell r="Q90">
            <v>0</v>
          </cell>
          <cell r="R90">
            <v>-1E-4</v>
          </cell>
          <cell r="S90">
            <v>-1E-4</v>
          </cell>
          <cell r="T90">
            <v>-1E-4</v>
          </cell>
          <cell r="U90" t="str">
            <v>$/kWh</v>
          </cell>
          <cell r="W90" t="str">
            <v/>
          </cell>
          <cell r="X90" t="str">
            <v/>
          </cell>
          <cell r="Y90">
            <v>25418237.149697974</v>
          </cell>
          <cell r="Z90">
            <v>-427914.55960525241</v>
          </cell>
          <cell r="AA90">
            <v>2600</v>
          </cell>
          <cell r="AB90">
            <v>24992922.590092722</v>
          </cell>
        </row>
        <row r="91">
          <cell r="A91" t="str">
            <v>R1</v>
          </cell>
          <cell r="B91" t="str">
            <v>R1</v>
          </cell>
          <cell r="C91">
            <v>0</v>
          </cell>
          <cell r="D91">
            <v>-367583.6498726923</v>
          </cell>
          <cell r="E91">
            <v>-865486.01696914679</v>
          </cell>
          <cell r="F91">
            <v>10501.121736040077</v>
          </cell>
          <cell r="G91">
            <v>-111.95000000000002</v>
          </cell>
          <cell r="H91">
            <v>-1222680.4951057988</v>
          </cell>
          <cell r="J91">
            <v>-6870.0180026902817</v>
          </cell>
          <cell r="K91">
            <v>-352728.0924527084</v>
          </cell>
          <cell r="L91">
            <v>-811553.68816253357</v>
          </cell>
          <cell r="N91">
            <v>-51528.696487866575</v>
          </cell>
          <cell r="P91">
            <v>0</v>
          </cell>
          <cell r="Q91">
            <v>-1E-4</v>
          </cell>
          <cell r="R91">
            <v>-2.0000000000000001E-4</v>
          </cell>
          <cell r="S91">
            <v>-2.0000000000000001E-4</v>
          </cell>
          <cell r="T91">
            <v>-2.0000000000000001E-4</v>
          </cell>
          <cell r="U91" t="str">
            <v>$/kWh</v>
          </cell>
          <cell r="W91" t="str">
            <v/>
          </cell>
          <cell r="X91">
            <v>3675836498.726923</v>
          </cell>
          <cell r="Y91">
            <v>4327430084.8457336</v>
          </cell>
          <cell r="Z91">
            <v>-52505608.680200383</v>
          </cell>
          <cell r="AA91">
            <v>559750.00000000012</v>
          </cell>
          <cell r="AB91">
            <v>4275484226.1655331</v>
          </cell>
        </row>
        <row r="92">
          <cell r="A92" t="str">
            <v>R2</v>
          </cell>
          <cell r="B92" t="str">
            <v>R2</v>
          </cell>
          <cell r="C92">
            <v>266733.3372731469</v>
          </cell>
          <cell r="D92">
            <v>432696.59208959306</v>
          </cell>
          <cell r="E92">
            <v>37030.275722765182</v>
          </cell>
          <cell r="F92">
            <v>-6.2883186551926542</v>
          </cell>
          <cell r="G92">
            <v>3.009999999999998</v>
          </cell>
          <cell r="H92">
            <v>736456.92676684982</v>
          </cell>
          <cell r="J92">
            <v>374100.63084639842</v>
          </cell>
          <cell r="K92">
            <v>254127.928077369</v>
          </cell>
          <cell r="L92">
            <v>-18396.103996634018</v>
          </cell>
          <cell r="N92">
            <v>126624.47183971643</v>
          </cell>
          <cell r="P92">
            <v>1E-4</v>
          </cell>
          <cell r="Q92">
            <v>1E-4</v>
          </cell>
          <cell r="R92">
            <v>0</v>
          </cell>
          <cell r="S92">
            <v>0</v>
          </cell>
          <cell r="T92">
            <v>0</v>
          </cell>
          <cell r="U92" t="str">
            <v>$/kWh</v>
          </cell>
          <cell r="W92">
            <v>2667333372.7314687</v>
          </cell>
          <cell r="X92">
            <v>4326965920.8959303</v>
          </cell>
          <cell r="Y92" t="str">
            <v/>
          </cell>
          <cell r="Z92" t="str">
            <v/>
          </cell>
          <cell r="AA92" t="str">
            <v/>
          </cell>
          <cell r="AB92">
            <v>0</v>
          </cell>
        </row>
        <row r="93">
          <cell r="A93" t="str">
            <v>SEASONAL</v>
          </cell>
          <cell r="B93" t="str">
            <v>SEASONAL</v>
          </cell>
          <cell r="C93">
            <v>295158.18461443385</v>
          </cell>
          <cell r="D93">
            <v>335178.30725003424</v>
          </cell>
          <cell r="E93">
            <v>197411.36389151402</v>
          </cell>
          <cell r="F93">
            <v>-3726.61233172418</v>
          </cell>
          <cell r="G93">
            <v>-242.5</v>
          </cell>
          <cell r="H93">
            <v>823778.74342425796</v>
          </cell>
          <cell r="J93">
            <v>374046.91616390966</v>
          </cell>
          <cell r="K93">
            <v>320373.89783155289</v>
          </cell>
          <cell r="L93">
            <v>228321.25510734826</v>
          </cell>
          <cell r="N93">
            <v>-98963.325678552967</v>
          </cell>
          <cell r="P93">
            <v>8.0000000000000004E-4</v>
          </cell>
          <cell r="Q93">
            <v>5.0000000000000001E-4</v>
          </cell>
          <cell r="R93">
            <v>2.9999999999999997E-4</v>
          </cell>
          <cell r="S93">
            <v>2.9999999999999997E-4</v>
          </cell>
          <cell r="T93">
            <v>2.9999999999999997E-4</v>
          </cell>
          <cell r="U93" t="str">
            <v>$/kWh</v>
          </cell>
          <cell r="W93">
            <v>368947730.76804227</v>
          </cell>
          <cell r="X93">
            <v>670356614.50006843</v>
          </cell>
          <cell r="Y93">
            <v>658037879.63838017</v>
          </cell>
          <cell r="Z93">
            <v>-12422041.105747268</v>
          </cell>
          <cell r="AA93">
            <v>-808333.33333333337</v>
          </cell>
          <cell r="AB93">
            <v>644807505.19929957</v>
          </cell>
        </row>
        <row r="94">
          <cell r="A94" t="str">
            <v>Sen Lgt</v>
          </cell>
          <cell r="B94" t="str">
            <v>SENTINEL LIGHTS</v>
          </cell>
          <cell r="C94">
            <v>12811.873289960144</v>
          </cell>
          <cell r="D94">
            <v>14170.417586015268</v>
          </cell>
          <cell r="E94">
            <v>12788.103250906175</v>
          </cell>
          <cell r="F94">
            <v>-105.09829701270462</v>
          </cell>
          <cell r="G94">
            <v>-14.02</v>
          </cell>
          <cell r="H94">
            <v>39651.275829868886</v>
          </cell>
          <cell r="J94">
            <v>16794.114816356108</v>
          </cell>
          <cell r="K94">
            <v>19076.089774521261</v>
          </cell>
          <cell r="L94">
            <v>20072.737203243152</v>
          </cell>
          <cell r="N94">
            <v>-16291.665964251639</v>
          </cell>
          <cell r="P94">
            <v>1.1999999999999999E-3</v>
          </cell>
          <cell r="Q94">
            <v>8.9999999999999998E-4</v>
          </cell>
          <cell r="R94">
            <v>8.9999999999999998E-4</v>
          </cell>
          <cell r="S94">
            <v>8.9999999999999998E-4</v>
          </cell>
          <cell r="T94">
            <v>8.9999999999999998E-4</v>
          </cell>
          <cell r="U94" t="str">
            <v>$/kWh</v>
          </cell>
          <cell r="W94">
            <v>10676561.074966786</v>
          </cell>
          <cell r="X94">
            <v>15744908.428905854</v>
          </cell>
          <cell r="Y94">
            <v>14209003.612117972</v>
          </cell>
          <cell r="Z94">
            <v>-116775.88556967181</v>
          </cell>
          <cell r="AA94">
            <v>-15577.777777777777</v>
          </cell>
          <cell r="AB94">
            <v>14076649.948770523</v>
          </cell>
        </row>
        <row r="95">
          <cell r="A95" t="str">
            <v>St Lgt</v>
          </cell>
          <cell r="B95" t="str">
            <v>STREET LIGHTS</v>
          </cell>
          <cell r="C95">
            <v>63119.601033937033</v>
          </cell>
          <cell r="D95">
            <v>72777.615089471146</v>
          </cell>
          <cell r="E95">
            <v>61584.654545067337</v>
          </cell>
          <cell r="F95">
            <v>-990.2883896885387</v>
          </cell>
          <cell r="G95">
            <v>0.19</v>
          </cell>
          <cell r="H95">
            <v>196491.77227878699</v>
          </cell>
          <cell r="J95">
            <v>76571.513503605034</v>
          </cell>
          <cell r="K95">
            <v>84432.70953560411</v>
          </cell>
          <cell r="L95">
            <v>87522.27250920629</v>
          </cell>
          <cell r="N95">
            <v>-52034.723269628448</v>
          </cell>
          <cell r="P95">
            <v>8.9999999999999998E-4</v>
          </cell>
          <cell r="Q95">
            <v>6.9999999999999999E-4</v>
          </cell>
          <cell r="R95">
            <v>6.9999999999999999E-4</v>
          </cell>
          <cell r="S95">
            <v>6.9999999999999999E-4</v>
          </cell>
          <cell r="T95">
            <v>6.9999999999999999E-4</v>
          </cell>
          <cell r="U95" t="str">
            <v>$/kWh</v>
          </cell>
          <cell r="W95">
            <v>70132890.037707821</v>
          </cell>
          <cell r="X95">
            <v>103968021.55638735</v>
          </cell>
          <cell r="Y95">
            <v>87978077.921524763</v>
          </cell>
          <cell r="Z95">
            <v>-1414697.6995550552</v>
          </cell>
          <cell r="AA95">
            <v>271.42857142857144</v>
          </cell>
          <cell r="AB95">
            <v>86563651.650541142</v>
          </cell>
        </row>
        <row r="96">
          <cell r="A96" t="str">
            <v>ST</v>
          </cell>
          <cell r="B96" t="str">
            <v>SUB TRANSMISSION</v>
          </cell>
          <cell r="C96">
            <v>5688642.6172126932</v>
          </cell>
          <cell r="D96">
            <v>6059481.671347308</v>
          </cell>
          <cell r="E96">
            <v>5492895.4529178571</v>
          </cell>
          <cell r="F96">
            <v>-66706.987811811734</v>
          </cell>
          <cell r="G96">
            <v>4530.53</v>
          </cell>
          <cell r="H96">
            <v>17178843.283666048</v>
          </cell>
          <cell r="J96">
            <v>4613190.2372724377</v>
          </cell>
          <cell r="K96">
            <v>4635471.5214369176</v>
          </cell>
          <cell r="L96">
            <v>4642540.185198212</v>
          </cell>
          <cell r="N96">
            <v>3287641.33975848</v>
          </cell>
          <cell r="P96">
            <v>0.16480133660142621</v>
          </cell>
          <cell r="Q96">
            <v>0.11029963458826585</v>
          </cell>
          <cell r="R96">
            <v>0.10953776431591282</v>
          </cell>
          <cell r="S96">
            <v>0.10953776431591282</v>
          </cell>
          <cell r="T96">
            <v>0.10953776431591282</v>
          </cell>
          <cell r="U96" t="str">
            <v>$/kW</v>
          </cell>
          <cell r="W96">
            <v>34518182.525246963</v>
          </cell>
          <cell r="X96">
            <v>54936552.545858949</v>
          </cell>
          <cell r="Y96">
            <v>50146134.415123269</v>
          </cell>
          <cell r="Z96">
            <v>-608986.20880580682</v>
          </cell>
          <cell r="AA96">
            <v>41360.43882485776</v>
          </cell>
          <cell r="AB96">
            <v>49578508.645142317</v>
          </cell>
        </row>
        <row r="97">
          <cell r="A97" t="str">
            <v>UGD</v>
          </cell>
          <cell r="B97" t="str">
            <v>UGD</v>
          </cell>
          <cell r="C97">
            <v>-204546.42869772372</v>
          </cell>
          <cell r="D97">
            <v>-207152.39111035049</v>
          </cell>
          <cell r="E97">
            <v>-170147.22560877586</v>
          </cell>
          <cell r="F97">
            <v>2050.2882160981208</v>
          </cell>
          <cell r="G97">
            <v>0</v>
          </cell>
          <cell r="H97">
            <v>-579795.75720075204</v>
          </cell>
          <cell r="J97">
            <v>-228521.47014525859</v>
          </cell>
          <cell r="K97">
            <v>-210429.78588539246</v>
          </cell>
          <cell r="L97">
            <v>-189883.60295042989</v>
          </cell>
          <cell r="N97">
            <v>49039.1017803289</v>
          </cell>
          <cell r="P97">
            <v>-0.11210000000000001</v>
          </cell>
          <cell r="Q97">
            <v>-6.9099999999999995E-2</v>
          </cell>
          <cell r="R97">
            <v>-6.2300000000000001E-2</v>
          </cell>
          <cell r="S97">
            <v>-6.2300000000000001E-2</v>
          </cell>
          <cell r="T97">
            <v>-6.2300000000000001E-2</v>
          </cell>
          <cell r="U97" t="str">
            <v>$/kW</v>
          </cell>
          <cell r="W97">
            <v>1824678.2221027985</v>
          </cell>
          <cell r="X97">
            <v>2997863.8366186759</v>
          </cell>
          <cell r="Y97">
            <v>2731095.1141055515</v>
          </cell>
          <cell r="Z97">
            <v>-32909.923211847847</v>
          </cell>
          <cell r="AA97">
            <v>0</v>
          </cell>
          <cell r="AB97">
            <v>2698185.1908937036</v>
          </cell>
        </row>
        <row r="98">
          <cell r="A98" t="str">
            <v>UGE</v>
          </cell>
          <cell r="B98" t="str">
            <v>UGE</v>
          </cell>
          <cell r="C98">
            <v>-106059.65751569188</v>
          </cell>
          <cell r="D98">
            <v>-123911.66019654159</v>
          </cell>
          <cell r="E98">
            <v>-63214.089245986019</v>
          </cell>
          <cell r="F98">
            <v>679.82400221802254</v>
          </cell>
          <cell r="G98">
            <v>-7.3599999999999959</v>
          </cell>
          <cell r="H98">
            <v>-292512.94295600144</v>
          </cell>
          <cell r="J98">
            <v>-106815.23525011577</v>
          </cell>
          <cell r="K98">
            <v>-97159.229947141401</v>
          </cell>
          <cell r="L98">
            <v>-87503.051841465</v>
          </cell>
          <cell r="N98">
            <v>-1035.4259172792663</v>
          </cell>
          <cell r="P98">
            <v>-2.9999999999999997E-4</v>
          </cell>
          <cell r="Q98">
            <v>-2.0000000000000001E-4</v>
          </cell>
          <cell r="R98">
            <v>-1E-4</v>
          </cell>
          <cell r="S98">
            <v>-1E-4</v>
          </cell>
          <cell r="T98">
            <v>-1E-4</v>
          </cell>
          <cell r="U98" t="str">
            <v>$/kWh</v>
          </cell>
          <cell r="W98">
            <v>353532191.71897298</v>
          </cell>
          <cell r="X98">
            <v>619558300.98270798</v>
          </cell>
          <cell r="Y98">
            <v>632140892.45986021</v>
          </cell>
          <cell r="Z98">
            <v>-6798240.0221802248</v>
          </cell>
          <cell r="AA98">
            <v>73599.999999999956</v>
          </cell>
          <cell r="AB98">
            <v>625416252.43768001</v>
          </cell>
        </row>
        <row r="99">
          <cell r="A99" t="str">
            <v>UR</v>
          </cell>
          <cell r="B99" t="str">
            <v>UR</v>
          </cell>
          <cell r="C99">
            <v>-236108.51330544334</v>
          </cell>
          <cell r="D99">
            <v>-361648.18347577768</v>
          </cell>
          <cell r="E99">
            <v>-525106.51852249703</v>
          </cell>
          <cell r="F99">
            <v>5663.3479278252853</v>
          </cell>
          <cell r="G99">
            <v>-13.329999999999998</v>
          </cell>
          <cell r="H99">
            <v>-1117213.1973758929</v>
          </cell>
          <cell r="J99">
            <v>-322535.96748258988</v>
          </cell>
          <cell r="K99">
            <v>-484094.78046335158</v>
          </cell>
          <cell r="L99">
            <v>-671497.52384683443</v>
          </cell>
          <cell r="N99">
            <v>360915.07441688306</v>
          </cell>
          <cell r="P99">
            <v>-2.0000000000000001E-4</v>
          </cell>
          <cell r="Q99">
            <v>-2.0000000000000001E-4</v>
          </cell>
          <cell r="R99">
            <v>-2.9999999999999997E-4</v>
          </cell>
          <cell r="S99">
            <v>-2.9999999999999997E-4</v>
          </cell>
          <cell r="T99">
            <v>-2.9999999999999997E-4</v>
          </cell>
          <cell r="U99" t="str">
            <v>$/kWh</v>
          </cell>
          <cell r="W99">
            <v>1180542566.5272167</v>
          </cell>
          <cell r="X99">
            <v>1808240917.3788884</v>
          </cell>
          <cell r="Y99">
            <v>1750355061.741657</v>
          </cell>
          <cell r="Z99">
            <v>-18877826.426084287</v>
          </cell>
          <cell r="AA99">
            <v>44433.333333333328</v>
          </cell>
          <cell r="AB99">
            <v>1731521668.648906</v>
          </cell>
        </row>
        <row r="100">
          <cell r="H100">
            <v>17789971.844798747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F6">
            <v>209540.0800434108</v>
          </cell>
          <cell r="G6">
            <v>433844.2481102423</v>
          </cell>
          <cell r="H6">
            <v>329175.53271821904</v>
          </cell>
          <cell r="I6">
            <v>153968.16146343699</v>
          </cell>
          <cell r="J6">
            <v>93508.411313851495</v>
          </cell>
          <cell r="K6">
            <v>6112.9079561125573</v>
          </cell>
          <cell r="L6">
            <v>17768.163504815773</v>
          </cell>
          <cell r="M6">
            <v>1901.2076640864293</v>
          </cell>
          <cell r="N6">
            <v>4882.5548290773013</v>
          </cell>
          <cell r="O6">
            <v>30009.443835852406</v>
          </cell>
          <cell r="P6">
            <v>5641.5857261563742</v>
          </cell>
          <cell r="Q6">
            <v>1009.9596468549055</v>
          </cell>
          <cell r="R6">
            <v>809.78259034687881</v>
          </cell>
        </row>
        <row r="7">
          <cell r="F7">
            <v>2001279224.2558956</v>
          </cell>
          <cell r="G7">
            <v>4971967265.6964312</v>
          </cell>
          <cell r="H7">
            <v>4810646608.5693827</v>
          </cell>
          <cell r="I7">
            <v>677316745.70496571</v>
          </cell>
          <cell r="J7">
            <v>2194809667.9084058</v>
          </cell>
          <cell r="K7">
            <v>2404019345.9769487</v>
          </cell>
          <cell r="L7">
            <v>604059536.90373015</v>
          </cell>
          <cell r="M7">
            <v>1067646621.1150482</v>
          </cell>
          <cell r="N7">
            <v>123507002.76716001</v>
          </cell>
          <cell r="O7">
            <v>21795353.429498833</v>
          </cell>
          <cell r="P7">
            <v>24056636.326727927</v>
          </cell>
          <cell r="Q7">
            <v>21102942.141273901</v>
          </cell>
          <cell r="R7">
            <v>16560342139.171829</v>
          </cell>
        </row>
        <row r="8">
          <cell r="F8">
            <v>2001279224.2558956</v>
          </cell>
          <cell r="G8">
            <v>4971967265.6964312</v>
          </cell>
          <cell r="H8">
            <v>4810646608.5693827</v>
          </cell>
          <cell r="I8">
            <v>677316745.70496571</v>
          </cell>
          <cell r="J8">
            <v>2194809667.9084058</v>
          </cell>
          <cell r="K8">
            <v>2404019345.9769487</v>
          </cell>
          <cell r="L8">
            <v>604059536.90373015</v>
          </cell>
          <cell r="M8">
            <v>1067646621.1150482</v>
          </cell>
          <cell r="N8">
            <v>123507002.76716001</v>
          </cell>
          <cell r="O8">
            <v>21795353.429498833</v>
          </cell>
          <cell r="P8">
            <v>24056636.326727927</v>
          </cell>
          <cell r="Q8">
            <v>21102942.141273901</v>
          </cell>
          <cell r="R8">
            <v>4951414795.0770893</v>
          </cell>
        </row>
        <row r="9">
          <cell r="F9">
            <v>272738525.06741005</v>
          </cell>
          <cell r="G9">
            <v>556371430.70834827</v>
          </cell>
          <cell r="H9">
            <v>533241640.94207704</v>
          </cell>
          <cell r="I9">
            <v>17228621.782392871</v>
          </cell>
          <cell r="J9">
            <v>456886452.50009233</v>
          </cell>
          <cell r="K9">
            <v>2219813865.4339213</v>
          </cell>
          <cell r="L9">
            <v>139536736.77141976</v>
          </cell>
          <cell r="M9">
            <v>1017402299.5189602</v>
          </cell>
          <cell r="N9">
            <v>61431165.757578224</v>
          </cell>
          <cell r="O9">
            <v>3481968.4121394227</v>
          </cell>
          <cell r="P9">
            <v>1529262.6783171108</v>
          </cell>
          <cell r="Q9">
            <v>21733354.351271458</v>
          </cell>
          <cell r="R9">
            <v>2434359676.5445237</v>
          </cell>
        </row>
        <row r="10">
          <cell r="F10">
            <v>0</v>
          </cell>
          <cell r="G10">
            <v>0</v>
          </cell>
          <cell r="H10">
            <v>0</v>
          </cell>
          <cell r="I10">
            <v>0</v>
          </cell>
          <cell r="J10">
            <v>0</v>
          </cell>
          <cell r="K10">
            <v>8484669.8017077167</v>
          </cell>
          <cell r="L10">
            <v>0</v>
          </cell>
          <cell r="M10">
            <v>3058267.4992196742</v>
          </cell>
          <cell r="N10">
            <v>0</v>
          </cell>
          <cell r="O10">
            <v>0</v>
          </cell>
          <cell r="P10">
            <v>0</v>
          </cell>
          <cell r="Q10">
            <v>216098.52757603716</v>
          </cell>
          <cell r="R10">
            <v>30696855.397349022</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3293089.8293679892</v>
          </cell>
          <cell r="G43">
            <v>10171511.141808217</v>
          </cell>
          <cell r="H43">
            <v>14152831.797040099</v>
          </cell>
          <cell r="I43">
            <v>5365218.8647953942</v>
          </cell>
          <cell r="J43">
            <v>2653617.5589280659</v>
          </cell>
          <cell r="K43">
            <v>-5786112.924700629</v>
          </cell>
          <cell r="L43">
            <v>-317124.192220703</v>
          </cell>
          <cell r="M43">
            <v>-3588362.430573259</v>
          </cell>
          <cell r="N43">
            <v>61898.12564938303</v>
          </cell>
          <cell r="O43">
            <v>94905.724954685735</v>
          </cell>
          <cell r="P43">
            <v>110356.47379272777</v>
          </cell>
          <cell r="Q43">
            <v>68089.425200894198</v>
          </cell>
          <cell r="R43">
            <v>7003029.1447396372</v>
          </cell>
        </row>
        <row r="45">
          <cell r="F45">
            <v>1097696.6097893298</v>
          </cell>
          <cell r="G45">
            <v>3390503.7139360723</v>
          </cell>
          <cell r="H45">
            <v>4717610.5990133667</v>
          </cell>
          <cell r="I45">
            <v>1788406.2882651314</v>
          </cell>
          <cell r="J45">
            <v>884539.18630935531</v>
          </cell>
          <cell r="K45">
            <v>-1928704.3082335431</v>
          </cell>
          <cell r="L45">
            <v>-105708.06407356767</v>
          </cell>
          <cell r="M45">
            <v>-1196120.8101910863</v>
          </cell>
          <cell r="N45">
            <v>20632.708549794344</v>
          </cell>
          <cell r="O45">
            <v>31635.241651561912</v>
          </cell>
          <cell r="P45">
            <v>36785.491264242592</v>
          </cell>
          <cell r="Q45">
            <v>22696.475066964733</v>
          </cell>
          <cell r="R45">
            <v>2334343.0482465457</v>
          </cell>
        </row>
        <row r="47">
          <cell r="F47">
            <v>1302949.8026032164</v>
          </cell>
          <cell r="G47">
            <v>4191627.7079086271</v>
          </cell>
          <cell r="H47">
            <v>5916017.8664761046</v>
          </cell>
          <cell r="I47">
            <v>1391668.8134535351</v>
          </cell>
          <cell r="J47">
            <v>1908610.0826545723</v>
          </cell>
          <cell r="K47">
            <v>1333767.928203908</v>
          </cell>
          <cell r="L47">
            <v>227322.61395522408</v>
          </cell>
          <cell r="M47">
            <v>287559.78963352559</v>
          </cell>
          <cell r="N47">
            <v>136807.1925846558</v>
          </cell>
          <cell r="O47">
            <v>36896.722373188313</v>
          </cell>
          <cell r="P47">
            <v>47891.630181447683</v>
          </cell>
          <cell r="Q47">
            <v>49017.523655200224</v>
          </cell>
          <cell r="R47">
            <v>554415.97931346146</v>
          </cell>
        </row>
        <row r="48">
          <cell r="F48">
            <v>697044.86125447473</v>
          </cell>
          <cell r="G48">
            <v>1891884.1605008307</v>
          </cell>
          <cell r="H48">
            <v>3310144.1500987788</v>
          </cell>
          <cell r="I48">
            <v>703398.59085280739</v>
          </cell>
          <cell r="J48">
            <v>385753.13283537235</v>
          </cell>
          <cell r="K48">
            <v>63056.531746087145</v>
          </cell>
          <cell r="L48">
            <v>53900.299825063536</v>
          </cell>
          <cell r="M48">
            <v>20774.664274943261</v>
          </cell>
          <cell r="N48">
            <v>2937.8505190162105</v>
          </cell>
          <cell r="O48">
            <v>9991.2260458849232</v>
          </cell>
          <cell r="P48">
            <v>36913.931809186499</v>
          </cell>
          <cell r="Q48">
            <v>32592.332184134157</v>
          </cell>
          <cell r="R48">
            <v>103732.47434265383</v>
          </cell>
        </row>
        <row r="49">
          <cell r="F49">
            <v>605904.94134874165</v>
          </cell>
          <cell r="G49">
            <v>2299743.5474077961</v>
          </cell>
          <cell r="H49">
            <v>2605873.7163773254</v>
          </cell>
          <cell r="I49">
            <v>688270.22260072781</v>
          </cell>
          <cell r="J49">
            <v>1522856.9498192</v>
          </cell>
          <cell r="K49">
            <v>1270711.3964578209</v>
          </cell>
          <cell r="L49">
            <v>173422.31413016052</v>
          </cell>
          <cell r="M49">
            <v>266785.1253585823</v>
          </cell>
          <cell r="N49">
            <v>133869.34206563959</v>
          </cell>
          <cell r="O49">
            <v>26905.496327303386</v>
          </cell>
          <cell r="P49">
            <v>10977.698372261182</v>
          </cell>
          <cell r="Q49">
            <v>16425.191471066071</v>
          </cell>
          <cell r="R49">
            <v>450683.50497080758</v>
          </cell>
        </row>
        <row r="51">
          <cell r="F51">
            <v>990553.84543219965</v>
          </cell>
          <cell r="G51">
            <v>2050901.613644562</v>
          </cell>
          <cell r="H51">
            <v>1556103.6804446818</v>
          </cell>
          <cell r="I51">
            <v>727850.03413254779</v>
          </cell>
          <cell r="J51">
            <v>442040.09270208399</v>
          </cell>
          <cell r="K51">
            <v>28897.404646623796</v>
          </cell>
          <cell r="L51">
            <v>83995.017479792165</v>
          </cell>
          <cell r="M51">
            <v>8987.5338514513624</v>
          </cell>
          <cell r="N51">
            <v>1344.4409416983704</v>
          </cell>
          <cell r="O51">
            <v>8263.2814874384694</v>
          </cell>
          <cell r="P51">
            <v>1553.4446804725633</v>
          </cell>
          <cell r="Q51">
            <v>4774.3582598432449</v>
          </cell>
          <cell r="R51">
            <v>3828.0660132704402</v>
          </cell>
        </row>
        <row r="52">
          <cell r="F52">
            <v>-928440.90883133153</v>
          </cell>
          <cell r="G52">
            <v>-2306613.5654104864</v>
          </cell>
          <cell r="H52">
            <v>-2231773.0855309269</v>
          </cell>
          <cell r="I52">
            <v>-314223.30643681815</v>
          </cell>
          <cell r="J52">
            <v>-1018224.2727984837</v>
          </cell>
          <cell r="K52">
            <v>-1115281.6055724698</v>
          </cell>
          <cell r="L52">
            <v>-280237.54938027629</v>
          </cell>
          <cell r="M52">
            <v>-495306.59550384089</v>
          </cell>
          <cell r="N52">
            <v>-57297.828562034556</v>
          </cell>
          <cell r="O52">
            <v>-10111.38151094728</v>
          </cell>
          <cell r="P52">
            <v>-11160.444291783739</v>
          </cell>
          <cell r="Q52">
            <v>-9790.1554881449574</v>
          </cell>
          <cell r="R52">
            <v>4162506.7323016305</v>
          </cell>
        </row>
        <row r="53">
          <cell r="F53">
            <v>-267366.12941475486</v>
          </cell>
          <cell r="G53">
            <v>-545412.04220663104</v>
          </cell>
          <cell r="H53">
            <v>-522737.86237649346</v>
          </cell>
          <cell r="I53">
            <v>-16889.252884133664</v>
          </cell>
          <cell r="J53">
            <v>-447886.71624881687</v>
          </cell>
          <cell r="K53">
            <v>-2176088.035511605</v>
          </cell>
          <cell r="L53">
            <v>-136788.14612830771</v>
          </cell>
          <cell r="M53">
            <v>-997361.53817222302</v>
          </cell>
          <cell r="N53">
            <v>-60221.096414525266</v>
          </cell>
          <cell r="O53">
            <v>-3413.3806981175876</v>
          </cell>
          <cell r="P53">
            <v>-1499.139305893915</v>
          </cell>
          <cell r="Q53">
            <v>-21305.251359933776</v>
          </cell>
          <cell r="R53">
            <v>-2386407.7293818174</v>
          </cell>
        </row>
        <row r="55">
          <cell r="F55">
            <v>1687598.7066866744</v>
          </cell>
          <cell r="G55">
            <v>3942785.7741453927</v>
          </cell>
          <cell r="H55">
            <v>4866247.8305434603</v>
          </cell>
          <cell r="I55">
            <v>1431248.6249853552</v>
          </cell>
          <cell r="J55">
            <v>827793.22553745634</v>
          </cell>
          <cell r="K55">
            <v>91953.936392710937</v>
          </cell>
          <cell r="L55">
            <v>137895.31730485571</v>
          </cell>
          <cell r="M55">
            <v>29762.198126394622</v>
          </cell>
          <cell r="N55">
            <v>4282.2914607145813</v>
          </cell>
          <cell r="O55">
            <v>18254.507533323391</v>
          </cell>
          <cell r="P55">
            <v>38467.376489659066</v>
          </cell>
          <cell r="Q55">
            <v>37366.690443977401</v>
          </cell>
          <cell r="R55">
            <v>107560.54035592427</v>
          </cell>
        </row>
        <row r="56">
          <cell r="F56">
            <v>-322535.96748258988</v>
          </cell>
          <cell r="G56">
            <v>-6870.0180026902817</v>
          </cell>
          <cell r="H56">
            <v>374100.63084639842</v>
          </cell>
          <cell r="I56">
            <v>374046.91616390966</v>
          </cell>
          <cell r="J56">
            <v>504632.67702071625</v>
          </cell>
          <cell r="K56">
            <v>155429.79088535113</v>
          </cell>
          <cell r="L56">
            <v>-106815.23525011577</v>
          </cell>
          <cell r="M56">
            <v>-228521.47014525859</v>
          </cell>
          <cell r="N56">
            <v>76571.513503605034</v>
          </cell>
          <cell r="O56">
            <v>16794.114816356108</v>
          </cell>
          <cell r="P56">
            <v>-182.74591952255651</v>
          </cell>
          <cell r="Q56">
            <v>6635.0359829211138</v>
          </cell>
          <cell r="R56">
            <v>4613190.2372724377</v>
          </cell>
        </row>
        <row r="57">
          <cell r="F57">
            <v>-267366.12941475486</v>
          </cell>
          <cell r="G57">
            <v>-545412.04220663104</v>
          </cell>
          <cell r="H57">
            <v>-522737.86237649346</v>
          </cell>
          <cell r="I57">
            <v>-16889.252884133664</v>
          </cell>
          <cell r="J57">
            <v>-447886.71624881687</v>
          </cell>
          <cell r="K57">
            <v>-2176088.035511605</v>
          </cell>
          <cell r="L57">
            <v>-136788.14612830771</v>
          </cell>
          <cell r="M57">
            <v>-997361.53817222302</v>
          </cell>
          <cell r="N57">
            <v>-60221.096414525266</v>
          </cell>
          <cell r="O57">
            <v>-3413.3806981175876</v>
          </cell>
          <cell r="P57">
            <v>-1499.139305893915</v>
          </cell>
          <cell r="Q57">
            <v>-21305.251359933776</v>
          </cell>
          <cell r="R57">
            <v>-2386407.7293818174</v>
          </cell>
        </row>
        <row r="69">
          <cell r="F69">
            <v>9665397.5867725406</v>
          </cell>
          <cell r="G69">
            <v>30696855.397349022</v>
          </cell>
        </row>
        <row r="70">
          <cell r="F70">
            <v>-5052207.349500102</v>
          </cell>
          <cell r="G70">
            <v>11289590.857003802</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A5">
            <v>1</v>
          </cell>
          <cell r="B5" t="str">
            <v>Allocators</v>
          </cell>
          <cell r="C5" t="str">
            <v>Value</v>
          </cell>
          <cell r="D5" t="str">
            <v>Source</v>
          </cell>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A6">
            <v>2</v>
          </cell>
          <cell r="B6" t="str">
            <v>Number of Customers</v>
          </cell>
          <cell r="C6">
            <v>1299705.4306512417</v>
          </cell>
          <cell r="D6" t="str">
            <v>2016 Load Forecast</v>
          </cell>
          <cell r="F6">
            <v>211690.70757128994</v>
          </cell>
          <cell r="G6">
            <v>439437.22509297531</v>
          </cell>
          <cell r="H6">
            <v>331825.69588791893</v>
          </cell>
          <cell r="I6">
            <v>154490.34928756166</v>
          </cell>
          <cell r="J6">
            <v>93788.452342106975</v>
          </cell>
          <cell r="K6">
            <v>6196.1368318369705</v>
          </cell>
          <cell r="L6">
            <v>17807.574215458411</v>
          </cell>
          <cell r="M6">
            <v>1906.6906690854885</v>
          </cell>
          <cell r="N6">
            <v>4926.9357907270869</v>
          </cell>
          <cell r="O6">
            <v>29840.397490113228</v>
          </cell>
          <cell r="P6">
            <v>5690.7978429281302</v>
          </cell>
          <cell r="Q6">
            <v>1288.8141822027924</v>
          </cell>
          <cell r="R6">
            <v>815.65344703650396</v>
          </cell>
        </row>
        <row r="7">
          <cell r="A7">
            <v>3</v>
          </cell>
          <cell r="B7" t="str">
            <v>kWh</v>
          </cell>
          <cell r="C7">
            <v>35674072032.780708</v>
          </cell>
          <cell r="D7" t="str">
            <v>2016 Load Forecast</v>
          </cell>
          <cell r="F7">
            <v>2016183096.7499046</v>
          </cell>
          <cell r="G7">
            <v>5030042034.255003</v>
          </cell>
          <cell r="H7">
            <v>4804609665.8866634</v>
          </cell>
          <cell r="I7">
            <v>668696400.35804868</v>
          </cell>
          <cell r="J7">
            <v>2206447678.8692403</v>
          </cell>
          <cell r="K7">
            <v>2438092290.583252</v>
          </cell>
          <cell r="L7">
            <v>609041231.32059431</v>
          </cell>
          <cell r="M7">
            <v>1077211366.7732768</v>
          </cell>
          <cell r="N7">
            <v>124955157.50076702</v>
          </cell>
          <cell r="O7">
            <v>22050910.147194181</v>
          </cell>
          <cell r="P7">
            <v>24648222.831226781</v>
          </cell>
          <cell r="Q7">
            <v>22988381.190761775</v>
          </cell>
          <cell r="R7">
            <v>16629105596.314775</v>
          </cell>
        </row>
        <row r="8">
          <cell r="A8">
            <v>4</v>
          </cell>
          <cell r="B8" t="str">
            <v>kWh excl WMP</v>
          </cell>
          <cell r="C8">
            <v>24020162339.777718</v>
          </cell>
          <cell r="D8" t="str">
            <v>2016 Load Forecast</v>
          </cell>
          <cell r="F8">
            <v>2016183096.7499046</v>
          </cell>
          <cell r="G8">
            <v>5030042034.255003</v>
          </cell>
          <cell r="H8">
            <v>4804609665.8866634</v>
          </cell>
          <cell r="I8">
            <v>668696400.35804868</v>
          </cell>
          <cell r="J8">
            <v>2206447678.8692403</v>
          </cell>
          <cell r="K8">
            <v>2438092290.583252</v>
          </cell>
          <cell r="L8">
            <v>609041231.32059431</v>
          </cell>
          <cell r="M8">
            <v>1077211366.7732768</v>
          </cell>
          <cell r="N8">
            <v>124955157.50076702</v>
          </cell>
          <cell r="O8">
            <v>22050910.147194181</v>
          </cell>
          <cell r="P8">
            <v>24648222.831226781</v>
          </cell>
          <cell r="Q8">
            <v>22988381.190761775</v>
          </cell>
          <cell r="R8">
            <v>4975195903.3117847</v>
          </cell>
        </row>
        <row r="9">
          <cell r="A9">
            <v>5</v>
          </cell>
          <cell r="B9" t="str">
            <v>kWh for Non-RPP, Non-LDC, and Class B customers</v>
          </cell>
          <cell r="C9">
            <v>7800395201.7403221</v>
          </cell>
          <cell r="D9" t="str">
            <v>2016 Load Forecast</v>
          </cell>
          <cell r="F9">
            <v>274769656.03231579</v>
          </cell>
          <cell r="G9">
            <v>562870094.18385351</v>
          </cell>
          <cell r="H9">
            <v>532572469.10628432</v>
          </cell>
          <cell r="I9">
            <v>17009349.67586749</v>
          </cell>
          <cell r="J9">
            <v>459309099.72085118</v>
          </cell>
          <cell r="K9">
            <v>2251276006.1191893</v>
          </cell>
          <cell r="L9">
            <v>140687499.80064812</v>
          </cell>
          <cell r="M9">
            <v>1026516920.438036</v>
          </cell>
          <cell r="N9">
            <v>62151463.647492595</v>
          </cell>
          <cell r="O9">
            <v>3522795.4820652944</v>
          </cell>
          <cell r="P9">
            <v>1566869.3973130258</v>
          </cell>
          <cell r="Q9">
            <v>23675117.480598353</v>
          </cell>
          <cell r="R9">
            <v>2444467860.655807</v>
          </cell>
        </row>
        <row r="10">
          <cell r="A10">
            <v>6</v>
          </cell>
          <cell r="B10" t="str">
            <v>Billing kWs</v>
          </cell>
          <cell r="C10">
            <v>42495980.154438645</v>
          </cell>
          <cell r="D10" t="str">
            <v>2016 Load Forecast</v>
          </cell>
          <cell r="F10">
            <v>0</v>
          </cell>
          <cell r="G10">
            <v>0</v>
          </cell>
          <cell r="H10">
            <v>0</v>
          </cell>
          <cell r="I10">
            <v>0</v>
          </cell>
          <cell r="J10">
            <v>0</v>
          </cell>
          <cell r="K10">
            <v>8493970.7734904457</v>
          </cell>
          <cell r="L10">
            <v>0</v>
          </cell>
          <cell r="M10">
            <v>3045877.9769811123</v>
          </cell>
          <cell r="N10">
            <v>0</v>
          </cell>
          <cell r="O10">
            <v>0</v>
          </cell>
          <cell r="P10">
            <v>0</v>
          </cell>
          <cell r="Q10">
            <v>232370.40949517608</v>
          </cell>
          <cell r="R10">
            <v>30723760.994471911</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3028819.5586647009</v>
          </cell>
          <cell r="G43">
            <v>9693851.9586457219</v>
          </cell>
          <cell r="H43">
            <v>14371732.083378432</v>
          </cell>
          <cell r="I43">
            <v>5351837.3947770372</v>
          </cell>
          <cell r="J43">
            <v>2652886.7293802188</v>
          </cell>
          <cell r="K43">
            <v>-5484664.0623088684</v>
          </cell>
          <cell r="L43">
            <v>-280556.27159942925</v>
          </cell>
          <cell r="M43">
            <v>-3531598.4225917431</v>
          </cell>
          <cell r="N43">
            <v>85413.756652747645</v>
          </cell>
          <cell r="O43">
            <v>103953.79450671886</v>
          </cell>
          <cell r="P43">
            <v>102493.46916752821</v>
          </cell>
          <cell r="Q43">
            <v>70445.735578370688</v>
          </cell>
          <cell r="R43">
            <v>7118332.8145310739</v>
          </cell>
        </row>
        <row r="45">
          <cell r="F45">
            <v>1009606.5195549004</v>
          </cell>
          <cell r="G45">
            <v>3231283.9862152408</v>
          </cell>
          <cell r="H45">
            <v>4790577.3611261444</v>
          </cell>
          <cell r="I45">
            <v>1783945.7982590124</v>
          </cell>
          <cell r="J45">
            <v>884295.57646007289</v>
          </cell>
          <cell r="K45">
            <v>-1828221.3541029561</v>
          </cell>
          <cell r="L45">
            <v>-93518.757199809756</v>
          </cell>
          <cell r="M45">
            <v>-1177199.4741972478</v>
          </cell>
          <cell r="N45">
            <v>28471.252217582547</v>
          </cell>
          <cell r="O45">
            <v>34651.264835572954</v>
          </cell>
          <cell r="P45">
            <v>34164.489722509403</v>
          </cell>
          <cell r="Q45">
            <v>23481.911859456897</v>
          </cell>
          <cell r="R45">
            <v>2372777.6048436915</v>
          </cell>
        </row>
        <row r="47">
          <cell r="F47">
            <v>1214044.1721761937</v>
          </cell>
          <cell r="G47">
            <v>4037532.5379677135</v>
          </cell>
          <cell r="H47">
            <v>5967547.5736678997</v>
          </cell>
          <cell r="I47">
            <v>1384940.5469537189</v>
          </cell>
          <cell r="J47">
            <v>1908020.2877955018</v>
          </cell>
          <cell r="K47">
            <v>1454594.5765322435</v>
          </cell>
          <cell r="L47">
            <v>240424.48297281677</v>
          </cell>
          <cell r="M47">
            <v>308083.95952207572</v>
          </cell>
          <cell r="N47">
            <v>145114.05073732475</v>
          </cell>
          <cell r="O47">
            <v>40090.779403256769</v>
          </cell>
          <cell r="P47">
            <v>45489.77018157328</v>
          </cell>
          <cell r="Q47">
            <v>51052.243120359133</v>
          </cell>
          <cell r="R47">
            <v>587618.6719659901</v>
          </cell>
        </row>
        <row r="48">
          <cell r="F48">
            <v>769311.39559643902</v>
          </cell>
          <cell r="G48">
            <v>2072990.1096861886</v>
          </cell>
          <cell r="H48">
            <v>3500002.6867314768</v>
          </cell>
          <cell r="I48">
            <v>756507.50263427675</v>
          </cell>
          <cell r="J48">
            <v>385633.9281760843</v>
          </cell>
          <cell r="K48">
            <v>68768.851876882953</v>
          </cell>
          <cell r="L48">
            <v>57006.874468165508</v>
          </cell>
          <cell r="M48">
            <v>22257.426310274845</v>
          </cell>
          <cell r="N48">
            <v>3116.2352009481287</v>
          </cell>
          <cell r="O48">
            <v>10856.141510952129</v>
          </cell>
          <cell r="P48">
            <v>35062.62510038037</v>
          </cell>
          <cell r="Q48">
            <v>29293.628044717956</v>
          </cell>
          <cell r="R48">
            <v>109944.77267494654</v>
          </cell>
        </row>
        <row r="49">
          <cell r="F49">
            <v>444732.7765797546</v>
          </cell>
          <cell r="G49">
            <v>1964542.4282815249</v>
          </cell>
          <cell r="H49">
            <v>2467544.8869364234</v>
          </cell>
          <cell r="I49">
            <v>628433.04431944224</v>
          </cell>
          <cell r="J49">
            <v>1522386.3596194175</v>
          </cell>
          <cell r="K49">
            <v>1385825.7246553604</v>
          </cell>
          <cell r="L49">
            <v>183417.60850465126</v>
          </cell>
          <cell r="M49">
            <v>285826.53321180091</v>
          </cell>
          <cell r="N49">
            <v>141997.81553637661</v>
          </cell>
          <cell r="O49">
            <v>29234.63789230464</v>
          </cell>
          <cell r="P49">
            <v>10427.145081192912</v>
          </cell>
          <cell r="Q49">
            <v>21758.615075641184</v>
          </cell>
          <cell r="R49">
            <v>477673.89929104358</v>
          </cell>
        </row>
        <row r="51">
          <cell r="F51">
            <v>991515.0498982236</v>
          </cell>
          <cell r="G51">
            <v>2058232.1593802941</v>
          </cell>
          <cell r="H51">
            <v>1554202.2377388661</v>
          </cell>
          <cell r="I51">
            <v>723600.52144029643</v>
          </cell>
          <cell r="J51">
            <v>439285.51739827666</v>
          </cell>
          <cell r="K51">
            <v>29021.410483623244</v>
          </cell>
          <cell r="L51">
            <v>83406.957439832317</v>
          </cell>
          <cell r="M51">
            <v>8930.5407667085165</v>
          </cell>
          <cell r="N51">
            <v>1344.6226964182861</v>
          </cell>
          <cell r="O51">
            <v>8143.8194934195062</v>
          </cell>
          <cell r="P51">
            <v>1553.0902502791005</v>
          </cell>
          <cell r="Q51">
            <v>6036.5363829019079</v>
          </cell>
          <cell r="R51">
            <v>3820.3503475262601</v>
          </cell>
        </row>
        <row r="52">
          <cell r="F52">
            <v>-928827.55704310618</v>
          </cell>
          <cell r="G52">
            <v>-2317270.5207342333</v>
          </cell>
          <cell r="H52">
            <v>-2213416.9588590544</v>
          </cell>
          <cell r="I52">
            <v>-308059.14648788935</v>
          </cell>
          <cell r="J52">
            <v>-1016479.8081142553</v>
          </cell>
          <cell r="K52">
            <v>-1123195.2642389296</v>
          </cell>
          <cell r="L52">
            <v>-280576.83845179266</v>
          </cell>
          <cell r="M52">
            <v>-496256.31909719337</v>
          </cell>
          <cell r="N52">
            <v>-57565.106000772503</v>
          </cell>
          <cell r="O52">
            <v>-10158.548117783379</v>
          </cell>
          <cell r="P52">
            <v>-11355.094006436038</v>
          </cell>
          <cell r="Q52">
            <v>-10590.428010338372</v>
          </cell>
          <cell r="R52">
            <v>4157797.6221458744</v>
          </cell>
        </row>
        <row r="53">
          <cell r="F53">
            <v>-267125.14547641075</v>
          </cell>
          <cell r="G53">
            <v>-547210.19039853278</v>
          </cell>
          <cell r="H53">
            <v>-517755.49142157013</v>
          </cell>
          <cell r="I53">
            <v>-16536.123647113585</v>
          </cell>
          <cell r="J53">
            <v>-446530.42061945022</v>
          </cell>
          <cell r="K53">
            <v>-2188642.076879893</v>
          </cell>
          <cell r="L53">
            <v>-136773.35916066621</v>
          </cell>
          <cell r="M53">
            <v>-997957.65538883861</v>
          </cell>
          <cell r="N53">
            <v>-60422.315215387964</v>
          </cell>
          <cell r="O53">
            <v>-3424.7859433199551</v>
          </cell>
          <cell r="P53">
            <v>-1523.2767029069328</v>
          </cell>
          <cell r="Q53">
            <v>-23016.439633465769</v>
          </cell>
          <cell r="R53">
            <v>-2376459.0396156986</v>
          </cell>
        </row>
        <row r="55">
          <cell r="F55">
            <v>1760826.4454946625</v>
          </cell>
          <cell r="G55">
            <v>4131222.2690664828</v>
          </cell>
          <cell r="H55">
            <v>5054204.9244703427</v>
          </cell>
          <cell r="I55">
            <v>1480108.0240745731</v>
          </cell>
          <cell r="J55">
            <v>824919.4455743609</v>
          </cell>
          <cell r="K55">
            <v>97790.262360506196</v>
          </cell>
          <cell r="L55">
            <v>140413.83190799784</v>
          </cell>
          <cell r="M55">
            <v>31187.967076983361</v>
          </cell>
          <cell r="N55">
            <v>4460.8578973664153</v>
          </cell>
          <cell r="O55">
            <v>18999.961004371635</v>
          </cell>
          <cell r="P55">
            <v>36615.71535065947</v>
          </cell>
          <cell r="Q55">
            <v>35330.164427619864</v>
          </cell>
          <cell r="R55">
            <v>113765.12302247279</v>
          </cell>
        </row>
        <row r="56">
          <cell r="F56">
            <v>-484094.78046335158</v>
          </cell>
          <cell r="G56">
            <v>-352728.0924527084</v>
          </cell>
          <cell r="H56">
            <v>254127.928077369</v>
          </cell>
          <cell r="I56">
            <v>320373.89783155289</v>
          </cell>
          <cell r="J56">
            <v>505906.55150516215</v>
          </cell>
          <cell r="K56">
            <v>262630.46041643084</v>
          </cell>
          <cell r="L56">
            <v>-97159.229947141401</v>
          </cell>
          <cell r="M56">
            <v>-210429.78588539246</v>
          </cell>
          <cell r="N56">
            <v>84432.70953560411</v>
          </cell>
          <cell r="O56">
            <v>19076.089774521261</v>
          </cell>
          <cell r="P56">
            <v>-927.94892524312672</v>
          </cell>
          <cell r="Q56">
            <v>11168.187065302813</v>
          </cell>
          <cell r="R56">
            <v>4635471.5214369176</v>
          </cell>
        </row>
        <row r="57">
          <cell r="F57">
            <v>-267125.14547641075</v>
          </cell>
          <cell r="G57">
            <v>-547210.19039853278</v>
          </cell>
          <cell r="H57">
            <v>-517755.49142157013</v>
          </cell>
          <cell r="I57">
            <v>-16536.123647113585</v>
          </cell>
          <cell r="J57">
            <v>-446530.42061945022</v>
          </cell>
          <cell r="K57">
            <v>-2188642.076879893</v>
          </cell>
          <cell r="L57">
            <v>-136773.35916066621</v>
          </cell>
          <cell r="M57">
            <v>-997957.65538883861</v>
          </cell>
          <cell r="N57">
            <v>-60422.315215387964</v>
          </cell>
          <cell r="O57">
            <v>-3424.7859433199551</v>
          </cell>
          <cell r="P57">
            <v>-1523.2767029069328</v>
          </cell>
          <cell r="Q57">
            <v>-23016.439633465769</v>
          </cell>
          <cell r="R57">
            <v>-2376459.0396156986</v>
          </cell>
        </row>
        <row r="69">
          <cell r="F69">
            <v>9680973.8719133437</v>
          </cell>
          <cell r="G69">
            <v>30723760.994471911</v>
          </cell>
        </row>
        <row r="70">
          <cell r="F70">
            <v>-5045502.350476427</v>
          </cell>
          <cell r="G70">
            <v>11300721.278568231</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s>
    <sheetDataSet>
      <sheetData sheetId="0">
        <row r="5">
          <cell r="A5">
            <v>1</v>
          </cell>
          <cell r="B5" t="str">
            <v>Allocators</v>
          </cell>
          <cell r="C5" t="str">
            <v>Value</v>
          </cell>
          <cell r="D5" t="str">
            <v>Source</v>
          </cell>
          <cell r="F5" t="str">
            <v>UR</v>
          </cell>
          <cell r="G5" t="str">
            <v>R1</v>
          </cell>
          <cell r="H5" t="str">
            <v>R2</v>
          </cell>
          <cell r="I5" t="str">
            <v>Seasonal</v>
          </cell>
          <cell r="J5" t="str">
            <v>GSe</v>
          </cell>
          <cell r="K5" t="str">
            <v>GSd</v>
          </cell>
          <cell r="L5" t="str">
            <v>UGe</v>
          </cell>
          <cell r="M5" t="str">
            <v>UGd</v>
          </cell>
          <cell r="N5" t="str">
            <v>St Lgt</v>
          </cell>
          <cell r="O5" t="str">
            <v>Sen Lgt</v>
          </cell>
          <cell r="P5" t="str">
            <v>USL</v>
          </cell>
          <cell r="Q5" t="str">
            <v>Dgen</v>
          </cell>
          <cell r="R5" t="str">
            <v>ST</v>
          </cell>
        </row>
        <row r="6">
          <cell r="A6">
            <v>2</v>
          </cell>
          <cell r="B6" t="str">
            <v>Number of Customers</v>
          </cell>
          <cell r="C6">
            <v>1311593.5186562426</v>
          </cell>
          <cell r="D6" t="str">
            <v>2017 Load Forecast</v>
          </cell>
          <cell r="F6">
            <v>213917.86412104563</v>
          </cell>
          <cell r="G6">
            <v>445242.90946647938</v>
          </cell>
          <cell r="H6">
            <v>334550.76694052614</v>
          </cell>
          <cell r="I6">
            <v>155033.41025414609</v>
          </cell>
          <cell r="J6">
            <v>94081.120095730163</v>
          </cell>
          <cell r="K6">
            <v>6281.5350075745537</v>
          </cell>
          <cell r="L6">
            <v>17850.99352861544</v>
          </cell>
          <cell r="M6">
            <v>1912.6699858357695</v>
          </cell>
          <cell r="N6">
            <v>4972.9013381814475</v>
          </cell>
          <cell r="O6">
            <v>29671.140221185764</v>
          </cell>
          <cell r="P6">
            <v>5733.5202050826056</v>
          </cell>
          <cell r="Q6">
            <v>1522.9629313036801</v>
          </cell>
          <cell r="R6">
            <v>821.72456053631527</v>
          </cell>
        </row>
        <row r="7">
          <cell r="A7">
            <v>3</v>
          </cell>
          <cell r="B7" t="str">
            <v>kWh</v>
          </cell>
          <cell r="C7">
            <v>35940245368.24511</v>
          </cell>
          <cell r="D7" t="str">
            <v>2017 Load Forecast</v>
          </cell>
          <cell r="F7">
            <v>2039119237.3865039</v>
          </cell>
          <cell r="G7">
            <v>5105111619.4480171</v>
          </cell>
          <cell r="H7">
            <v>4816260166.2785091</v>
          </cell>
          <cell r="I7">
            <v>668804952.38432503</v>
          </cell>
          <cell r="J7">
            <v>2215826849.1845155</v>
          </cell>
          <cell r="K7">
            <v>2468895805.5316868</v>
          </cell>
          <cell r="L7">
            <v>613411739.28002405</v>
          </cell>
          <cell r="M7">
            <v>1085625235.6860096</v>
          </cell>
          <cell r="N7">
            <v>125123039.93618228</v>
          </cell>
          <cell r="O7">
            <v>22080536.459326282</v>
          </cell>
          <cell r="P7">
            <v>25229668.994320702</v>
          </cell>
          <cell r="Q7">
            <v>23930287.84741997</v>
          </cell>
          <cell r="R7">
            <v>16730826229.828272</v>
          </cell>
        </row>
        <row r="8">
          <cell r="A8">
            <v>4</v>
          </cell>
          <cell r="B8" t="str">
            <v>kWh excl WMP</v>
          </cell>
          <cell r="C8">
            <v>24220626299.442966</v>
          </cell>
          <cell r="D8" t="str">
            <v>2017 Load Forecast</v>
          </cell>
          <cell r="F8">
            <v>2039119237.3865039</v>
          </cell>
          <cell r="G8">
            <v>5105111619.4480171</v>
          </cell>
          <cell r="H8">
            <v>4816260166.2785091</v>
          </cell>
          <cell r="I8">
            <v>668804952.38432503</v>
          </cell>
          <cell r="J8">
            <v>2215826849.1845155</v>
          </cell>
          <cell r="K8">
            <v>2468895805.5316868</v>
          </cell>
          <cell r="L8">
            <v>613411739.28002405</v>
          </cell>
          <cell r="M8">
            <v>1085625235.6860096</v>
          </cell>
          <cell r="N8">
            <v>125123039.93618228</v>
          </cell>
          <cell r="O8">
            <v>22080536.459326282</v>
          </cell>
          <cell r="P8">
            <v>25229668.994320702</v>
          </cell>
          <cell r="Q8">
            <v>23930287.84741997</v>
          </cell>
          <cell r="R8">
            <v>5011207161.0261269</v>
          </cell>
        </row>
        <row r="9">
          <cell r="A9">
            <v>5</v>
          </cell>
          <cell r="B9" t="str">
            <v>kWh for Non-RPP, Non-LDC, and Class B customers</v>
          </cell>
          <cell r="C9">
            <v>7868686828.3035774</v>
          </cell>
          <cell r="D9" t="str">
            <v>2017 Load Forecast</v>
          </cell>
          <cell r="F9">
            <v>277895441.32611489</v>
          </cell>
          <cell r="G9">
            <v>571270505.98959553</v>
          </cell>
          <cell r="H9">
            <v>533863882.18486661</v>
          </cell>
          <cell r="I9">
            <v>17012110.86819927</v>
          </cell>
          <cell r="J9">
            <v>461261531.36692816</v>
          </cell>
          <cell r="K9">
            <v>2279719233.791656</v>
          </cell>
          <cell r="L9">
            <v>141697079.78645262</v>
          </cell>
          <cell r="M9">
            <v>1034534825.810813</v>
          </cell>
          <cell r="N9">
            <v>62234966.716036998</v>
          </cell>
          <cell r="O9">
            <v>3527528.5038694986</v>
          </cell>
          <cell r="P9">
            <v>1603831.5022637621</v>
          </cell>
          <cell r="Q9">
            <v>24645161.894212909</v>
          </cell>
          <cell r="R9">
            <v>2459420728.5625687</v>
          </cell>
        </row>
        <row r="10">
          <cell r="A10">
            <v>6</v>
          </cell>
          <cell r="B10" t="str">
            <v>Billing kWs</v>
          </cell>
          <cell r="C10">
            <v>42807067.431083299</v>
          </cell>
          <cell r="D10" t="str">
            <v>2017 Load Forecast</v>
          </cell>
          <cell r="F10">
            <v>0</v>
          </cell>
          <cell r="G10">
            <v>0</v>
          </cell>
          <cell r="H10">
            <v>0</v>
          </cell>
          <cell r="I10">
            <v>0</v>
          </cell>
          <cell r="J10">
            <v>0</v>
          </cell>
          <cell r="K10">
            <v>8541960.1686262898</v>
          </cell>
          <cell r="L10">
            <v>0</v>
          </cell>
          <cell r="M10">
            <v>3048496.2309397054</v>
          </cell>
          <cell r="N10">
            <v>0</v>
          </cell>
          <cell r="O10">
            <v>0</v>
          </cell>
          <cell r="P10">
            <v>0</v>
          </cell>
          <cell r="Q10">
            <v>240222.96054874925</v>
          </cell>
          <cell r="R10">
            <v>30976388.070968553</v>
          </cell>
        </row>
        <row r="42">
          <cell r="F42" t="str">
            <v>UR</v>
          </cell>
          <cell r="G42" t="str">
            <v>R1</v>
          </cell>
          <cell r="H42" t="str">
            <v>R2</v>
          </cell>
          <cell r="I42" t="str">
            <v>Seasonal</v>
          </cell>
          <cell r="J42" t="str">
            <v>GSe</v>
          </cell>
          <cell r="K42" t="str">
            <v>GSd</v>
          </cell>
          <cell r="L42" t="str">
            <v>UGe</v>
          </cell>
          <cell r="M42" t="str">
            <v>UGd</v>
          </cell>
          <cell r="N42" t="str">
            <v>St Lgt</v>
          </cell>
          <cell r="O42" t="str">
            <v>Sen Lgt</v>
          </cell>
          <cell r="P42" t="str">
            <v>USL</v>
          </cell>
          <cell r="Q42" t="str">
            <v>Dgen</v>
          </cell>
          <cell r="R42" t="str">
            <v>ST</v>
          </cell>
        </row>
        <row r="43">
          <cell r="F43">
            <v>2734171.9430284351</v>
          </cell>
          <cell r="G43">
            <v>9122260.1861873213</v>
          </cell>
          <cell r="H43">
            <v>14779027.140729351</v>
          </cell>
          <cell r="I43">
            <v>5335999.1493390743</v>
          </cell>
          <cell r="J43">
            <v>2613587.5545309773</v>
          </cell>
          <cell r="K43">
            <v>-5185273.1172530837</v>
          </cell>
          <cell r="L43">
            <v>-244267.3992391513</v>
          </cell>
          <cell r="M43">
            <v>-3462710.2144792951</v>
          </cell>
          <cell r="N43">
            <v>96188.069968127747</v>
          </cell>
          <cell r="O43">
            <v>107680.32007087734</v>
          </cell>
          <cell r="P43">
            <v>95005.635977521088</v>
          </cell>
          <cell r="Q43">
            <v>123586.88691769683</v>
          </cell>
          <cell r="R43">
            <v>7167692.3830046449</v>
          </cell>
        </row>
        <row r="45">
          <cell r="F45">
            <v>911390.64767614508</v>
          </cell>
          <cell r="G45">
            <v>3040753.3953957739</v>
          </cell>
          <cell r="H45">
            <v>4926342.380243117</v>
          </cell>
          <cell r="I45">
            <v>1778666.3831130248</v>
          </cell>
          <cell r="J45">
            <v>871195.8515103258</v>
          </cell>
          <cell r="K45">
            <v>-1728424.3724176947</v>
          </cell>
          <cell r="L45">
            <v>-81422.466413050439</v>
          </cell>
          <cell r="M45">
            <v>-1154236.738159765</v>
          </cell>
          <cell r="N45">
            <v>32062.689989375915</v>
          </cell>
          <cell r="O45">
            <v>35893.440023625779</v>
          </cell>
          <cell r="P45">
            <v>31668.545325840361</v>
          </cell>
          <cell r="Q45">
            <v>41195.62897256561</v>
          </cell>
          <cell r="R45">
            <v>2389230.7943348815</v>
          </cell>
        </row>
        <row r="47">
          <cell r="F47">
            <v>1117312.7043932762</v>
          </cell>
          <cell r="G47">
            <v>3855406.2782923779</v>
          </cell>
          <cell r="H47">
            <v>6086703.7767953323</v>
          </cell>
          <cell r="I47">
            <v>1380976.2425948074</v>
          </cell>
          <cell r="J47">
            <v>1890500.3084483768</v>
          </cell>
          <cell r="K47">
            <v>1566272.3726453718</v>
          </cell>
          <cell r="L47">
            <v>252267.82398376442</v>
          </cell>
          <cell r="M47">
            <v>329382.5411623111</v>
          </cell>
          <cell r="N47">
            <v>147801.29250045106</v>
          </cell>
          <cell r="O47">
            <v>41346.199282810958</v>
          </cell>
          <cell r="P47">
            <v>43178.260144375578</v>
          </cell>
          <cell r="Q47">
            <v>68802.534027737784</v>
          </cell>
          <cell r="R47">
            <v>604603.31872567325</v>
          </cell>
        </row>
        <row r="48">
          <cell r="F48">
            <v>858173.76829529856</v>
          </cell>
          <cell r="G48">
            <v>2337030.9863156774</v>
          </cell>
          <cell r="H48">
            <v>3907000.2164175715</v>
          </cell>
          <cell r="I48">
            <v>847418.16667346784</v>
          </cell>
          <cell r="J48">
            <v>382092.92890033667</v>
          </cell>
          <cell r="K48">
            <v>74048.641821617566</v>
          </cell>
          <cell r="L48">
            <v>59815.040450043081</v>
          </cell>
          <cell r="M48">
            <v>23796.135472888498</v>
          </cell>
          <cell r="N48">
            <v>3173.9420689816752</v>
          </cell>
          <cell r="O48">
            <v>11196.09538740372</v>
          </cell>
          <cell r="P48">
            <v>33280.95837560849</v>
          </cell>
          <cell r="Q48">
            <v>42684.79734968808</v>
          </cell>
          <cell r="R48">
            <v>113122.63821265993</v>
          </cell>
        </row>
        <row r="49">
          <cell r="F49">
            <v>259138.93609797765</v>
          </cell>
          <cell r="G49">
            <v>1518375.291976701</v>
          </cell>
          <cell r="H49">
            <v>2179703.5603777608</v>
          </cell>
          <cell r="I49">
            <v>533558.07592133956</v>
          </cell>
          <cell r="J49">
            <v>1508407.3795480402</v>
          </cell>
          <cell r="K49">
            <v>1492223.7308237543</v>
          </cell>
          <cell r="L49">
            <v>192452.78353372135</v>
          </cell>
          <cell r="M49">
            <v>305586.40568942262</v>
          </cell>
          <cell r="N49">
            <v>144627.35043146939</v>
          </cell>
          <cell r="O49">
            <v>30150.103895407236</v>
          </cell>
          <cell r="P49">
            <v>9897.3017687670908</v>
          </cell>
          <cell r="Q49">
            <v>26117.736678049707</v>
          </cell>
          <cell r="R49">
            <v>491480.68051301327</v>
          </cell>
        </row>
        <row r="51">
          <cell r="F51">
            <v>992533.64107520354</v>
          </cell>
          <cell r="G51">
            <v>2065832.9210206678</v>
          </cell>
          <cell r="H51">
            <v>1552244.793581567</v>
          </cell>
          <cell r="I51">
            <v>719322.23052106856</v>
          </cell>
          <cell r="J51">
            <v>436516.49696824822</v>
          </cell>
          <cell r="K51">
            <v>29144.993749009449</v>
          </cell>
          <cell r="L51">
            <v>82824.834085576862</v>
          </cell>
          <cell r="M51">
            <v>8874.3841614958747</v>
          </cell>
          <cell r="N51">
            <v>1344.8661102822682</v>
          </cell>
          <cell r="O51">
            <v>8024.2313738519379</v>
          </cell>
          <cell r="P51">
            <v>1550.5670617736453</v>
          </cell>
          <cell r="Q51">
            <v>7066.2258602865959</v>
          </cell>
          <cell r="R51">
            <v>3812.6281476358072</v>
          </cell>
        </row>
        <row r="52">
          <cell r="F52">
            <v>-930636.45994481212</v>
          </cell>
          <cell r="G52">
            <v>-2329928.9801392346</v>
          </cell>
          <cell r="H52">
            <v>-2198099.6643743948</v>
          </cell>
          <cell r="I52">
            <v>-305236.8208139913</v>
          </cell>
          <cell r="J52">
            <v>-1011284.2922411599</v>
          </cell>
          <cell r="K52">
            <v>-1126782.7845994174</v>
          </cell>
          <cell r="L52">
            <v>-279955.83537518635</v>
          </cell>
          <cell r="M52">
            <v>-495470.00863985252</v>
          </cell>
          <cell r="N52">
            <v>-57105.077922263095</v>
          </cell>
          <cell r="O52">
            <v>-10077.366692164082</v>
          </cell>
          <cell r="P52">
            <v>-11514.603662190633</v>
          </cell>
          <cell r="Q52">
            <v>-10921.577296444315</v>
          </cell>
          <cell r="R52">
            <v>4151059.5046851989</v>
          </cell>
        </row>
        <row r="53">
          <cell r="F53">
            <v>-267819.23784752242</v>
          </cell>
          <cell r="G53">
            <v>-550556.82377803815</v>
          </cell>
          <cell r="H53">
            <v>-514506.52575938537</v>
          </cell>
          <cell r="I53">
            <v>-16395.269188859922</v>
          </cell>
          <cell r="J53">
            <v>-444536.66166513955</v>
          </cell>
          <cell r="K53">
            <v>-2197058.9542126586</v>
          </cell>
          <cell r="L53">
            <v>-136559.28910720526</v>
          </cell>
          <cell r="M53">
            <v>-997023.65484371909</v>
          </cell>
          <cell r="N53">
            <v>-59978.390699094307</v>
          </cell>
          <cell r="O53">
            <v>-3399.6239408730435</v>
          </cell>
          <cell r="P53">
            <v>-1545.6782181182277</v>
          </cell>
          <cell r="Q53">
            <v>-23751.553619014459</v>
          </cell>
          <cell r="R53">
            <v>-2370244.6572236265</v>
          </cell>
        </row>
        <row r="55">
          <cell r="F55">
            <v>1850707.409370502</v>
          </cell>
          <cell r="G55">
            <v>4402863.9073363449</v>
          </cell>
          <cell r="H55">
            <v>5459245.0099991383</v>
          </cell>
          <cell r="I55">
            <v>1566740.3971945364</v>
          </cell>
          <cell r="J55">
            <v>818609.42586858489</v>
          </cell>
          <cell r="K55">
            <v>103193.63557062701</v>
          </cell>
          <cell r="L55">
            <v>142639.87453561995</v>
          </cell>
          <cell r="M55">
            <v>32670.519634384371</v>
          </cell>
          <cell r="N55">
            <v>4518.8081792639432</v>
          </cell>
          <cell r="O55">
            <v>19220.326761255659</v>
          </cell>
          <cell r="P55">
            <v>34831.525437382137</v>
          </cell>
          <cell r="Q55">
            <v>49751.023209974679</v>
          </cell>
          <cell r="R55">
            <v>116935.26636029575</v>
          </cell>
        </row>
        <row r="56">
          <cell r="F56">
            <v>-671497.52384683443</v>
          </cell>
          <cell r="G56">
            <v>-811553.68816253357</v>
          </cell>
          <cell r="H56">
            <v>-18396.103996634018</v>
          </cell>
          <cell r="I56">
            <v>228321.25510734826</v>
          </cell>
          <cell r="J56">
            <v>497123.08730688028</v>
          </cell>
          <cell r="K56">
            <v>365440.94622433698</v>
          </cell>
          <cell r="L56">
            <v>-87503.051841465</v>
          </cell>
          <cell r="M56">
            <v>-189883.60295042989</v>
          </cell>
          <cell r="N56">
            <v>87522.27250920629</v>
          </cell>
          <cell r="O56">
            <v>20072.737203243152</v>
          </cell>
          <cell r="P56">
            <v>-1617.3018934235424</v>
          </cell>
          <cell r="Q56">
            <v>15196.159381605392</v>
          </cell>
          <cell r="R56">
            <v>4642540.185198212</v>
          </cell>
        </row>
        <row r="57">
          <cell r="F57">
            <v>-267819.23784752242</v>
          </cell>
          <cell r="G57">
            <v>-550556.82377803815</v>
          </cell>
          <cell r="H57">
            <v>-514506.52575938537</v>
          </cell>
          <cell r="I57">
            <v>-16395.269188859922</v>
          </cell>
          <cell r="J57">
            <v>-444536.66166513955</v>
          </cell>
          <cell r="K57">
            <v>-2197058.9542126586</v>
          </cell>
          <cell r="L57">
            <v>-136559.28910720526</v>
          </cell>
          <cell r="M57">
            <v>-997023.65484371909</v>
          </cell>
          <cell r="N57">
            <v>-59978.390699094307</v>
          </cell>
          <cell r="O57">
            <v>-3399.6239408730435</v>
          </cell>
          <cell r="P57">
            <v>-1545.6782181182277</v>
          </cell>
          <cell r="Q57">
            <v>-23751.553619014459</v>
          </cell>
          <cell r="R57">
            <v>-2370244.6572236265</v>
          </cell>
        </row>
        <row r="69">
          <cell r="F69">
            <v>9682500.9150798563</v>
          </cell>
          <cell r="G69">
            <v>30976388.070968553</v>
          </cell>
        </row>
        <row r="70">
          <cell r="F70">
            <v>-5039960.7298816442</v>
          </cell>
          <cell r="G70">
            <v>11408858.638430865</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abSelected="1" topLeftCell="B1" workbookViewId="0">
      <selection activeCell="J50" sqref="J50 J77"/>
    </sheetView>
  </sheetViews>
  <sheetFormatPr defaultColWidth="8.7265625" defaultRowHeight="14" x14ac:dyDescent="0.3"/>
  <cols>
    <col min="1" max="1" width="68.54296875" style="1" customWidth="1"/>
    <col min="2" max="2" width="13" style="2" customWidth="1"/>
    <col min="3" max="3" width="15.1796875" style="1" customWidth="1"/>
    <col min="4" max="5" width="15.54296875" style="1" bestFit="1" customWidth="1"/>
    <col min="6" max="6" width="16.453125" style="1" customWidth="1"/>
    <col min="7" max="9" width="18.26953125" style="1" customWidth="1"/>
    <col min="10" max="10" width="15.7265625" style="1" bestFit="1" customWidth="1"/>
    <col min="11" max="12" width="16" style="1" customWidth="1"/>
    <col min="13" max="13" width="13.1796875" style="1" bestFit="1" customWidth="1"/>
    <col min="14" max="14" width="13.453125" style="1" customWidth="1"/>
    <col min="15" max="16" width="14.453125" style="1" customWidth="1"/>
    <col min="17" max="18" width="18.1796875" style="1" customWidth="1"/>
    <col min="19" max="20" width="13" style="1" customWidth="1"/>
    <col min="21" max="21" width="12.54296875" style="1" customWidth="1"/>
    <col min="22" max="22" width="9.7265625" style="1" customWidth="1"/>
    <col min="23" max="16384" width="8.7265625" style="1"/>
  </cols>
  <sheetData>
    <row r="1" spans="1:12" x14ac:dyDescent="0.3">
      <c r="A1" s="81" t="s">
        <v>78</v>
      </c>
    </row>
    <row r="2" spans="1:12" x14ac:dyDescent="0.3">
      <c r="D2" s="45"/>
      <c r="E2" s="45"/>
      <c r="F2" s="45"/>
      <c r="G2" s="45"/>
    </row>
    <row r="3" spans="1:12" x14ac:dyDescent="0.3">
      <c r="D3" s="106"/>
      <c r="E3" s="105"/>
      <c r="F3" s="106"/>
      <c r="G3" s="45"/>
    </row>
    <row r="4" spans="1:12" x14ac:dyDescent="0.3">
      <c r="A4" s="1" t="s">
        <v>41</v>
      </c>
      <c r="B4" s="44" t="s">
        <v>79</v>
      </c>
      <c r="D4" s="106"/>
      <c r="E4" s="105"/>
      <c r="F4" s="106"/>
      <c r="G4" s="45"/>
    </row>
    <row r="5" spans="1:12" x14ac:dyDescent="0.3">
      <c r="A5" s="40" t="s">
        <v>75</v>
      </c>
      <c r="B5" s="1"/>
    </row>
    <row r="6" spans="1:12" ht="84" x14ac:dyDescent="0.3">
      <c r="A6" s="41" t="s">
        <v>42</v>
      </c>
      <c r="B6" s="5" t="s">
        <v>43</v>
      </c>
      <c r="C6" s="5" t="s">
        <v>44</v>
      </c>
      <c r="D6" s="6" t="s">
        <v>45</v>
      </c>
      <c r="E6" s="51" t="s">
        <v>46</v>
      </c>
      <c r="F6" s="5" t="s">
        <v>47</v>
      </c>
      <c r="G6" s="7" t="s">
        <v>48</v>
      </c>
      <c r="H6" s="6" t="s">
        <v>49</v>
      </c>
      <c r="I6" s="5" t="s">
        <v>50</v>
      </c>
    </row>
    <row r="7" spans="1:12" ht="28" x14ac:dyDescent="0.3">
      <c r="A7" s="42" t="s">
        <v>51</v>
      </c>
      <c r="B7" s="13">
        <v>55738152.589693606</v>
      </c>
      <c r="C7" s="13">
        <v>262840.17892793217</v>
      </c>
      <c r="D7" s="14">
        <f>SUM(B7:C7)</f>
        <v>56000992.768621542</v>
      </c>
      <c r="E7" s="9">
        <f>SUM([1]Summary!$H$84,[1]Summary!$H$100)</f>
        <v>59352478.784856349</v>
      </c>
      <c r="F7" s="15">
        <f>D7-E7</f>
        <v>-3351486.0162348077</v>
      </c>
      <c r="G7" s="9">
        <v>114992</v>
      </c>
      <c r="H7" s="10">
        <f>SUM(F7:G7)</f>
        <v>-3236494.0162348077</v>
      </c>
      <c r="I7" s="11">
        <f>F7/D7</f>
        <v>-5.9846903609050144E-2</v>
      </c>
      <c r="J7" s="12"/>
      <c r="K7" s="12"/>
      <c r="L7" s="12"/>
    </row>
    <row r="8" spans="1:12" x14ac:dyDescent="0.3">
      <c r="A8" s="8" t="s">
        <v>52</v>
      </c>
      <c r="B8" s="13">
        <v>-21675257.940000001</v>
      </c>
      <c r="C8" s="13">
        <v>-1082810.5097750002</v>
      </c>
      <c r="D8" s="14">
        <f t="shared" ref="D8:D9" si="0">SUM(B8:C8)</f>
        <v>-22758068.449775003</v>
      </c>
      <c r="E8" s="9">
        <f>[1]Summary!$H$68</f>
        <v>-19555816.934856359</v>
      </c>
      <c r="F8" s="15">
        <f>D8-E8</f>
        <v>-3202251.514918644</v>
      </c>
      <c r="G8" s="43"/>
      <c r="H8" s="10">
        <f>SUM(F8:G8)</f>
        <v>-3202251.514918644</v>
      </c>
      <c r="I8" s="11">
        <f>F8/D8</f>
        <v>0.14070840510853208</v>
      </c>
      <c r="J8" s="12" t="s">
        <v>76</v>
      </c>
      <c r="K8" s="12"/>
      <c r="L8" s="12"/>
    </row>
    <row r="9" spans="1:12" x14ac:dyDescent="0.3">
      <c r="A9" s="8" t="s">
        <v>53</v>
      </c>
      <c r="B9" s="16">
        <f>SUM(B7:B8)</f>
        <v>34062894.649693608</v>
      </c>
      <c r="C9" s="16">
        <f>SUM(C7:C8)</f>
        <v>-819970.33084706799</v>
      </c>
      <c r="D9" s="14">
        <f t="shared" si="0"/>
        <v>33242924.318846539</v>
      </c>
      <c r="E9" s="16">
        <f>SUM(E7:E8)</f>
        <v>39796661.849999994</v>
      </c>
      <c r="F9" s="15">
        <f>D9-E9</f>
        <v>-6553737.5311534554</v>
      </c>
      <c r="G9" s="17">
        <f>SUM(G7:G8)</f>
        <v>114992</v>
      </c>
      <c r="H9" s="10">
        <f>SUM(F9:G9)</f>
        <v>-6438745.5311534554</v>
      </c>
      <c r="I9" s="11">
        <f>F9/D9</f>
        <v>-0.19714684148403636</v>
      </c>
      <c r="J9" s="12"/>
      <c r="K9" s="12"/>
      <c r="L9" s="12"/>
    </row>
    <row r="10" spans="1:12" ht="14.9" customHeight="1" x14ac:dyDescent="0.3">
      <c r="A10" s="3"/>
      <c r="B10" s="18"/>
      <c r="C10" s="18"/>
      <c r="D10" s="19"/>
      <c r="E10" s="18"/>
      <c r="G10" s="20" t="s">
        <v>54</v>
      </c>
      <c r="H10" s="9">
        <f>H9</f>
        <v>-6438745.5311534554</v>
      </c>
      <c r="I10" s="21"/>
      <c r="J10" s="12"/>
      <c r="K10" s="12"/>
      <c r="L10" s="12"/>
    </row>
    <row r="11" spans="1:12" ht="14.9" customHeight="1" x14ac:dyDescent="0.3">
      <c r="A11" s="3"/>
      <c r="B11" s="18"/>
      <c r="C11" s="18"/>
      <c r="D11" s="19"/>
      <c r="E11" s="53"/>
      <c r="G11" s="22" t="s">
        <v>55</v>
      </c>
      <c r="H11" s="10">
        <f>H10-H9</f>
        <v>0</v>
      </c>
      <c r="I11" s="21"/>
      <c r="J11" s="12"/>
      <c r="K11" s="12"/>
      <c r="L11" s="12"/>
    </row>
    <row r="12" spans="1:12" x14ac:dyDescent="0.3">
      <c r="A12" s="3"/>
      <c r="B12" s="4"/>
      <c r="C12" s="4"/>
      <c r="D12" s="4"/>
    </row>
    <row r="13" spans="1:12" x14ac:dyDescent="0.3">
      <c r="A13" s="23" t="s">
        <v>56</v>
      </c>
      <c r="B13" s="3"/>
      <c r="C13" s="4"/>
      <c r="D13" s="4"/>
      <c r="E13" s="4"/>
    </row>
    <row r="14" spans="1:12" x14ac:dyDescent="0.3">
      <c r="A14" s="3"/>
      <c r="B14" s="3"/>
      <c r="C14" s="4"/>
      <c r="D14" s="4"/>
      <c r="E14" s="4"/>
    </row>
    <row r="15" spans="1:12" x14ac:dyDescent="0.3">
      <c r="A15" s="4" t="s">
        <v>77</v>
      </c>
      <c r="B15" s="3"/>
      <c r="C15" s="4"/>
      <c r="D15" s="4"/>
      <c r="E15" s="4"/>
    </row>
    <row r="16" spans="1:12" ht="14.15" customHeight="1" x14ac:dyDescent="0.3">
      <c r="A16" s="139" t="s">
        <v>57</v>
      </c>
      <c r="B16" s="47" t="s">
        <v>58</v>
      </c>
      <c r="C16" s="48"/>
      <c r="D16" s="48"/>
      <c r="E16" s="48"/>
      <c r="F16" s="49"/>
      <c r="G16" s="49"/>
      <c r="H16" s="50" t="s">
        <v>59</v>
      </c>
    </row>
    <row r="17" spans="1:13" ht="14.15" customHeight="1" x14ac:dyDescent="0.3">
      <c r="A17" s="139"/>
      <c r="B17" s="47" t="s">
        <v>132</v>
      </c>
      <c r="C17" s="48"/>
      <c r="D17" s="48"/>
      <c r="E17" s="48"/>
      <c r="F17" s="49"/>
      <c r="G17" s="49"/>
      <c r="H17" s="50" t="s">
        <v>59</v>
      </c>
    </row>
    <row r="18" spans="1:13" ht="14.15" customHeight="1" x14ac:dyDescent="0.3">
      <c r="A18" s="3"/>
      <c r="B18" s="47" t="s">
        <v>61</v>
      </c>
      <c r="C18" s="48"/>
      <c r="D18" s="48"/>
      <c r="E18" s="48"/>
      <c r="F18" s="49"/>
      <c r="G18" s="49"/>
      <c r="H18" s="50" t="s">
        <v>59</v>
      </c>
    </row>
    <row r="19" spans="1:13" ht="14.15" customHeight="1" x14ac:dyDescent="0.3">
      <c r="A19" s="3"/>
      <c r="B19" s="47" t="s">
        <v>62</v>
      </c>
      <c r="C19" s="48"/>
      <c r="D19" s="48"/>
      <c r="E19" s="48"/>
      <c r="F19" s="49"/>
      <c r="G19" s="49"/>
      <c r="H19" s="50" t="s">
        <v>60</v>
      </c>
    </row>
    <row r="20" spans="1:13" ht="14.15" customHeight="1" x14ac:dyDescent="0.3">
      <c r="A20" s="3"/>
      <c r="B20" s="47" t="s">
        <v>63</v>
      </c>
      <c r="C20" s="48"/>
      <c r="D20" s="48"/>
      <c r="E20" s="48"/>
      <c r="F20" s="49"/>
      <c r="G20" s="49"/>
      <c r="H20" s="50" t="s">
        <v>60</v>
      </c>
    </row>
    <row r="21" spans="1:13" ht="14.15" customHeight="1" x14ac:dyDescent="0.3">
      <c r="A21" s="3"/>
      <c r="B21" s="47" t="s">
        <v>64</v>
      </c>
      <c r="C21" s="48"/>
      <c r="D21" s="48"/>
      <c r="E21" s="48"/>
      <c r="F21" s="49"/>
      <c r="G21" s="49"/>
      <c r="H21" s="50" t="s">
        <v>60</v>
      </c>
    </row>
    <row r="22" spans="1:13" ht="14.15" customHeight="1" x14ac:dyDescent="0.3">
      <c r="A22" s="3"/>
      <c r="B22" s="140" t="s">
        <v>65</v>
      </c>
      <c r="C22" s="141"/>
      <c r="D22" s="141"/>
      <c r="E22" s="141"/>
      <c r="F22" s="49"/>
      <c r="G22" s="49"/>
      <c r="H22" s="50" t="s">
        <v>60</v>
      </c>
    </row>
    <row r="23" spans="1:13" ht="14.15" customHeight="1" x14ac:dyDescent="0.3">
      <c r="A23" s="3"/>
      <c r="B23" s="3"/>
      <c r="C23" s="3"/>
      <c r="D23" s="3"/>
      <c r="E23" s="3"/>
      <c r="F23" s="45"/>
    </row>
    <row r="24" spans="1:13" x14ac:dyDescent="0.3">
      <c r="A24" s="4" t="s">
        <v>81</v>
      </c>
      <c r="B24" s="3"/>
      <c r="C24" s="3"/>
      <c r="D24" s="4"/>
      <c r="E24" s="4"/>
      <c r="F24" s="4"/>
    </row>
    <row r="25" spans="1:13" x14ac:dyDescent="0.3">
      <c r="A25" s="23" t="s">
        <v>0</v>
      </c>
      <c r="B25" s="1"/>
      <c r="C25" s="3"/>
      <c r="D25" s="4"/>
      <c r="E25" s="4"/>
      <c r="F25" s="4"/>
    </row>
    <row r="26" spans="1:13" x14ac:dyDescent="0.3">
      <c r="A26" s="23" t="s">
        <v>1</v>
      </c>
      <c r="B26" s="1"/>
      <c r="C26" s="24">
        <v>32</v>
      </c>
      <c r="D26" s="4"/>
      <c r="E26" s="4"/>
      <c r="F26" s="4"/>
      <c r="G26" s="12"/>
    </row>
    <row r="29" spans="1:13" x14ac:dyDescent="0.3">
      <c r="A29" s="1" t="s">
        <v>2</v>
      </c>
    </row>
    <row r="30" spans="1:13" s="25" customFormat="1" ht="44.15" customHeight="1" x14ac:dyDescent="0.3">
      <c r="A30" s="60"/>
      <c r="B30" s="61"/>
      <c r="C30" s="62"/>
      <c r="D30" s="94" t="s">
        <v>115</v>
      </c>
      <c r="E30" s="77"/>
      <c r="F30" s="77"/>
      <c r="G30" s="77" t="s">
        <v>125</v>
      </c>
      <c r="H30" s="77"/>
      <c r="I30" s="77"/>
      <c r="J30" s="77" t="s">
        <v>8</v>
      </c>
      <c r="K30" s="77"/>
      <c r="L30" s="57"/>
      <c r="M30" s="79" t="s">
        <v>9</v>
      </c>
    </row>
    <row r="31" spans="1:13" s="25" customFormat="1" ht="42" x14ac:dyDescent="0.3">
      <c r="A31" s="63"/>
      <c r="B31" s="64"/>
      <c r="C31" s="59"/>
      <c r="D31" s="95" t="s">
        <v>67</v>
      </c>
      <c r="E31" s="79" t="s">
        <v>69</v>
      </c>
      <c r="F31" s="79" t="s">
        <v>70</v>
      </c>
      <c r="G31" s="79" t="s">
        <v>67</v>
      </c>
      <c r="H31" s="79" t="s">
        <v>96</v>
      </c>
      <c r="I31" s="79" t="s">
        <v>80</v>
      </c>
      <c r="J31" s="79" t="s">
        <v>67</v>
      </c>
      <c r="K31" s="78" t="s">
        <v>71</v>
      </c>
      <c r="L31" s="78" t="s">
        <v>72</v>
      </c>
      <c r="M31" s="79" t="s">
        <v>67</v>
      </c>
    </row>
    <row r="32" spans="1:13" s="31" customFormat="1" x14ac:dyDescent="0.3">
      <c r="A32" s="35" t="s">
        <v>3</v>
      </c>
      <c r="B32" s="36"/>
      <c r="C32" s="59" t="s">
        <v>4</v>
      </c>
      <c r="D32" s="32" t="s">
        <v>68</v>
      </c>
      <c r="E32" s="32" t="s">
        <v>66</v>
      </c>
      <c r="F32" s="34" t="str">
        <f>"(C)"</f>
        <v>(C)</v>
      </c>
      <c r="G32" s="79" t="s">
        <v>86</v>
      </c>
      <c r="H32" s="79" t="s">
        <v>87</v>
      </c>
      <c r="I32" s="79" t="s">
        <v>120</v>
      </c>
      <c r="J32" s="79" t="s">
        <v>116</v>
      </c>
      <c r="K32" s="79" t="s">
        <v>117</v>
      </c>
      <c r="L32" s="79" t="s">
        <v>118</v>
      </c>
      <c r="M32" s="79" t="s">
        <v>119</v>
      </c>
    </row>
    <row r="33" spans="1:14" ht="13.5" customHeight="1" x14ac:dyDescent="0.3">
      <c r="A33" s="96" t="s">
        <v>10</v>
      </c>
      <c r="B33" s="97" t="s">
        <v>27</v>
      </c>
      <c r="C33" s="96" t="s">
        <v>11</v>
      </c>
      <c r="D33" s="98">
        <f>SUM(E33:F33)</f>
        <v>3821004.2897590632</v>
      </c>
      <c r="E33" s="98">
        <f>SUM('Step 3 (2015)'!E14,'Step 3 (2016)'!E14,'Step 3 (2017)'!E14)</f>
        <v>5299132.5615518391</v>
      </c>
      <c r="F33" s="98">
        <f>SUM('Step 3 (2015)'!F14,'Step 3 (2016)'!F14,'Step 3 (2017)'!F14)</f>
        <v>-1478128.271792776</v>
      </c>
      <c r="G33" s="98">
        <f>SUM(H33:I33)</f>
        <v>4334931.7627208922</v>
      </c>
      <c r="H33" s="98">
        <f>VLOOKUP(B33,[1]Summary!$A$71:$H$83,8,FALSE)</f>
        <v>5452144.9600967849</v>
      </c>
      <c r="I33" s="98">
        <f>VLOOKUP(B33,[1]Summary!$A$87:$H$99,8,FALSE)</f>
        <v>-1117213.1973758929</v>
      </c>
      <c r="J33" s="98">
        <f t="shared" ref="J33:L36" si="1">D33-G33</f>
        <v>-513927.47296182904</v>
      </c>
      <c r="K33" s="98">
        <f t="shared" si="1"/>
        <v>-153012.39854494575</v>
      </c>
      <c r="L33" s="98">
        <f t="shared" si="1"/>
        <v>-360915.07441688306</v>
      </c>
      <c r="M33" s="99">
        <f>J33/D33</f>
        <v>-0.13450062705745749</v>
      </c>
      <c r="N33" s="25"/>
    </row>
    <row r="34" spans="1:14" x14ac:dyDescent="0.3">
      <c r="A34" s="96" t="s">
        <v>13</v>
      </c>
      <c r="B34" s="97" t="s">
        <v>28</v>
      </c>
      <c r="C34" s="96" t="s">
        <v>11</v>
      </c>
      <c r="D34" s="98">
        <f t="shared" ref="D34:D47" si="2">SUM(E34:F34)</f>
        <v>11305720.151930287</v>
      </c>
      <c r="E34" s="98">
        <f>SUM('Step 3 (2015)'!E15,'Step 3 (2016)'!E15,'Step 3 (2017)'!E15)</f>
        <v>12476871.95054822</v>
      </c>
      <c r="F34" s="98">
        <f>SUM('Step 3 (2015)'!F15,'Step 3 (2016)'!F15,'Step 3 (2017)'!F15)</f>
        <v>-1171151.7986179322</v>
      </c>
      <c r="G34" s="98">
        <f t="shared" ref="G34:G47" si="3">SUM(H34:I34)</f>
        <v>11480174.326544212</v>
      </c>
      <c r="H34" s="98">
        <f>VLOOKUP(B34,[1]Summary!$A$71:$H$83,8,FALSE)</f>
        <v>12702854.821650011</v>
      </c>
      <c r="I34" s="98">
        <f>VLOOKUP(B34,[1]Summary!$A$87:$H$99,8,FALSE)</f>
        <v>-1222680.4951057988</v>
      </c>
      <c r="J34" s="98">
        <f t="shared" si="1"/>
        <v>-174454.1746139247</v>
      </c>
      <c r="K34" s="98">
        <f t="shared" si="1"/>
        <v>-225982.87110179104</v>
      </c>
      <c r="L34" s="98">
        <f t="shared" si="1"/>
        <v>51528.696487866575</v>
      </c>
      <c r="M34" s="99">
        <f>J34/D34</f>
        <v>-1.5430611431164708E-2</v>
      </c>
      <c r="N34" s="1" t="s">
        <v>12</v>
      </c>
    </row>
    <row r="35" spans="1:14" x14ac:dyDescent="0.3">
      <c r="A35" s="96" t="s">
        <v>14</v>
      </c>
      <c r="B35" s="97" t="s">
        <v>29</v>
      </c>
      <c r="C35" s="96" t="s">
        <v>11</v>
      </c>
      <c r="D35" s="98">
        <f t="shared" si="2"/>
        <v>15989530.219940076</v>
      </c>
      <c r="E35" s="98">
        <f>SUM('Step 3 (2015)'!E16,'Step 3 (2016)'!E16,'Step 3 (2017)'!E16)</f>
        <v>15379697.765012942</v>
      </c>
      <c r="F35" s="98">
        <f>SUM('Step 3 (2015)'!F16,'Step 3 (2016)'!F16,'Step 3 (2017)'!F16)</f>
        <v>609832.4549271334</v>
      </c>
      <c r="G35" s="98">
        <f t="shared" si="3"/>
        <v>16203053.998865383</v>
      </c>
      <c r="H35" s="98">
        <f>VLOOKUP(B35,[1]Summary!$A$71:$H$83,8,FALSE)</f>
        <v>15466597.072098533</v>
      </c>
      <c r="I35" s="98">
        <f>VLOOKUP(B35,[1]Summary!$A$87:$H$99,8,FALSE)</f>
        <v>736456.92676684982</v>
      </c>
      <c r="J35" s="98">
        <f t="shared" si="1"/>
        <v>-213523.7789253071</v>
      </c>
      <c r="K35" s="98">
        <f t="shared" si="1"/>
        <v>-86899.307085590437</v>
      </c>
      <c r="L35" s="98">
        <f t="shared" si="1"/>
        <v>-126624.47183971643</v>
      </c>
      <c r="M35" s="99">
        <f>J35/D35</f>
        <v>-1.3353974506332139E-2</v>
      </c>
      <c r="N35" s="1" t="s">
        <v>12</v>
      </c>
    </row>
    <row r="36" spans="1:14" x14ac:dyDescent="0.3">
      <c r="A36" s="96" t="s">
        <v>15</v>
      </c>
      <c r="B36" s="97" t="s">
        <v>30</v>
      </c>
      <c r="C36" s="96" t="s">
        <v>11</v>
      </c>
      <c r="D36" s="98">
        <f t="shared" si="2"/>
        <v>5400839.1153572751</v>
      </c>
      <c r="E36" s="98">
        <f>SUM('Step 3 (2015)'!E17,'Step 3 (2016)'!E17,'Step 3 (2017)'!E17)</f>
        <v>4478097.0462544644</v>
      </c>
      <c r="F36" s="98">
        <f>SUM('Step 3 (2015)'!F17,'Step 3 (2016)'!F17,'Step 3 (2017)'!F17)</f>
        <v>922742.06910281093</v>
      </c>
      <c r="G36" s="98">
        <f t="shared" si="3"/>
        <v>5043293.718015763</v>
      </c>
      <c r="H36" s="98">
        <f>VLOOKUP(B36,[1]Summary!$A$71:$H$83,8,FALSE)</f>
        <v>4219514.9745915048</v>
      </c>
      <c r="I36" s="98">
        <f>VLOOKUP(B36,[1]Summary!$A$87:$H$99,8,FALSE)</f>
        <v>823778.74342425796</v>
      </c>
      <c r="J36" s="98">
        <f t="shared" si="1"/>
        <v>357545.39734151214</v>
      </c>
      <c r="K36" s="98">
        <f t="shared" si="1"/>
        <v>258582.07166295964</v>
      </c>
      <c r="L36" s="98">
        <f t="shared" si="1"/>
        <v>98963.325678552967</v>
      </c>
      <c r="M36" s="99">
        <f>J36/D36</f>
        <v>6.6201823402743568E-2</v>
      </c>
      <c r="N36" s="1" t="s">
        <v>12</v>
      </c>
    </row>
    <row r="37" spans="1:14" hidden="1" x14ac:dyDescent="0.3">
      <c r="A37" s="96" t="s">
        <v>16</v>
      </c>
      <c r="B37" s="97"/>
      <c r="C37" s="96"/>
      <c r="D37" s="98"/>
      <c r="E37" s="98"/>
      <c r="F37" s="98"/>
      <c r="G37" s="98"/>
      <c r="H37" s="98"/>
      <c r="I37" s="98"/>
      <c r="J37" s="98"/>
      <c r="K37" s="98"/>
      <c r="L37" s="98"/>
      <c r="M37" s="99"/>
      <c r="N37" s="1" t="s">
        <v>12</v>
      </c>
    </row>
    <row r="38" spans="1:14" hidden="1" x14ac:dyDescent="0.3">
      <c r="A38" s="96" t="s">
        <v>16</v>
      </c>
      <c r="B38" s="97"/>
      <c r="C38" s="96"/>
      <c r="D38" s="98"/>
      <c r="E38" s="98"/>
      <c r="F38" s="98"/>
      <c r="G38" s="98"/>
      <c r="H38" s="98"/>
      <c r="I38" s="98"/>
      <c r="J38" s="98"/>
      <c r="K38" s="98"/>
      <c r="L38" s="98"/>
      <c r="M38" s="99"/>
      <c r="N38" s="1" t="s">
        <v>12</v>
      </c>
    </row>
    <row r="39" spans="1:14" x14ac:dyDescent="0.3">
      <c r="A39" s="96" t="s">
        <v>17</v>
      </c>
      <c r="B39" s="97" t="s">
        <v>33</v>
      </c>
      <c r="C39" s="96" t="s">
        <v>11</v>
      </c>
      <c r="D39" s="98">
        <f t="shared" si="2"/>
        <v>129471.50670975132</v>
      </c>
      <c r="E39" s="98">
        <f>SUM('Step 3 (2015)'!E20,'Step 3 (2016)'!E20,'Step 3 (2017)'!E20)</f>
        <v>420949.0237484735</v>
      </c>
      <c r="F39" s="98">
        <f>SUM('Step 3 (2015)'!F20,'Step 3 (2016)'!F20,'Step 3 (2017)'!F20)</f>
        <v>-291477.51703872217</v>
      </c>
      <c r="G39" s="98">
        <f t="shared" si="3"/>
        <v>132103.08229018201</v>
      </c>
      <c r="H39" s="98">
        <f>VLOOKUP(B39,[1]Summary!$A$71:$H$83,8,FALSE)</f>
        <v>424616.02524618345</v>
      </c>
      <c r="I39" s="98">
        <f>VLOOKUP(B39,[1]Summary!$A$87:$H$99,8,FALSE)</f>
        <v>-292512.94295600144</v>
      </c>
      <c r="J39" s="98">
        <f t="shared" ref="J39:J47" si="4">D39-G39</f>
        <v>-2631.5755804306827</v>
      </c>
      <c r="K39" s="98">
        <f t="shared" ref="K39:K47" si="5">E39-H39</f>
        <v>-3667.001497709949</v>
      </c>
      <c r="L39" s="98">
        <f t="shared" ref="L39:L47" si="6">F39-I39</f>
        <v>1035.4259172792663</v>
      </c>
      <c r="M39" s="99">
        <f>J39/D39</f>
        <v>-2.0325519083748193E-2</v>
      </c>
      <c r="N39" s="1" t="s">
        <v>12</v>
      </c>
    </row>
    <row r="40" spans="1:14" x14ac:dyDescent="0.3">
      <c r="A40" s="96" t="s">
        <v>18</v>
      </c>
      <c r="B40" s="97" t="s">
        <v>31</v>
      </c>
      <c r="C40" s="96" t="s">
        <v>11</v>
      </c>
      <c r="D40" s="98">
        <f t="shared" si="2"/>
        <v>3978984.412813161</v>
      </c>
      <c r="E40" s="98">
        <f>SUM('Step 3 (2015)'!E21,'Step 3 (2016)'!E21,'Step 3 (2017)'!E21)</f>
        <v>2471322.0969804022</v>
      </c>
      <c r="F40" s="98">
        <f>SUM('Step 3 (2015)'!F21,'Step 3 (2016)'!F21,'Step 3 (2017)'!F21)</f>
        <v>1507662.3158327588</v>
      </c>
      <c r="G40" s="98">
        <f t="shared" si="3"/>
        <v>3673310.0771767097</v>
      </c>
      <c r="H40" s="98">
        <f>VLOOKUP(B40,[1]Summary!$A$71:$H$83,8,FALSE)</f>
        <v>2364739.0187287442</v>
      </c>
      <c r="I40" s="98">
        <f>VLOOKUP(B40,[1]Summary!$A$87:$H$99,8,FALSE)</f>
        <v>1308571.0584479654</v>
      </c>
      <c r="J40" s="98">
        <f t="shared" si="4"/>
        <v>305674.33563645137</v>
      </c>
      <c r="K40" s="98">
        <f t="shared" si="5"/>
        <v>106583.07825165801</v>
      </c>
      <c r="L40" s="98">
        <f t="shared" si="6"/>
        <v>199091.25738479337</v>
      </c>
      <c r="M40" s="99">
        <f>J40/D40</f>
        <v>7.6822199818656275E-2</v>
      </c>
      <c r="N40" s="1" t="s">
        <v>12</v>
      </c>
    </row>
    <row r="41" spans="1:14" x14ac:dyDescent="0.3">
      <c r="A41" s="96" t="s">
        <v>19</v>
      </c>
      <c r="B41" s="97" t="s">
        <v>34</v>
      </c>
      <c r="C41" s="96" t="s">
        <v>40</v>
      </c>
      <c r="D41" s="98">
        <f t="shared" si="2"/>
        <v>-535214.17414331855</v>
      </c>
      <c r="E41" s="98">
        <f>SUM('Step 3 (2015)'!E22,'Step 3 (2016)'!E22,'Step 3 (2017)'!E22)</f>
        <v>93620.684837762354</v>
      </c>
      <c r="F41" s="98">
        <f>SUM('Step 3 (2015)'!F22,'Step 3 (2016)'!F22,'Step 3 (2017)'!F22)</f>
        <v>-628834.85898108094</v>
      </c>
      <c r="G41" s="98">
        <f t="shared" si="3"/>
        <v>-491889.70549351024</v>
      </c>
      <c r="H41" s="98">
        <f>VLOOKUP(B41,[1]Summary!$A$71:$H$83,8,FALSE)</f>
        <v>87906.051707241772</v>
      </c>
      <c r="I41" s="98">
        <f>VLOOKUP(B41,[1]Summary!$A$87:$H$99,8,FALSE)</f>
        <v>-579795.75720075204</v>
      </c>
      <c r="J41" s="98">
        <f t="shared" si="4"/>
        <v>-43324.468649808317</v>
      </c>
      <c r="K41" s="98">
        <f t="shared" si="5"/>
        <v>5714.6331305205822</v>
      </c>
      <c r="L41" s="98">
        <f t="shared" si="6"/>
        <v>-49039.1017803289</v>
      </c>
      <c r="M41" s="99">
        <f>J41/D41</f>
        <v>8.0947909720729821E-2</v>
      </c>
      <c r="N41" s="1" t="s">
        <v>12</v>
      </c>
    </row>
    <row r="42" spans="1:14" x14ac:dyDescent="0.3">
      <c r="A42" s="96" t="s">
        <v>20</v>
      </c>
      <c r="B42" s="97" t="s">
        <v>32</v>
      </c>
      <c r="C42" s="96" t="s">
        <v>40</v>
      </c>
      <c r="D42" s="98">
        <f t="shared" si="2"/>
        <v>1076439.0318499631</v>
      </c>
      <c r="E42" s="98">
        <f>SUM('Step 3 (2015)'!E23,'Step 3 (2016)'!E23,'Step 3 (2017)'!E23)</f>
        <v>292937.83432384412</v>
      </c>
      <c r="F42" s="98">
        <f>SUM('Step 3 (2015)'!F23,'Step 3 (2016)'!F23,'Step 3 (2017)'!F23)</f>
        <v>783501.19752611895</v>
      </c>
      <c r="G42" s="98">
        <f t="shared" si="3"/>
        <v>955067.84764722525</v>
      </c>
      <c r="H42" s="98">
        <f>VLOOKUP(B42,[1]Summary!$A$71:$H$83,8,FALSE)</f>
        <v>260270.98742922163</v>
      </c>
      <c r="I42" s="98">
        <f>VLOOKUP(B42,[1]Summary!$A$87:$H$99,8,FALSE)</f>
        <v>694796.86021800363</v>
      </c>
      <c r="J42" s="98">
        <f t="shared" si="4"/>
        <v>121371.18420273787</v>
      </c>
      <c r="K42" s="98">
        <f t="shared" si="5"/>
        <v>32666.846894622489</v>
      </c>
      <c r="L42" s="98">
        <f t="shared" si="6"/>
        <v>88704.337308115326</v>
      </c>
      <c r="M42" s="99">
        <f>J42/D42</f>
        <v>0.11275249281341082</v>
      </c>
      <c r="N42" s="1" t="s">
        <v>12</v>
      </c>
    </row>
    <row r="43" spans="1:14" x14ac:dyDescent="0.3">
      <c r="A43" s="96" t="s">
        <v>21</v>
      </c>
      <c r="B43" s="97" t="s">
        <v>38</v>
      </c>
      <c r="C43" s="96" t="s">
        <v>40</v>
      </c>
      <c r="D43" s="98">
        <f t="shared" si="2"/>
        <v>155447.26051140125</v>
      </c>
      <c r="E43" s="98">
        <f>SUM('Step 3 (2015)'!E24,'Step 3 (2016)'!E24,'Step 3 (2017)'!E24)</f>
        <v>122447.87808157194</v>
      </c>
      <c r="F43" s="98">
        <f>SUM('Step 3 (2015)'!F24,'Step 3 (2016)'!F24,'Step 3 (2017)'!F24)</f>
        <v>32999.382429829318</v>
      </c>
      <c r="G43" s="98">
        <f t="shared" si="3"/>
        <v>115980.54111400762</v>
      </c>
      <c r="H43" s="98">
        <f>VLOOKUP(B43,[1]Summary!$A$71:$H$83,8,FALSE)</f>
        <v>89896.932049580864</v>
      </c>
      <c r="I43" s="98">
        <f>VLOOKUP(B43,[1]Summary!$A$87:$H$99,8,FALSE)</f>
        <v>26083.609064426757</v>
      </c>
      <c r="J43" s="98">
        <f t="shared" si="4"/>
        <v>39466.719397393637</v>
      </c>
      <c r="K43" s="98">
        <f t="shared" si="5"/>
        <v>32550.946031991072</v>
      </c>
      <c r="L43" s="98">
        <f t="shared" si="6"/>
        <v>6915.7733654025615</v>
      </c>
      <c r="M43" s="99">
        <f>J43/D43</f>
        <v>0.25389137941417089</v>
      </c>
      <c r="N43" s="1" t="s">
        <v>12</v>
      </c>
    </row>
    <row r="44" spans="1:14" s="138" customFormat="1" x14ac:dyDescent="0.3">
      <c r="A44" s="136" t="s">
        <v>22</v>
      </c>
      <c r="B44" s="97" t="s">
        <v>39</v>
      </c>
      <c r="C44" s="136" t="s">
        <v>130</v>
      </c>
      <c r="D44" s="137">
        <f>SUM(E44:F44)</f>
        <v>14229462.873646261</v>
      </c>
      <c r="E44" s="137">
        <f>SUM('Step 3 (2015)'!E25,'Step 3 (2016)'!E25,'Step 3 (2017)'!E25)</f>
        <v>338260.92973869282</v>
      </c>
      <c r="F44" s="137">
        <f>SUM('Step 3 (2016)'!F25,'Step 3 (2015)'!F25,'Step 3 (2017)'!F25)</f>
        <v>13891201.943907568</v>
      </c>
      <c r="G44" s="100">
        <f>SUM(H44:I44)</f>
        <v>17516773.092499893</v>
      </c>
      <c r="H44" s="100">
        <f>VLOOKUP(B44,[1]Summary!$A$71:$H$83,8,FALSE)</f>
        <v>337929.80883384409</v>
      </c>
      <c r="I44" s="100">
        <f>VLOOKUP(B44,[1]Summary!$A$87:$H$99,8,FALSE)</f>
        <v>17178843.283666048</v>
      </c>
      <c r="J44" s="100">
        <f>D44-G44</f>
        <v>-3287310.218853632</v>
      </c>
      <c r="K44" s="100">
        <f t="shared" si="5"/>
        <v>331.12090484873625</v>
      </c>
      <c r="L44" s="100">
        <f t="shared" si="6"/>
        <v>-3287641.33975848</v>
      </c>
      <c r="M44" s="101">
        <f>J44/(D44)</f>
        <v>-0.2310213848578859</v>
      </c>
      <c r="N44" s="138" t="s">
        <v>12</v>
      </c>
    </row>
    <row r="45" spans="1:14" x14ac:dyDescent="0.3">
      <c r="A45" s="96" t="s">
        <v>23</v>
      </c>
      <c r="B45" s="97" t="s">
        <v>37</v>
      </c>
      <c r="C45" s="96" t="s">
        <v>11</v>
      </c>
      <c r="D45" s="98">
        <f t="shared" si="2"/>
        <v>107186.62053951145</v>
      </c>
      <c r="E45" s="98">
        <f>SUM('Step 3 (2015)'!E26,'Step 3 (2016)'!E26,'Step 3 (2017)'!E26)</f>
        <v>109914.61727770067</v>
      </c>
      <c r="F45" s="98">
        <f>SUM('Step 3 (2015)'!F26,'Step 3 (2016)'!F26,'Step 3 (2017)'!F26)</f>
        <v>-2727.9967381892257</v>
      </c>
      <c r="G45" s="98">
        <f t="shared" si="3"/>
        <v>104119.55934994407</v>
      </c>
      <c r="H45" s="98">
        <f>VLOOKUP(B45,[1]Summary!$A$71:$H$83,8,FALSE)</f>
        <v>106618.85160895335</v>
      </c>
      <c r="I45" s="98">
        <f>VLOOKUP(B45,[1]Summary!$A$87:$H$99,8,FALSE)</f>
        <v>-2499.2922590092726</v>
      </c>
      <c r="J45" s="98">
        <f t="shared" si="4"/>
        <v>3067.0611895673792</v>
      </c>
      <c r="K45" s="98">
        <f t="shared" si="5"/>
        <v>3295.7656687473209</v>
      </c>
      <c r="L45" s="98">
        <f t="shared" si="6"/>
        <v>-228.70447917995307</v>
      </c>
      <c r="M45" s="99">
        <f>J45/D45</f>
        <v>2.8614216719677153E-2</v>
      </c>
      <c r="N45" s="1" t="s">
        <v>12</v>
      </c>
    </row>
    <row r="46" spans="1:14" x14ac:dyDescent="0.3">
      <c r="A46" s="96" t="s">
        <v>24</v>
      </c>
      <c r="B46" s="97" t="s">
        <v>35</v>
      </c>
      <c r="C46" s="96" t="s">
        <v>11</v>
      </c>
      <c r="D46" s="98">
        <f t="shared" si="2"/>
        <v>261788.45308576038</v>
      </c>
      <c r="E46" s="98">
        <f>SUM('Step 3 (2015)'!E27,'Step 3 (2016)'!E27,'Step 3 (2017)'!E27)</f>
        <v>13261.957537344941</v>
      </c>
      <c r="F46" s="98">
        <f>SUM('Step 3 (2015)'!F27,'Step 3 (2016)'!F27,'Step 3 (2017)'!F27)</f>
        <v>248526.49554841543</v>
      </c>
      <c r="G46" s="98">
        <f t="shared" si="3"/>
        <v>209769.51752522361</v>
      </c>
      <c r="H46" s="98">
        <f>VLOOKUP(B46,[1]Summary!$A$71:$H$83,8,FALSE)</f>
        <v>13277.745246436627</v>
      </c>
      <c r="I46" s="98">
        <f>VLOOKUP(B46,[1]Summary!$A$87:$H$99,8,FALSE)</f>
        <v>196491.77227878699</v>
      </c>
      <c r="J46" s="98">
        <f t="shared" si="4"/>
        <v>52018.935560536775</v>
      </c>
      <c r="K46" s="98">
        <f t="shared" si="5"/>
        <v>-15.787709091686338</v>
      </c>
      <c r="L46" s="98">
        <f t="shared" si="6"/>
        <v>52034.723269628448</v>
      </c>
      <c r="M46" s="99">
        <f>J46/D46</f>
        <v>0.19870599695050595</v>
      </c>
      <c r="N46" s="1" t="s">
        <v>12</v>
      </c>
    </row>
    <row r="47" spans="1:14" x14ac:dyDescent="0.3">
      <c r="A47" s="96" t="s">
        <v>25</v>
      </c>
      <c r="B47" s="97" t="s">
        <v>36</v>
      </c>
      <c r="C47" s="96" t="s">
        <v>11</v>
      </c>
      <c r="D47" s="98">
        <f t="shared" si="2"/>
        <v>112417.73709307121</v>
      </c>
      <c r="E47" s="98">
        <f>SUM('Step 3 (2015)'!E28,'Step 3 (2016)'!E28,'Step 3 (2017)'!E28)</f>
        <v>56474.795298950681</v>
      </c>
      <c r="F47" s="98">
        <f>SUM('Step 3 (2015)'!F28,'Step 3 (2016)'!F28,'Step 3 (2017)'!F28)</f>
        <v>55942.941794120525</v>
      </c>
      <c r="G47" s="98">
        <f t="shared" si="3"/>
        <v>75790.966600435233</v>
      </c>
      <c r="H47" s="98">
        <f>VLOOKUP(B47,[1]Summary!$A$71:$H$83,8,FALSE)</f>
        <v>36139.69077056634</v>
      </c>
      <c r="I47" s="98">
        <f>VLOOKUP(B47,[1]Summary!$A$87:$H$99,8,FALSE)</f>
        <v>39651.275829868886</v>
      </c>
      <c r="J47" s="98">
        <f t="shared" si="4"/>
        <v>36626.770492635973</v>
      </c>
      <c r="K47" s="98">
        <f t="shared" si="5"/>
        <v>20335.104528384341</v>
      </c>
      <c r="L47" s="98">
        <f t="shared" si="6"/>
        <v>16291.665964251639</v>
      </c>
      <c r="M47" s="99">
        <f>J47/D47</f>
        <v>0.32580953361756859</v>
      </c>
      <c r="N47" s="1" t="s">
        <v>12</v>
      </c>
    </row>
    <row r="48" spans="1:14" x14ac:dyDescent="0.3">
      <c r="A48" s="96" t="s">
        <v>26</v>
      </c>
      <c r="B48" s="102"/>
      <c r="C48" s="96"/>
      <c r="D48" s="96"/>
      <c r="E48" s="103"/>
      <c r="F48" s="103"/>
      <c r="G48" s="96" t="s">
        <v>12</v>
      </c>
      <c r="H48" s="96"/>
      <c r="I48" s="96"/>
      <c r="J48" s="96"/>
      <c r="K48" s="96"/>
      <c r="L48" s="96"/>
      <c r="M48" s="99"/>
    </row>
    <row r="49" spans="1:13" x14ac:dyDescent="0.3">
      <c r="A49" s="96"/>
      <c r="B49" s="102"/>
      <c r="C49" s="96"/>
      <c r="D49" s="96"/>
      <c r="E49" s="103"/>
      <c r="F49" s="103"/>
      <c r="G49" s="96"/>
      <c r="H49" s="96"/>
      <c r="I49" s="96"/>
      <c r="J49" s="96"/>
      <c r="K49" s="96"/>
      <c r="L49" s="96"/>
      <c r="M49" s="99"/>
    </row>
    <row r="50" spans="1:13" x14ac:dyDescent="0.3">
      <c r="A50" s="96" t="s">
        <v>74</v>
      </c>
      <c r="B50" s="102"/>
      <c r="C50" s="96"/>
      <c r="D50" s="104">
        <f t="shared" ref="D50:L50" si="7">SUM(D33:D47)</f>
        <v>56033077.499092251</v>
      </c>
      <c r="E50" s="104">
        <f t="shared" si="7"/>
        <v>41552989.14119222</v>
      </c>
      <c r="F50" s="104">
        <f t="shared" si="7"/>
        <v>14480088.357900055</v>
      </c>
      <c r="G50" s="104">
        <f t="shared" si="7"/>
        <v>59352478.784856372</v>
      </c>
      <c r="H50" s="104">
        <f t="shared" si="7"/>
        <v>41562506.940057613</v>
      </c>
      <c r="I50" s="104">
        <f t="shared" si="7"/>
        <v>17789971.844798755</v>
      </c>
      <c r="J50" s="104">
        <f>SUM(J33:J47)</f>
        <v>-3319401.2857640968</v>
      </c>
      <c r="K50" s="104">
        <f t="shared" si="7"/>
        <v>-9517.798865396675</v>
      </c>
      <c r="L50" s="104">
        <f t="shared" si="7"/>
        <v>-3309883.4868986979</v>
      </c>
      <c r="M50" s="99">
        <f>J50/D50</f>
        <v>-5.9240031672682478E-2</v>
      </c>
    </row>
    <row r="52" spans="1:13" s="37" customFormat="1" x14ac:dyDescent="0.3">
      <c r="A52" s="37" t="s">
        <v>129</v>
      </c>
      <c r="B52" s="92"/>
    </row>
    <row r="53" spans="1:13" x14ac:dyDescent="0.3">
      <c r="A53" s="1" t="s">
        <v>131</v>
      </c>
    </row>
    <row r="55" spans="1:13" x14ac:dyDescent="0.3">
      <c r="A55" s="23" t="s">
        <v>88</v>
      </c>
      <c r="B55" s="1"/>
      <c r="C55" s="3"/>
      <c r="D55" s="4"/>
      <c r="E55" s="4"/>
      <c r="F55" s="4"/>
    </row>
    <row r="56" spans="1:13" x14ac:dyDescent="0.3">
      <c r="A56" s="23" t="s">
        <v>1</v>
      </c>
      <c r="B56" s="1"/>
      <c r="C56" s="24">
        <v>32</v>
      </c>
      <c r="D56" s="4"/>
      <c r="E56" s="4"/>
      <c r="F56" s="4"/>
    </row>
    <row r="58" spans="1:13" s="25" customFormat="1" ht="44.15" customHeight="1" x14ac:dyDescent="0.3">
      <c r="A58" s="60"/>
      <c r="B58" s="61"/>
      <c r="C58" s="62"/>
      <c r="D58" s="57" t="s">
        <v>115</v>
      </c>
      <c r="E58" s="55"/>
      <c r="F58" s="55"/>
      <c r="G58" s="77" t="s">
        <v>126</v>
      </c>
      <c r="H58" s="77"/>
      <c r="I58" s="77"/>
      <c r="J58" s="77" t="s">
        <v>8</v>
      </c>
    </row>
    <row r="59" spans="1:13" s="25" customFormat="1" ht="28" x14ac:dyDescent="0.3">
      <c r="A59" s="63"/>
      <c r="B59" s="64"/>
      <c r="C59" s="59"/>
      <c r="D59" s="58" t="s">
        <v>67</v>
      </c>
      <c r="E59" s="32" t="s">
        <v>69</v>
      </c>
      <c r="F59" s="32" t="s">
        <v>70</v>
      </c>
      <c r="G59" s="79" t="s">
        <v>67</v>
      </c>
      <c r="H59" s="79" t="s">
        <v>96</v>
      </c>
      <c r="I59" s="79" t="s">
        <v>80</v>
      </c>
      <c r="J59" s="79" t="s">
        <v>67</v>
      </c>
    </row>
    <row r="60" spans="1:13" s="31" customFormat="1" x14ac:dyDescent="0.3">
      <c r="A60" s="35" t="s">
        <v>3</v>
      </c>
      <c r="B60" s="36"/>
      <c r="C60" s="59" t="s">
        <v>4</v>
      </c>
      <c r="D60" s="32" t="s">
        <v>68</v>
      </c>
      <c r="E60" s="32" t="s">
        <v>66</v>
      </c>
      <c r="F60" s="34" t="str">
        <f>"(C)"</f>
        <v>(C)</v>
      </c>
      <c r="G60" s="79" t="s">
        <v>86</v>
      </c>
      <c r="H60" s="79" t="s">
        <v>87</v>
      </c>
      <c r="I60" s="79" t="s">
        <v>120</v>
      </c>
      <c r="J60" s="79" t="s">
        <v>116</v>
      </c>
    </row>
    <row r="61" spans="1:13" ht="13.5" customHeight="1" x14ac:dyDescent="0.3">
      <c r="A61" s="96" t="s">
        <v>10</v>
      </c>
      <c r="B61" s="97" t="s">
        <v>27</v>
      </c>
      <c r="C61" s="96" t="s">
        <v>11</v>
      </c>
      <c r="D61" s="98">
        <f>F61</f>
        <v>-802310.51273868792</v>
      </c>
      <c r="E61" s="107"/>
      <c r="F61" s="103">
        <f>SUM('Step 3 (2015)'!F45,'Step 3 (2016)'!F45,'Step 3 (2017)'!F45)</f>
        <v>-802310.51273868792</v>
      </c>
      <c r="G61" s="98">
        <f>SUM(H61:I61)</f>
        <v>-363240.17272285285</v>
      </c>
      <c r="H61" s="108"/>
      <c r="I61" s="98">
        <f>VLOOKUP(B61,[1]Summary!$A$55:$H$67,8,FALSE)</f>
        <v>-363240.17272285285</v>
      </c>
      <c r="J61" s="109">
        <f>D61-G61</f>
        <v>-439070.34001583507</v>
      </c>
    </row>
    <row r="62" spans="1:13" x14ac:dyDescent="0.3">
      <c r="A62" s="96" t="s">
        <v>13</v>
      </c>
      <c r="B62" s="97" t="s">
        <v>28</v>
      </c>
      <c r="C62" s="96" t="s">
        <v>11</v>
      </c>
      <c r="D62" s="98">
        <f t="shared" ref="D62:D75" si="8">F62</f>
        <v>-1643179.0563832021</v>
      </c>
      <c r="E62" s="107"/>
      <c r="F62" s="103">
        <f>SUM('Step 3 (2015)'!F46,'Step 3 (2016)'!F46,'Step 3 (2017)'!F46)</f>
        <v>-1643179.0563832021</v>
      </c>
      <c r="G62" s="98">
        <f t="shared" ref="G62:G75" si="9">SUM(H62:I62)</f>
        <v>-680231.47413649154</v>
      </c>
      <c r="H62" s="110"/>
      <c r="I62" s="98">
        <f>VLOOKUP(B62,[1]Summary!$A$55:$H$67,8,FALSE)</f>
        <v>-680231.47413649154</v>
      </c>
      <c r="J62" s="109">
        <f>D62-G62</f>
        <v>-962947.58224671055</v>
      </c>
    </row>
    <row r="63" spans="1:13" x14ac:dyDescent="0.3">
      <c r="A63" s="96" t="s">
        <v>14</v>
      </c>
      <c r="B63" s="97" t="s">
        <v>29</v>
      </c>
      <c r="C63" s="96" t="s">
        <v>11</v>
      </c>
      <c r="D63" s="98">
        <f t="shared" si="8"/>
        <v>-1554999.8795574489</v>
      </c>
      <c r="E63" s="107"/>
      <c r="F63" s="103">
        <f>SUM('Step 3 (2015)'!F47,'Step 3 (2016)'!F47,'Step 3 (2017)'!F47)</f>
        <v>-1554999.8795574489</v>
      </c>
      <c r="G63" s="98">
        <f t="shared" si="9"/>
        <v>-908982.43509116489</v>
      </c>
      <c r="H63" s="110"/>
      <c r="I63" s="98">
        <f>VLOOKUP(B63,[1]Summary!$A$55:$H$67,8,FALSE)</f>
        <v>-908982.43509116489</v>
      </c>
      <c r="J63" s="109">
        <f>D63-G63</f>
        <v>-646017.44446628401</v>
      </c>
    </row>
    <row r="64" spans="1:13" x14ac:dyDescent="0.3">
      <c r="A64" s="96" t="s">
        <v>15</v>
      </c>
      <c r="B64" s="97" t="s">
        <v>30</v>
      </c>
      <c r="C64" s="96" t="s">
        <v>11</v>
      </c>
      <c r="D64" s="98">
        <f t="shared" si="8"/>
        <v>-49820.645720107175</v>
      </c>
      <c r="E64" s="107"/>
      <c r="F64" s="103">
        <f>SUM('Step 3 (2015)'!F48,'Step 3 (2016)'!F48,'Step 3 (2017)'!F48)</f>
        <v>-49820.645720107175</v>
      </c>
      <c r="G64" s="98">
        <f t="shared" si="9"/>
        <v>-23605.540260727841</v>
      </c>
      <c r="H64" s="110"/>
      <c r="I64" s="98">
        <f>VLOOKUP(B64,[1]Summary!$A$55:$H$67,8,FALSE)</f>
        <v>-23605.540260727841</v>
      </c>
      <c r="J64" s="109">
        <f>D64-G64</f>
        <v>-26215.105459379334</v>
      </c>
    </row>
    <row r="65" spans="1:10" hidden="1" x14ac:dyDescent="0.3">
      <c r="A65" s="96" t="s">
        <v>16</v>
      </c>
      <c r="B65" s="97"/>
      <c r="C65" s="96"/>
      <c r="D65" s="98"/>
      <c r="E65" s="107"/>
      <c r="F65" s="103">
        <f>SUM('Step 3 (2015)'!F49,'Step 3 (2016)'!F49,'Step 3 (2017)'!F49)</f>
        <v>0</v>
      </c>
      <c r="G65" s="98">
        <f t="shared" si="9"/>
        <v>0</v>
      </c>
      <c r="H65" s="110"/>
      <c r="I65" s="98"/>
      <c r="J65" s="109"/>
    </row>
    <row r="66" spans="1:10" hidden="1" x14ac:dyDescent="0.3">
      <c r="A66" s="96" t="s">
        <v>16</v>
      </c>
      <c r="B66" s="97"/>
      <c r="C66" s="96"/>
      <c r="D66" s="98"/>
      <c r="E66" s="107"/>
      <c r="F66" s="103">
        <f>SUM('Step 3 (2015)'!F50,'Step 3 (2016)'!F50,'Step 3 (2017)'!F50)</f>
        <v>0</v>
      </c>
      <c r="G66" s="98">
        <f t="shared" si="9"/>
        <v>0</v>
      </c>
      <c r="H66" s="110"/>
      <c r="I66" s="98"/>
      <c r="J66" s="109"/>
    </row>
    <row r="67" spans="1:10" x14ac:dyDescent="0.3">
      <c r="A67" s="96" t="s">
        <v>17</v>
      </c>
      <c r="B67" s="97" t="s">
        <v>33</v>
      </c>
      <c r="C67" s="96" t="s">
        <v>11</v>
      </c>
      <c r="D67" s="98">
        <f t="shared" si="8"/>
        <v>-410120.79439617915</v>
      </c>
      <c r="E67" s="107"/>
      <c r="F67" s="103">
        <f>SUM('Step 3 (2015)'!F51,'Step 3 (2016)'!F51,'Step 3 (2017)'!F51)</f>
        <v>-410120.79439617915</v>
      </c>
      <c r="G67" s="98">
        <f t="shared" si="9"/>
        <v>-377608.5083926653</v>
      </c>
      <c r="H67" s="110"/>
      <c r="I67" s="98">
        <f>VLOOKUP(B67,[1]Summary!$A$55:$H$67,8,FALSE)</f>
        <v>-377608.5083926653</v>
      </c>
      <c r="J67" s="109">
        <f t="shared" ref="J67:J75" si="10">D67-G67</f>
        <v>-32512.286003513844</v>
      </c>
    </row>
    <row r="68" spans="1:10" x14ac:dyDescent="0.3">
      <c r="A68" s="96" t="s">
        <v>18</v>
      </c>
      <c r="B68" s="97" t="s">
        <v>31</v>
      </c>
      <c r="C68" s="96" t="s">
        <v>11</v>
      </c>
      <c r="D68" s="98">
        <f t="shared" si="8"/>
        <v>-1338953.7985334066</v>
      </c>
      <c r="E68" s="107"/>
      <c r="F68" s="103">
        <f>SUM('Step 3 (2015)'!F52,'Step 3 (2016)'!F52,'Step 3 (2017)'!F52)</f>
        <v>-1338953.7985334066</v>
      </c>
      <c r="G68" s="98">
        <f t="shared" si="9"/>
        <v>-1342900.8765022161</v>
      </c>
      <c r="H68" s="110"/>
      <c r="I68" s="98">
        <f>VLOOKUP(B68,[1]Summary!$A$55:$H$67,8,FALSE)</f>
        <v>-1342900.8765022161</v>
      </c>
      <c r="J68" s="109">
        <f t="shared" si="10"/>
        <v>3947.0779688095208</v>
      </c>
    </row>
    <row r="69" spans="1:10" x14ac:dyDescent="0.3">
      <c r="A69" s="96" t="s">
        <v>19</v>
      </c>
      <c r="B69" s="97" t="s">
        <v>34</v>
      </c>
      <c r="C69" s="96" t="s">
        <v>40</v>
      </c>
      <c r="D69" s="98">
        <f t="shared" si="8"/>
        <v>-2992342.848404781</v>
      </c>
      <c r="E69" s="107"/>
      <c r="F69" s="103">
        <f>SUM('Step 3 (2015)'!F53,'Step 3 (2016)'!F53,'Step 3 (2017)'!F53)</f>
        <v>-2992342.848404781</v>
      </c>
      <c r="G69" s="98">
        <f t="shared" si="9"/>
        <v>-2699401.0629397943</v>
      </c>
      <c r="H69" s="110"/>
      <c r="I69" s="98">
        <f>VLOOKUP(B69,[1]Summary!$A$55:$H$67,8,FALSE)</f>
        <v>-2699401.0629397943</v>
      </c>
      <c r="J69" s="109">
        <f t="shared" si="10"/>
        <v>-292941.78546498669</v>
      </c>
    </row>
    <row r="70" spans="1:10" x14ac:dyDescent="0.3">
      <c r="A70" s="96" t="s">
        <v>20</v>
      </c>
      <c r="B70" s="97" t="s">
        <v>32</v>
      </c>
      <c r="C70" s="96" t="s">
        <v>40</v>
      </c>
      <c r="D70" s="98">
        <f t="shared" si="8"/>
        <v>-6561789.066604156</v>
      </c>
      <c r="E70" s="107"/>
      <c r="F70" s="103">
        <f>SUM('Step 3 (2015)'!F54,'Step 3 (2016)'!F54,'Step 3 (2017)'!F54)</f>
        <v>-6561789.066604156</v>
      </c>
      <c r="G70" s="98">
        <f t="shared" si="9"/>
        <v>-6642408.6120690405</v>
      </c>
      <c r="H70" s="110"/>
      <c r="I70" s="98">
        <f>VLOOKUP(B70,[1]Summary!$A$55:$H$67,8,FALSE)</f>
        <v>-6642408.6120690405</v>
      </c>
      <c r="J70" s="109">
        <f t="shared" si="10"/>
        <v>80619.54546488449</v>
      </c>
    </row>
    <row r="71" spans="1:10" x14ac:dyDescent="0.3">
      <c r="A71" s="96" t="s">
        <v>21</v>
      </c>
      <c r="B71" s="97" t="s">
        <v>38</v>
      </c>
      <c r="C71" s="96" t="s">
        <v>40</v>
      </c>
      <c r="D71" s="98">
        <f t="shared" si="8"/>
        <v>-68073.244612414011</v>
      </c>
      <c r="E71" s="107"/>
      <c r="F71" s="103">
        <f>SUM('Step 3 (2015)'!F55,'Step 3 (2016)'!F55,'Step 3 (2017)'!F55)</f>
        <v>-68073.244612414011</v>
      </c>
      <c r="G71" s="98">
        <f t="shared" si="9"/>
        <v>-86164.564628959837</v>
      </c>
      <c r="H71" s="110"/>
      <c r="I71" s="98">
        <f>VLOOKUP(B71,[1]Summary!$A$55:$H$67,8,FALSE)</f>
        <v>-86164.564628959837</v>
      </c>
      <c r="J71" s="109">
        <f t="shared" si="10"/>
        <v>18091.320016545826</v>
      </c>
    </row>
    <row r="72" spans="1:10" x14ac:dyDescent="0.3">
      <c r="A72" s="96" t="s">
        <v>22</v>
      </c>
      <c r="B72" s="97" t="s">
        <v>39</v>
      </c>
      <c r="C72" s="96" t="s">
        <v>40</v>
      </c>
      <c r="D72" s="98">
        <f t="shared" si="8"/>
        <v>-7133111.4262211435</v>
      </c>
      <c r="E72" s="107"/>
      <c r="F72" s="103">
        <f>SUM('Step 3 (2015)'!F56,'Step 3 (2016)'!F56,'Step 3 (2017)'!F56)</f>
        <v>-7133111.4262211435</v>
      </c>
      <c r="G72" s="98">
        <f t="shared" si="9"/>
        <v>-6264459.8716607066</v>
      </c>
      <c r="H72" s="110"/>
      <c r="I72" s="98">
        <f>VLOOKUP(B72,[1]Summary!$A$55:$H$67,8,FALSE)</f>
        <v>-6264459.8716607066</v>
      </c>
      <c r="J72" s="109">
        <f t="shared" si="10"/>
        <v>-868651.55456043687</v>
      </c>
    </row>
    <row r="73" spans="1:10" x14ac:dyDescent="0.3">
      <c r="A73" s="96" t="s">
        <v>23</v>
      </c>
      <c r="B73" s="97" t="s">
        <v>37</v>
      </c>
      <c r="C73" s="96" t="s">
        <v>11</v>
      </c>
      <c r="D73" s="98">
        <f t="shared" si="8"/>
        <v>-4568.0942269190755</v>
      </c>
      <c r="E73" s="107"/>
      <c r="F73" s="103">
        <f>SUM('Step 3 (2015)'!F57,'Step 3 (2016)'!F57,'Step 3 (2017)'!F57)</f>
        <v>-4568.0942269190755</v>
      </c>
      <c r="G73" s="98">
        <f t="shared" si="9"/>
        <v>-5594.8034982226</v>
      </c>
      <c r="H73" s="110"/>
      <c r="I73" s="98">
        <f>VLOOKUP(B73,[1]Summary!$A$55:$H$67,8,FALSE)</f>
        <v>-5594.8034982226</v>
      </c>
      <c r="J73" s="109">
        <f t="shared" si="10"/>
        <v>1026.7092713035245</v>
      </c>
    </row>
    <row r="74" spans="1:10" x14ac:dyDescent="0.3">
      <c r="A74" s="96" t="s">
        <v>24</v>
      </c>
      <c r="B74" s="97" t="s">
        <v>35</v>
      </c>
      <c r="C74" s="96" t="s">
        <v>11</v>
      </c>
      <c r="D74" s="98">
        <f t="shared" si="8"/>
        <v>-180621.80232900754</v>
      </c>
      <c r="E74" s="107"/>
      <c r="F74" s="103">
        <f>SUM('Step 3 (2015)'!F58,'Step 3 (2016)'!F58,'Step 3 (2017)'!F58)</f>
        <v>-180621.80232900754</v>
      </c>
      <c r="G74" s="98">
        <f t="shared" si="9"/>
        <v>-156667.31142319628</v>
      </c>
      <c r="H74" s="110"/>
      <c r="I74" s="98">
        <f>VLOOKUP(B74,[1]Summary!$A$55:$H$67,8,FALSE)</f>
        <v>-156667.31142319628</v>
      </c>
      <c r="J74" s="109">
        <f t="shared" si="10"/>
        <v>-23954.490905811253</v>
      </c>
    </row>
    <row r="75" spans="1:10" x14ac:dyDescent="0.3">
      <c r="A75" s="96" t="s">
        <v>25</v>
      </c>
      <c r="B75" s="97" t="s">
        <v>36</v>
      </c>
      <c r="C75" s="96" t="s">
        <v>11</v>
      </c>
      <c r="D75" s="98">
        <f t="shared" si="8"/>
        <v>-10237.790582310587</v>
      </c>
      <c r="E75" s="107"/>
      <c r="F75" s="103">
        <f>SUM('Step 3 (2015)'!F59,'Step 3 (2016)'!F59,'Step 3 (2017)'!F59)</f>
        <v>-10237.790582310587</v>
      </c>
      <c r="G75" s="98">
        <f t="shared" si="9"/>
        <v>-4551.7015303193321</v>
      </c>
      <c r="H75" s="110"/>
      <c r="I75" s="98">
        <f>VLOOKUP(B75,[1]Summary!$A$55:$H$67,8,FALSE)</f>
        <v>-4551.7015303193321</v>
      </c>
      <c r="J75" s="109">
        <f t="shared" si="10"/>
        <v>-5686.0890519912546</v>
      </c>
    </row>
    <row r="76" spans="1:10" x14ac:dyDescent="0.3">
      <c r="A76" s="96" t="s">
        <v>26</v>
      </c>
      <c r="B76" s="102"/>
      <c r="C76" s="96"/>
      <c r="D76" s="104"/>
      <c r="E76" s="103"/>
      <c r="F76" s="103"/>
      <c r="G76" s="96" t="s">
        <v>12</v>
      </c>
      <c r="H76" s="96"/>
      <c r="I76" s="96"/>
      <c r="J76" s="111"/>
    </row>
    <row r="77" spans="1:10" x14ac:dyDescent="0.3">
      <c r="A77" s="96" t="s">
        <v>67</v>
      </c>
      <c r="B77" s="102"/>
      <c r="C77" s="96"/>
      <c r="D77" s="104">
        <f>SUM(D61:D75)</f>
        <v>-22750128.960309763</v>
      </c>
      <c r="E77" s="104"/>
      <c r="F77" s="104">
        <f t="shared" ref="F77" si="11">SUM(F61:F75)</f>
        <v>-22750128.960309763</v>
      </c>
      <c r="G77" s="104">
        <f>SUM(G61:G75)</f>
        <v>-19555816.934856359</v>
      </c>
      <c r="H77" s="96"/>
      <c r="I77" s="104">
        <f>SUM(I61:I76)</f>
        <v>-19555816.934856359</v>
      </c>
      <c r="J77" s="111">
        <f>D77-G77</f>
        <v>-3194312.0254534036</v>
      </c>
    </row>
    <row r="79" spans="1:10" s="37" customFormat="1" x14ac:dyDescent="0.3">
      <c r="A79" s="37" t="s">
        <v>129</v>
      </c>
      <c r="B79" s="92"/>
    </row>
    <row r="80" spans="1:10" x14ac:dyDescent="0.3">
      <c r="A80" s="2"/>
      <c r="B80" s="1"/>
    </row>
    <row r="81" spans="1:10" s="37" customFormat="1" x14ac:dyDescent="0.3">
      <c r="A81" s="92"/>
    </row>
    <row r="82" spans="1:10" x14ac:dyDescent="0.3">
      <c r="A82" s="2"/>
      <c r="B82" s="1"/>
    </row>
    <row r="83" spans="1:10" x14ac:dyDescent="0.3">
      <c r="A83" s="2" t="s">
        <v>89</v>
      </c>
      <c r="B83" s="1"/>
    </row>
    <row r="84" spans="1:10" x14ac:dyDescent="0.3">
      <c r="A84" s="2" t="s">
        <v>90</v>
      </c>
      <c r="B84" s="1"/>
      <c r="D84" s="65"/>
      <c r="I84" s="65">
        <f>SUM(J50,J77)</f>
        <v>-6513713.3112174999</v>
      </c>
    </row>
    <row r="85" spans="1:10" x14ac:dyDescent="0.3">
      <c r="A85" s="2" t="s">
        <v>91</v>
      </c>
      <c r="B85" s="1"/>
      <c r="D85" s="65"/>
      <c r="I85" s="65">
        <f>F9</f>
        <v>-6553737.5311534554</v>
      </c>
    </row>
    <row r="86" spans="1:10" x14ac:dyDescent="0.3">
      <c r="A86" s="2" t="s">
        <v>134</v>
      </c>
      <c r="B86" s="1"/>
      <c r="D86" s="28"/>
      <c r="I86" s="135">
        <f>I84-I85</f>
        <v>40024.21993595548</v>
      </c>
    </row>
    <row r="87" spans="1:10" x14ac:dyDescent="0.3">
      <c r="A87" s="2"/>
      <c r="B87" s="1"/>
    </row>
    <row r="88" spans="1:10" x14ac:dyDescent="0.3">
      <c r="A88" s="2" t="s">
        <v>92</v>
      </c>
      <c r="B88" s="1"/>
    </row>
    <row r="89" spans="1:10" x14ac:dyDescent="0.3">
      <c r="A89" s="2"/>
      <c r="B89" s="1"/>
    </row>
    <row r="90" spans="1:10" x14ac:dyDescent="0.3">
      <c r="A90" s="2" t="s">
        <v>93</v>
      </c>
      <c r="B90" s="1"/>
    </row>
    <row r="91" spans="1:10" ht="14.5" thickBot="1" x14ac:dyDescent="0.35">
      <c r="A91" s="2"/>
      <c r="B91" s="1"/>
    </row>
    <row r="92" spans="1:10" s="39" customFormat="1" ht="14.15" customHeight="1" x14ac:dyDescent="0.3">
      <c r="A92" s="66" t="s">
        <v>94</v>
      </c>
      <c r="B92" s="67"/>
      <c r="C92" s="68"/>
      <c r="D92" s="67"/>
      <c r="E92" s="67"/>
      <c r="F92" s="67"/>
      <c r="G92" s="67"/>
      <c r="H92" s="67"/>
      <c r="I92" s="67"/>
      <c r="J92" s="69"/>
    </row>
    <row r="93" spans="1:10" s="39" customFormat="1" ht="14.15" customHeight="1" x14ac:dyDescent="0.3">
      <c r="A93" s="70"/>
      <c r="B93" s="71"/>
      <c r="C93" s="72"/>
      <c r="D93" s="71"/>
      <c r="E93" s="71"/>
      <c r="F93" s="71"/>
      <c r="G93" s="71"/>
      <c r="H93" s="71"/>
      <c r="I93" s="71"/>
      <c r="J93" s="73"/>
    </row>
    <row r="94" spans="1:10" s="115" customFormat="1" ht="14.15" customHeight="1" x14ac:dyDescent="0.3">
      <c r="A94" s="112"/>
      <c r="B94" s="113"/>
      <c r="C94" s="72"/>
      <c r="D94" s="113"/>
      <c r="E94" s="113"/>
      <c r="F94" s="113"/>
      <c r="G94" s="113"/>
      <c r="H94" s="113"/>
      <c r="I94" s="113"/>
      <c r="J94" s="114"/>
    </row>
    <row r="95" spans="1:10" s="39" customFormat="1" ht="14.15" customHeight="1" x14ac:dyDescent="0.3">
      <c r="A95" s="70"/>
      <c r="B95" s="71"/>
      <c r="C95" s="71"/>
      <c r="D95" s="71"/>
      <c r="E95" s="71"/>
      <c r="F95" s="71"/>
      <c r="G95" s="71"/>
      <c r="H95" s="71"/>
      <c r="I95" s="71"/>
      <c r="J95" s="73"/>
    </row>
    <row r="96" spans="1:10" s="39" customFormat="1" ht="14.15" customHeight="1" x14ac:dyDescent="0.3">
      <c r="A96" s="70"/>
      <c r="B96" s="71"/>
      <c r="C96" s="71"/>
      <c r="D96" s="71"/>
      <c r="E96" s="71"/>
      <c r="F96" s="71"/>
      <c r="G96" s="71"/>
      <c r="H96" s="71"/>
      <c r="I96" s="71"/>
      <c r="J96" s="73"/>
    </row>
    <row r="97" spans="1:10" s="39" customFormat="1" ht="14.15" customHeight="1" thickBot="1" x14ac:dyDescent="0.35">
      <c r="A97" s="74"/>
      <c r="B97" s="75"/>
      <c r="C97" s="75"/>
      <c r="D97" s="75"/>
      <c r="E97" s="75"/>
      <c r="F97" s="75"/>
      <c r="G97" s="75"/>
      <c r="H97" s="75"/>
      <c r="I97" s="75"/>
      <c r="J97" s="76"/>
    </row>
    <row r="98" spans="1:10" s="39" customFormat="1" ht="14.15" customHeight="1" x14ac:dyDescent="0.3"/>
    <row r="99" spans="1:10" s="39" customFormat="1" ht="14.15" customHeight="1" x14ac:dyDescent="0.3"/>
    <row r="100" spans="1:10" s="39" customFormat="1" ht="14.15" customHeight="1" x14ac:dyDescent="0.3"/>
  </sheetData>
  <mergeCells count="2">
    <mergeCell ref="A16:A17"/>
    <mergeCell ref="B22:E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workbookViewId="0">
      <selection activeCell="A14" sqref="A14"/>
    </sheetView>
  </sheetViews>
  <sheetFormatPr defaultColWidth="8.7265625" defaultRowHeight="14" x14ac:dyDescent="0.3"/>
  <cols>
    <col min="1" max="1" width="48.1796875" style="1" customWidth="1"/>
    <col min="2" max="2" width="13" style="2" customWidth="1"/>
    <col min="3" max="3" width="12.453125" style="1" bestFit="1" customWidth="1"/>
    <col min="4" max="5" width="15.54296875" style="1" bestFit="1" customWidth="1"/>
    <col min="6" max="6" width="16.453125" style="1" customWidth="1"/>
    <col min="7" max="9" width="18.26953125" style="1" customWidth="1"/>
    <col min="10" max="10" width="19.1796875" style="1" bestFit="1" customWidth="1"/>
    <col min="11" max="11" width="21.26953125" style="1" customWidth="1"/>
    <col min="12" max="12" width="18.1796875" style="1" bestFit="1" customWidth="1"/>
    <col min="13" max="13" width="13.453125" style="1" customWidth="1"/>
    <col min="14" max="15" width="14.453125" style="1" customWidth="1"/>
    <col min="16" max="18" width="18.1796875" style="1" customWidth="1"/>
    <col min="19" max="20" width="13" style="1" customWidth="1"/>
    <col min="21" max="21" width="12.54296875" style="1" customWidth="1"/>
    <col min="22" max="22" width="9.7265625" style="1" customWidth="1"/>
    <col min="23" max="16384" width="8.7265625" style="1"/>
  </cols>
  <sheetData>
    <row r="1" spans="1:20" x14ac:dyDescent="0.3">
      <c r="A1" s="81" t="s">
        <v>78</v>
      </c>
    </row>
    <row r="4" spans="1:20" x14ac:dyDescent="0.3">
      <c r="A4" s="1" t="s">
        <v>41</v>
      </c>
      <c r="B4" s="44">
        <v>2015</v>
      </c>
    </row>
    <row r="5" spans="1:20" ht="14.15" customHeight="1" x14ac:dyDescent="0.3">
      <c r="A5" s="3"/>
      <c r="B5" s="3"/>
      <c r="C5" s="3"/>
      <c r="D5" s="3"/>
      <c r="E5" s="3"/>
      <c r="F5" s="46"/>
      <c r="G5" s="46"/>
      <c r="H5" s="37"/>
    </row>
    <row r="6" spans="1:20" x14ac:dyDescent="0.3">
      <c r="A6" s="4" t="s">
        <v>73</v>
      </c>
      <c r="B6" s="3"/>
      <c r="C6" s="3"/>
      <c r="D6" s="4"/>
      <c r="E6" s="4"/>
      <c r="F6" s="4"/>
    </row>
    <row r="7" spans="1:20" x14ac:dyDescent="0.3">
      <c r="A7" s="23" t="s">
        <v>0</v>
      </c>
      <c r="B7" s="1"/>
      <c r="C7" s="3"/>
      <c r="D7" s="4"/>
      <c r="E7" s="4"/>
      <c r="F7" s="4"/>
    </row>
    <row r="8" spans="1:20" x14ac:dyDescent="0.3">
      <c r="A8" s="23" t="s">
        <v>1</v>
      </c>
      <c r="B8" s="1"/>
      <c r="C8" s="24">
        <v>8</v>
      </c>
      <c r="D8" s="4"/>
      <c r="E8" s="4"/>
      <c r="F8" s="4"/>
      <c r="G8" s="12"/>
    </row>
    <row r="10" spans="1:20" x14ac:dyDescent="0.3">
      <c r="A10" s="1" t="s">
        <v>2</v>
      </c>
    </row>
    <row r="11" spans="1:20" s="25" customFormat="1" ht="44.15" customHeight="1" x14ac:dyDescent="0.3">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2" x14ac:dyDescent="0.3">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127</v>
      </c>
      <c r="S12" s="33" t="s">
        <v>101</v>
      </c>
      <c r="T12" s="33" t="s">
        <v>100</v>
      </c>
    </row>
    <row r="13" spans="1:20" s="31" customFormat="1" x14ac:dyDescent="0.3">
      <c r="A13" s="35" t="s">
        <v>3</v>
      </c>
      <c r="B13" s="36"/>
      <c r="C13" s="32" t="s">
        <v>4</v>
      </c>
      <c r="D13" s="32" t="s">
        <v>85</v>
      </c>
      <c r="E13" s="32" t="s">
        <v>66</v>
      </c>
      <c r="F13" s="34" t="str">
        <f>"(C)"</f>
        <v>(C)</v>
      </c>
      <c r="G13" s="33" t="s">
        <v>86</v>
      </c>
      <c r="H13" s="54" t="s">
        <v>87</v>
      </c>
      <c r="I13" s="33" t="s">
        <v>98</v>
      </c>
      <c r="J13" s="33" t="s">
        <v>99</v>
      </c>
      <c r="K13" s="33" t="str">
        <f>"(H=D*"&amp;C8&amp;")"</f>
        <v>(H=D*8)</v>
      </c>
      <c r="L13" s="33" t="str">
        <f>"(I=E*"&amp;C8&amp;"/12)"</f>
        <v>(I=E*8/12)</v>
      </c>
      <c r="M13" s="33" t="s">
        <v>95</v>
      </c>
      <c r="N13" s="33" t="s">
        <v>102</v>
      </c>
      <c r="O13" s="33" t="s">
        <v>106</v>
      </c>
      <c r="P13" s="33" t="s">
        <v>107</v>
      </c>
      <c r="Q13" s="33" t="s">
        <v>109</v>
      </c>
      <c r="R13" s="33" t="s">
        <v>110</v>
      </c>
      <c r="S13" s="33" t="s">
        <v>111</v>
      </c>
      <c r="T13" s="33" t="s">
        <v>112</v>
      </c>
    </row>
    <row r="14" spans="1:20" ht="13.5" customHeight="1" x14ac:dyDescent="0.3">
      <c r="A14" s="1" t="s">
        <v>10</v>
      </c>
      <c r="B14" s="27" t="s">
        <v>27</v>
      </c>
      <c r="C14" s="1" t="s">
        <v>11</v>
      </c>
      <c r="D14" s="26">
        <f>SUM(E14:F14)</f>
        <v>1365062.7392040845</v>
      </c>
      <c r="E14" s="26">
        <f>HLOOKUP(B14,'[2]VA Rider'!$F$42:$R$57,14,FALSE)</f>
        <v>1687598.7066866744</v>
      </c>
      <c r="F14" s="26">
        <f>HLOOKUP(B14,'[2]VA Rider'!$F$42:$R$57,15,FALSE)</f>
        <v>-322535.96748258988</v>
      </c>
      <c r="G14" s="26">
        <f>HLOOKUP(B14,'[2]VA Rider'!$F$5:$R$10,2,FALSE)</f>
        <v>209540.0800434108</v>
      </c>
      <c r="H14" s="26">
        <f>HLOOKUP(B14,'[2]VA Rider'!$F$5:$R$10,3,FALSE)</f>
        <v>2001279224.2558956</v>
      </c>
      <c r="I14" s="28">
        <f>(E14/G14)/$C$8</f>
        <v>1.006727869399169</v>
      </c>
      <c r="J14" s="30">
        <f>(F14/H14)*(12/$C$8)</f>
        <v>-2.4174735107429605E-4</v>
      </c>
      <c r="K14" s="29">
        <f>G14*$C$8</f>
        <v>1676320.6403472864</v>
      </c>
      <c r="L14" s="26">
        <f>H14*($C$8/12)</f>
        <v>1334186149.5039303</v>
      </c>
      <c r="M14" s="26">
        <f>VLOOKUP(B14,[1]Summary!$A$71:$AA$83,23,FALSE)*8</f>
        <v>1716681.628781717</v>
      </c>
      <c r="N14" s="80">
        <f>VLOOKUP(B14,[1]Summary!$A$87:$AA$99,23,FALSE)</f>
        <v>1180542566.5272167</v>
      </c>
      <c r="O14" s="80">
        <f>K14-M14</f>
        <v>-40360.988434430677</v>
      </c>
      <c r="P14" s="80">
        <f>L14-N14</f>
        <v>153643582.97671366</v>
      </c>
      <c r="Q14" s="83">
        <f>I14*O14</f>
        <v>-40632.5318934389</v>
      </c>
      <c r="R14" s="83">
        <f>J14*P14</f>
        <v>-37142.929194184333</v>
      </c>
      <c r="S14" s="84">
        <f>Q14/E14</f>
        <v>-2.4077129078401743E-2</v>
      </c>
      <c r="T14" s="85">
        <f>R14/F14</f>
        <v>0.11515903012022764</v>
      </c>
    </row>
    <row r="15" spans="1:20" x14ac:dyDescent="0.3">
      <c r="A15" s="1" t="s">
        <v>13</v>
      </c>
      <c r="B15" s="27" t="s">
        <v>28</v>
      </c>
      <c r="C15" s="1" t="s">
        <v>11</v>
      </c>
      <c r="D15" s="26">
        <f t="shared" ref="D15:D28" si="0">SUM(E15:F15)</f>
        <v>3935915.7561427024</v>
      </c>
      <c r="E15" s="26">
        <f>HLOOKUP(B15,'[2]VA Rider'!$F$42:$R$57,14,FALSE)</f>
        <v>3942785.7741453927</v>
      </c>
      <c r="F15" s="26">
        <f>HLOOKUP(B15,'[2]VA Rider'!$F$42:$R$57,15,FALSE)</f>
        <v>-6870.0180026902817</v>
      </c>
      <c r="G15" s="26">
        <f>HLOOKUP(B15,'[2]VA Rider'!$F$5:$R$10,2,FALSE)</f>
        <v>433844.2481102423</v>
      </c>
      <c r="H15" s="26">
        <f>HLOOKUP(B15,'[2]VA Rider'!$F$5:$R$10,3,FALSE)</f>
        <v>4971967265.6964312</v>
      </c>
      <c r="I15" s="28">
        <f t="shared" ref="I15:I28" si="1">(E15/G15)/$C$8</f>
        <v>1.1360026643546477</v>
      </c>
      <c r="J15" s="30">
        <f t="shared" ref="J15:J28" si="2">(F15/H15)*(12/$C$8)</f>
        <v>-2.0726256737718043E-6</v>
      </c>
      <c r="K15" s="29">
        <f t="shared" ref="K15:K28" si="3">G15*$C$8</f>
        <v>3470753.9848819384</v>
      </c>
      <c r="L15" s="26">
        <f t="shared" ref="L15:L28" si="4">H15*($C$8/12)</f>
        <v>3314644843.7976208</v>
      </c>
      <c r="M15" s="26">
        <f>VLOOKUP(B15,[1]Summary!$A$71:$AA$83,23,FALSE)*8</f>
        <v>3535249.855762315</v>
      </c>
      <c r="N15" s="86" t="str">
        <f>VLOOKUP(B15,[1]Summary!$A$87:$AA$99,23,FALSE)</f>
        <v/>
      </c>
      <c r="O15" s="80">
        <f t="shared" ref="O15:O28" si="5">K15-M15</f>
        <v>-64495.870880376548</v>
      </c>
      <c r="P15" s="86"/>
      <c r="Q15" s="83">
        <f t="shared" ref="Q15:Q28" si="6">I15*O15</f>
        <v>-73267.481159981093</v>
      </c>
      <c r="R15" s="83">
        <f t="shared" ref="R15:R28" si="7">J15*P15</f>
        <v>0</v>
      </c>
      <c r="S15" s="84">
        <f t="shared" ref="S15:S28" si="8">Q15/E15</f>
        <v>-1.858266853868366E-2</v>
      </c>
      <c r="T15" s="85">
        <f t="shared" ref="T15:T28" si="9">R15/F15</f>
        <v>0</v>
      </c>
    </row>
    <row r="16" spans="1:20" x14ac:dyDescent="0.3">
      <c r="A16" s="1" t="s">
        <v>14</v>
      </c>
      <c r="B16" s="27" t="s">
        <v>29</v>
      </c>
      <c r="C16" s="1" t="s">
        <v>11</v>
      </c>
      <c r="D16" s="26">
        <f t="shared" si="0"/>
        <v>5240348.4613898583</v>
      </c>
      <c r="E16" s="26">
        <f>HLOOKUP(B16,'[2]VA Rider'!$F$42:$R$57,14,FALSE)</f>
        <v>4866247.8305434603</v>
      </c>
      <c r="F16" s="26">
        <f>HLOOKUP(B16,'[2]VA Rider'!$F$42:$R$57,15,FALSE)</f>
        <v>374100.63084639842</v>
      </c>
      <c r="G16" s="26">
        <f>HLOOKUP(B16,'[2]VA Rider'!$F$5:$R$10,2,FALSE)</f>
        <v>329175.53271821904</v>
      </c>
      <c r="H16" s="26">
        <f>HLOOKUP(B16,'[2]VA Rider'!$F$5:$R$10,3,FALSE)</f>
        <v>4810646608.5693827</v>
      </c>
      <c r="I16" s="28">
        <f t="shared" si="1"/>
        <v>1.8478924414428866</v>
      </c>
      <c r="J16" s="30">
        <f t="shared" si="2"/>
        <v>1.166477174336603E-4</v>
      </c>
      <c r="K16" s="29">
        <f t="shared" si="3"/>
        <v>2633404.2617457523</v>
      </c>
      <c r="L16" s="26">
        <f t="shared" si="4"/>
        <v>3207097739.0462551</v>
      </c>
      <c r="M16" s="26">
        <f>VLOOKUP(B16,[1]Summary!$A$71:$AA$83,23,FALSE)*8</f>
        <v>2642815.6581050642</v>
      </c>
      <c r="N16" s="80">
        <f>VLOOKUP(B16,[1]Summary!$A$87:$AA$99,23,FALSE)</f>
        <v>2667333372.7314687</v>
      </c>
      <c r="O16" s="80">
        <f t="shared" si="5"/>
        <v>-9411.3963593118824</v>
      </c>
      <c r="P16" s="80">
        <f t="shared" ref="P16:P28" si="10">L16-N16</f>
        <v>539764366.31478643</v>
      </c>
      <c r="Q16" s="83">
        <f t="shared" si="6"/>
        <v>-17391.248195795528</v>
      </c>
      <c r="R16" s="83">
        <f t="shared" si="7"/>
        <v>62962.281282645919</v>
      </c>
      <c r="S16" s="84">
        <f t="shared" si="8"/>
        <v>-3.5738517234238936E-3</v>
      </c>
      <c r="T16" s="85">
        <f t="shared" si="9"/>
        <v>0.16830306097104</v>
      </c>
    </row>
    <row r="17" spans="1:21" x14ac:dyDescent="0.3">
      <c r="A17" s="1" t="s">
        <v>15</v>
      </c>
      <c r="B17" s="27" t="s">
        <v>30</v>
      </c>
      <c r="C17" s="1" t="s">
        <v>11</v>
      </c>
      <c r="D17" s="26">
        <f t="shared" si="0"/>
        <v>1805295.5411492649</v>
      </c>
      <c r="E17" s="26">
        <f>HLOOKUP(B17,'[2]VA Rider'!$F$42:$R$57,14,FALSE)</f>
        <v>1431248.6249853552</v>
      </c>
      <c r="F17" s="26">
        <f>HLOOKUP(B17,'[2]VA Rider'!$F$42:$R$57,15,FALSE)</f>
        <v>374046.91616390966</v>
      </c>
      <c r="G17" s="26">
        <f>HLOOKUP(B17,'[2]VA Rider'!$F$5:$R$10,2,FALSE)</f>
        <v>153968.16146343699</v>
      </c>
      <c r="H17" s="26">
        <f>HLOOKUP(B17,'[2]VA Rider'!$F$5:$R$10,3,FALSE)</f>
        <v>677316745.70496571</v>
      </c>
      <c r="I17" s="28">
        <f t="shared" si="1"/>
        <v>1.1619680096372031</v>
      </c>
      <c r="J17" s="30">
        <f t="shared" si="2"/>
        <v>8.2837221699264278E-4</v>
      </c>
      <c r="K17" s="29">
        <f t="shared" si="3"/>
        <v>1231745.2917074959</v>
      </c>
      <c r="L17" s="26">
        <f t="shared" si="4"/>
        <v>451544497.13664377</v>
      </c>
      <c r="M17" s="26">
        <f>VLOOKUP(B17,[1]Summary!$A$71:$AA$83,23,FALSE)*8</f>
        <v>1077732.0975445728</v>
      </c>
      <c r="N17" s="80">
        <f>VLOOKUP(B17,[1]Summary!$A$87:$AA$99,23,FALSE)</f>
        <v>368947730.76804227</v>
      </c>
      <c r="O17" s="80">
        <f t="shared" si="5"/>
        <v>154013.19416292314</v>
      </c>
      <c r="P17" s="80">
        <f t="shared" si="10"/>
        <v>82596766.368601501</v>
      </c>
      <c r="Q17" s="83">
        <f t="shared" si="6"/>
        <v>178958.40467935993</v>
      </c>
      <c r="R17" s="83">
        <f t="shared" si="7"/>
        <v>68420.866473181784</v>
      </c>
      <c r="S17" s="84">
        <f t="shared" si="8"/>
        <v>0.12503656007438335</v>
      </c>
      <c r="T17" s="85">
        <f t="shared" si="9"/>
        <v>0.1829205469059377</v>
      </c>
    </row>
    <row r="18" spans="1:21" hidden="1" x14ac:dyDescent="0.3">
      <c r="A18" s="1" t="s">
        <v>16</v>
      </c>
      <c r="B18" s="27"/>
      <c r="D18" s="26"/>
      <c r="E18" s="26"/>
      <c r="F18" s="26"/>
      <c r="G18" s="26"/>
      <c r="H18" s="26"/>
      <c r="I18" s="28"/>
      <c r="J18" s="30"/>
      <c r="K18" s="29">
        <f t="shared" si="3"/>
        <v>0</v>
      </c>
      <c r="L18" s="26">
        <f t="shared" si="4"/>
        <v>0</v>
      </c>
      <c r="M18" s="26"/>
      <c r="N18" s="80"/>
      <c r="O18" s="80"/>
      <c r="P18" s="80"/>
      <c r="Q18" s="83"/>
      <c r="R18" s="83"/>
      <c r="S18" s="84"/>
      <c r="T18" s="85"/>
    </row>
    <row r="19" spans="1:21" hidden="1" x14ac:dyDescent="0.3">
      <c r="A19" s="1" t="s">
        <v>16</v>
      </c>
      <c r="B19" s="27"/>
      <c r="D19" s="26"/>
      <c r="E19" s="26"/>
      <c r="F19" s="26"/>
      <c r="G19" s="26"/>
      <c r="H19" s="26"/>
      <c r="I19" s="28"/>
      <c r="J19" s="30"/>
      <c r="K19" s="29">
        <f t="shared" si="3"/>
        <v>0</v>
      </c>
      <c r="L19" s="26">
        <f t="shared" si="4"/>
        <v>0</v>
      </c>
      <c r="M19" s="26"/>
      <c r="N19" s="80"/>
      <c r="O19" s="80"/>
      <c r="P19" s="80"/>
      <c r="Q19" s="83"/>
      <c r="R19" s="83"/>
      <c r="S19" s="84"/>
      <c r="T19" s="85"/>
    </row>
    <row r="20" spans="1:21" x14ac:dyDescent="0.3">
      <c r="A20" s="1" t="s">
        <v>17</v>
      </c>
      <c r="B20" s="27" t="s">
        <v>33</v>
      </c>
      <c r="C20" s="1" t="s">
        <v>11</v>
      </c>
      <c r="D20" s="26">
        <f t="shared" si="0"/>
        <v>31080.082054739934</v>
      </c>
      <c r="E20" s="26">
        <f>HLOOKUP(B20,'[2]VA Rider'!$F$42:$R$57,14,FALSE)</f>
        <v>137895.31730485571</v>
      </c>
      <c r="F20" s="26">
        <f>HLOOKUP(B20,'[2]VA Rider'!$F$42:$R$57,15,FALSE)</f>
        <v>-106815.23525011577</v>
      </c>
      <c r="G20" s="26">
        <f>HLOOKUP(B20,'[2]VA Rider'!$F$5:$R$10,2,FALSE)</f>
        <v>17768.163504815773</v>
      </c>
      <c r="H20" s="26">
        <f>HLOOKUP(B20,'[2]VA Rider'!$F$5:$R$10,3,FALSE)</f>
        <v>604059536.90373015</v>
      </c>
      <c r="I20" s="28">
        <f t="shared" si="1"/>
        <v>0.97010108323435773</v>
      </c>
      <c r="J20" s="30">
        <f t="shared" si="2"/>
        <v>-2.6524347864192169E-4</v>
      </c>
      <c r="K20" s="29">
        <f t="shared" si="3"/>
        <v>142145.30803852619</v>
      </c>
      <c r="L20" s="26">
        <f t="shared" si="4"/>
        <v>402706357.9358201</v>
      </c>
      <c r="M20" s="26">
        <f>VLOOKUP(B20,[1]Summary!$A$71:$AA$83,23,FALSE)*8</f>
        <v>140108.59970636904</v>
      </c>
      <c r="N20" s="80">
        <f>VLOOKUP(B20,[1]Summary!$A$87:$AA$99,23,FALSE)</f>
        <v>353532191.71897298</v>
      </c>
      <c r="O20" s="80">
        <f t="shared" si="5"/>
        <v>2036.7083321571408</v>
      </c>
      <c r="P20" s="80">
        <f t="shared" si="10"/>
        <v>49174166.216847122</v>
      </c>
      <c r="Q20" s="83">
        <f t="shared" si="6"/>
        <v>1975.8129592580844</v>
      </c>
      <c r="R20" s="83">
        <f t="shared" si="7"/>
        <v>-13043.126906672596</v>
      </c>
      <c r="S20" s="84">
        <f t="shared" si="8"/>
        <v>1.4328354275366753E-2</v>
      </c>
      <c r="T20" s="85">
        <f t="shared" si="9"/>
        <v>0.12210923728371847</v>
      </c>
    </row>
    <row r="21" spans="1:21" x14ac:dyDescent="0.3">
      <c r="A21" s="1" t="s">
        <v>18</v>
      </c>
      <c r="B21" s="27" t="s">
        <v>31</v>
      </c>
      <c r="C21" s="1" t="s">
        <v>11</v>
      </c>
      <c r="D21" s="26">
        <f t="shared" si="0"/>
        <v>1332425.9025581726</v>
      </c>
      <c r="E21" s="26">
        <f>HLOOKUP(B21,'[2]VA Rider'!$F$42:$R$57,14,FALSE)</f>
        <v>827793.22553745634</v>
      </c>
      <c r="F21" s="26">
        <f>HLOOKUP(B21,'[2]VA Rider'!$F$42:$R$57,15,FALSE)</f>
        <v>504632.67702071625</v>
      </c>
      <c r="G21" s="26">
        <f>HLOOKUP(B21,'[2]VA Rider'!$F$5:$R$10,2,FALSE)</f>
        <v>93508.411313851495</v>
      </c>
      <c r="H21" s="26">
        <f>HLOOKUP(B21,'[2]VA Rider'!$F$5:$R$10,3,FALSE)</f>
        <v>2194809667.9084058</v>
      </c>
      <c r="I21" s="28">
        <f t="shared" si="1"/>
        <v>1.1065758870063735</v>
      </c>
      <c r="J21" s="30">
        <f t="shared" si="2"/>
        <v>3.4488139295122853E-4</v>
      </c>
      <c r="K21" s="29">
        <f t="shared" si="3"/>
        <v>748067.29051081196</v>
      </c>
      <c r="L21" s="26">
        <f t="shared" si="4"/>
        <v>1463206445.2722704</v>
      </c>
      <c r="M21" s="26">
        <f>VLOOKUP(B21,[1]Summary!$A$71:$AA$83,23,FALSE)*8</f>
        <v>697710.54620585463</v>
      </c>
      <c r="N21" s="80">
        <f>VLOOKUP(B21,[1]Summary!$A$87:$AA$99,23,FALSE)</f>
        <v>1331672428.7083933</v>
      </c>
      <c r="O21" s="80">
        <f>K21-M21</f>
        <v>50356.744304957334</v>
      </c>
      <c r="P21" s="80">
        <f t="shared" si="10"/>
        <v>131534016.56387711</v>
      </c>
      <c r="Q21" s="83">
        <f t="shared" si="6"/>
        <v>55723.558996011314</v>
      </c>
      <c r="R21" s="83">
        <f t="shared" si="7"/>
        <v>45363.634853019903</v>
      </c>
      <c r="S21" s="84">
        <f t="shared" si="8"/>
        <v>6.7315794907396129E-2</v>
      </c>
      <c r="T21" s="85">
        <f t="shared" si="9"/>
        <v>8.9894366573406881E-2</v>
      </c>
    </row>
    <row r="22" spans="1:21" x14ac:dyDescent="0.3">
      <c r="A22" s="1" t="s">
        <v>19</v>
      </c>
      <c r="B22" s="27" t="s">
        <v>34</v>
      </c>
      <c r="C22" s="1" t="s">
        <v>40</v>
      </c>
      <c r="D22" s="26">
        <f t="shared" si="0"/>
        <v>-198759.27201886397</v>
      </c>
      <c r="E22" s="26">
        <f>HLOOKUP(B22,'[2]VA Rider'!$F$42:$R$57,14,FALSE)</f>
        <v>29762.198126394622</v>
      </c>
      <c r="F22" s="26">
        <f>HLOOKUP(B22,'[2]VA Rider'!$F$42:$R$57,15,FALSE)</f>
        <v>-228521.47014525859</v>
      </c>
      <c r="G22" s="26">
        <f>HLOOKUP(B22,'[2]VA Rider'!$F$5:$R$10,2,FALSE)</f>
        <v>1901.2076640864293</v>
      </c>
      <c r="H22" s="26">
        <f>HLOOKUP(B22,'[2]VA Rider'!$F$5:$R$10,6,FALSE)</f>
        <v>3058267.4992196742</v>
      </c>
      <c r="I22" s="28">
        <f t="shared" si="1"/>
        <v>1.9567955863395905</v>
      </c>
      <c r="J22" s="30">
        <f t="shared" si="2"/>
        <v>-0.11208378773450975</v>
      </c>
      <c r="K22" s="29">
        <f t="shared" si="3"/>
        <v>15209.661312691434</v>
      </c>
      <c r="L22" s="26">
        <f t="shared" si="4"/>
        <v>2038844.9994797828</v>
      </c>
      <c r="M22" s="26">
        <f>VLOOKUP(B22,[1]Summary!$A$71:$AA$83,23,FALSE)*8</f>
        <v>14669.20297576882</v>
      </c>
      <c r="N22" s="80">
        <f>VLOOKUP(B22,[1]Summary!$A$87:$AA$99,23,FALSE)</f>
        <v>1824678.2221027985</v>
      </c>
      <c r="O22" s="80">
        <f t="shared" si="5"/>
        <v>540.45833692261476</v>
      </c>
      <c r="P22" s="80">
        <f t="shared" si="10"/>
        <v>214166.77737698425</v>
      </c>
      <c r="Q22" s="83">
        <f t="shared" si="6"/>
        <v>1057.5664882906078</v>
      </c>
      <c r="R22" s="83">
        <f t="shared" si="7"/>
        <v>-24004.623615305907</v>
      </c>
      <c r="S22" s="84">
        <f t="shared" si="8"/>
        <v>3.5533883747407229E-2</v>
      </c>
      <c r="T22" s="85">
        <f t="shared" si="9"/>
        <v>0.10504318740837559</v>
      </c>
    </row>
    <row r="23" spans="1:21" x14ac:dyDescent="0.3">
      <c r="A23" s="1" t="s">
        <v>20</v>
      </c>
      <c r="B23" s="27" t="s">
        <v>32</v>
      </c>
      <c r="C23" s="1" t="s">
        <v>40</v>
      </c>
      <c r="D23" s="26">
        <f t="shared" si="0"/>
        <v>247383.72727806208</v>
      </c>
      <c r="E23" s="26">
        <f>HLOOKUP(B23,'[2]VA Rider'!$F$42:$R$57,14,FALSE)</f>
        <v>91953.936392710937</v>
      </c>
      <c r="F23" s="26">
        <f>HLOOKUP(B23,'[2]VA Rider'!$F$42:$R$57,15,FALSE)</f>
        <v>155429.79088535113</v>
      </c>
      <c r="G23" s="26">
        <f>HLOOKUP(B23,'[2]VA Rider'!$F$5:$R$10,2,FALSE)</f>
        <v>6112.9079561125573</v>
      </c>
      <c r="H23" s="26">
        <f>HLOOKUP(B23,'[2]VA Rider'!$F$5:$R$10,6,FALSE)</f>
        <v>8484669.8017077167</v>
      </c>
      <c r="I23" s="28">
        <f t="shared" si="1"/>
        <v>1.8803231018054647</v>
      </c>
      <c r="J23" s="30">
        <f t="shared" si="2"/>
        <v>2.7478345271739563E-2</v>
      </c>
      <c r="K23" s="29">
        <f t="shared" si="3"/>
        <v>48903.263648900458</v>
      </c>
      <c r="L23" s="26">
        <f t="shared" si="4"/>
        <v>5656446.5344718108</v>
      </c>
      <c r="M23" s="26">
        <f>VLOOKUP(B23,[1]Summary!$A$71:$AA$83,23,FALSE)*8</f>
        <v>45961.157746496887</v>
      </c>
      <c r="N23" s="80">
        <f>VLOOKUP(B23,[1]Summary!$A$87:$AA$99,23,FALSE)</f>
        <v>5290591.3574481783</v>
      </c>
      <c r="O23" s="80">
        <f t="shared" si="5"/>
        <v>2942.1059024035712</v>
      </c>
      <c r="P23" s="80">
        <f t="shared" si="10"/>
        <v>365855.17702363245</v>
      </c>
      <c r="Q23" s="83">
        <f t="shared" si="6"/>
        <v>5532.1096962476486</v>
      </c>
      <c r="R23" s="83">
        <f t="shared" si="7"/>
        <v>10053.094873708771</v>
      </c>
      <c r="S23" s="84">
        <f t="shared" si="8"/>
        <v>6.016174960277363E-2</v>
      </c>
      <c r="T23" s="85">
        <f t="shared" si="9"/>
        <v>6.4679330882740388E-2</v>
      </c>
    </row>
    <row r="24" spans="1:21" x14ac:dyDescent="0.3">
      <c r="A24" s="1" t="s">
        <v>21</v>
      </c>
      <c r="B24" s="27" t="s">
        <v>38</v>
      </c>
      <c r="C24" s="1" t="s">
        <v>40</v>
      </c>
      <c r="D24" s="26">
        <f t="shared" si="0"/>
        <v>44001.726426898516</v>
      </c>
      <c r="E24" s="26">
        <f>HLOOKUP(B24,'[2]VA Rider'!$F$42:$R$57,14,FALSE)</f>
        <v>37366.690443977401</v>
      </c>
      <c r="F24" s="26">
        <f>HLOOKUP(B24,'[2]VA Rider'!$F$42:$R$57,15,FALSE)</f>
        <v>6635.0359829211138</v>
      </c>
      <c r="G24" s="26">
        <f>HLOOKUP(B24,'[2]VA Rider'!$F$5:$R$10,2,FALSE)</f>
        <v>1009.9596468549055</v>
      </c>
      <c r="H24" s="26">
        <f>HLOOKUP(B24,'[2]VA Rider'!$F$5:$R$10,6,FALSE)</f>
        <v>216098.52757603716</v>
      </c>
      <c r="I24" s="28">
        <f t="shared" si="1"/>
        <v>4.6247751779415447</v>
      </c>
      <c r="J24" s="30">
        <f t="shared" si="2"/>
        <v>4.6055630670041155E-2</v>
      </c>
      <c r="K24" s="29">
        <f t="shared" si="3"/>
        <v>8079.6771748392439</v>
      </c>
      <c r="L24" s="26">
        <f t="shared" si="4"/>
        <v>144065.68505069142</v>
      </c>
      <c r="M24" s="26">
        <f>VLOOKUP(B24,[1]Summary!$A$71:$AA$83,23,FALSE)*8</f>
        <v>6139.5811974023836</v>
      </c>
      <c r="N24" s="80">
        <f>VLOOKUP(B24,[1]Summary!$A$87:$AA$99,23,FALSE)</f>
        <v>114332.59235277605</v>
      </c>
      <c r="O24" s="80">
        <f t="shared" si="5"/>
        <v>1940.0959774368603</v>
      </c>
      <c r="P24" s="80">
        <f>L24-N24</f>
        <v>29733.092697915374</v>
      </c>
      <c r="Q24" s="83">
        <f t="shared" si="6"/>
        <v>8972.5077192742301</v>
      </c>
      <c r="R24" s="83">
        <f t="shared" si="7"/>
        <v>1369.376335973288</v>
      </c>
      <c r="S24" s="84">
        <f t="shared" si="8"/>
        <v>0.24012048197649197</v>
      </c>
      <c r="T24" s="85">
        <f t="shared" si="9"/>
        <v>0.20638566836685215</v>
      </c>
    </row>
    <row r="25" spans="1:21" x14ac:dyDescent="0.3">
      <c r="A25" s="1" t="s">
        <v>22</v>
      </c>
      <c r="B25" s="27" t="s">
        <v>39</v>
      </c>
      <c r="C25" s="1" t="s">
        <v>128</v>
      </c>
      <c r="D25" s="26">
        <f t="shared" si="0"/>
        <v>4720750.7776283631</v>
      </c>
      <c r="E25" s="26">
        <f>HLOOKUP(B25,'[2]VA Rider'!$F$42:$R$57,14,FALSE)</f>
        <v>107560.54035592427</v>
      </c>
      <c r="F25" s="26">
        <f>'[2]VA Rider'!$F$69+'[2]VA Rider'!$F$70</f>
        <v>4613190.2372724386</v>
      </c>
      <c r="G25" s="26">
        <f>HLOOKUP(B25,'[2]VA Rider'!$F$5:$R$10,2,FALSE)</f>
        <v>809.78259034687881</v>
      </c>
      <c r="H25" s="26">
        <f>'[2]VA Rider'!$G$69+'[2]VA Rider'!$G$70</f>
        <v>41986446.254352823</v>
      </c>
      <c r="I25" s="28">
        <f t="shared" si="1"/>
        <v>16.603305263368529</v>
      </c>
      <c r="J25" s="117">
        <f t="shared" si="2"/>
        <v>0.16480997972509448</v>
      </c>
      <c r="K25" s="93">
        <f t="shared" si="3"/>
        <v>6478.2607227750304</v>
      </c>
      <c r="L25" s="38">
        <f>H25*($C$8/12)</f>
        <v>27990964.169568546</v>
      </c>
      <c r="M25" s="38">
        <f>VLOOKUP(B25,[1]Summary!$A$71:$AA$83,23,FALSE)*8</f>
        <v>6248.9338223764835</v>
      </c>
      <c r="N25" s="86">
        <f>VLOOKUP(B25,[1]Summary!$A$87:$AA$99,23,FALSE)</f>
        <v>34518182.525246963</v>
      </c>
      <c r="O25" s="86">
        <f t="shared" si="5"/>
        <v>229.32690039854697</v>
      </c>
      <c r="P25" s="80">
        <f>L25-N25</f>
        <v>-6527218.3556784168</v>
      </c>
      <c r="Q25" s="83">
        <f t="shared" si="6"/>
        <v>3807.5845324191855</v>
      </c>
      <c r="R25" s="87">
        <f>SUM(F25:F25)-[1]Summary!$C$96</f>
        <v>-1075452.3799402546</v>
      </c>
      <c r="S25" s="84">
        <f t="shared" si="8"/>
        <v>3.5399455226049072E-2</v>
      </c>
      <c r="T25" s="85">
        <f>R25/(F25)</f>
        <v>-0.23312552152111524</v>
      </c>
    </row>
    <row r="26" spans="1:21" x14ac:dyDescent="0.3">
      <c r="A26" s="1" t="s">
        <v>23</v>
      </c>
      <c r="B26" s="27" t="s">
        <v>37</v>
      </c>
      <c r="C26" s="1" t="s">
        <v>11</v>
      </c>
      <c r="D26" s="26">
        <f t="shared" si="0"/>
        <v>38284.630570136505</v>
      </c>
      <c r="E26" s="26">
        <f>HLOOKUP(B26,'[2]VA Rider'!$F$42:$R$57,14,FALSE)</f>
        <v>38467.376489659066</v>
      </c>
      <c r="F26" s="26">
        <f>HLOOKUP(B26,'[2]VA Rider'!$F$42:$R$57,15,FALSE)</f>
        <v>-182.74591952255651</v>
      </c>
      <c r="G26" s="26">
        <f>HLOOKUP(B26,'[2]VA Rider'!$F$5:$R$10,2,FALSE)</f>
        <v>5641.5857261563742</v>
      </c>
      <c r="H26" s="26">
        <f>HLOOKUP(B26,'[2]VA Rider'!$F$5:$R$10,3,FALSE)</f>
        <v>24056636.326727927</v>
      </c>
      <c r="I26" s="28">
        <f t="shared" si="1"/>
        <v>0.85231746792641094</v>
      </c>
      <c r="J26" s="30">
        <f t="shared" si="2"/>
        <v>-1.1394730151001089E-5</v>
      </c>
      <c r="K26" s="29">
        <f t="shared" si="3"/>
        <v>45132.685809250994</v>
      </c>
      <c r="L26" s="26">
        <f t="shared" si="4"/>
        <v>16037757.55115195</v>
      </c>
      <c r="M26" s="26">
        <f>VLOOKUP(B26,[1]Summary!$A$71:$AA$83,23,FALSE)*8</f>
        <v>39993.591745327714</v>
      </c>
      <c r="N26" s="86"/>
      <c r="O26" s="80">
        <f t="shared" si="5"/>
        <v>5139.0940639232795</v>
      </c>
      <c r="P26" s="86"/>
      <c r="Q26" s="83">
        <f t="shared" si="6"/>
        <v>4380.1396399987389</v>
      </c>
      <c r="R26" s="83">
        <f t="shared" si="7"/>
        <v>0</v>
      </c>
      <c r="S26" s="84">
        <f t="shared" si="8"/>
        <v>0.11386634701163525</v>
      </c>
      <c r="T26" s="85">
        <f t="shared" si="9"/>
        <v>0</v>
      </c>
    </row>
    <row r="27" spans="1:21" x14ac:dyDescent="0.3">
      <c r="A27" s="1" t="s">
        <v>24</v>
      </c>
      <c r="B27" s="27" t="s">
        <v>35</v>
      </c>
      <c r="C27" s="1" t="s">
        <v>11</v>
      </c>
      <c r="D27" s="26">
        <f t="shared" si="0"/>
        <v>80853.804964319614</v>
      </c>
      <c r="E27" s="26">
        <f>HLOOKUP(B27,'[2]VA Rider'!$F$42:$R$57,14,FALSE)</f>
        <v>4282.2914607145813</v>
      </c>
      <c r="F27" s="26">
        <f>HLOOKUP(B27,'[2]VA Rider'!$F$42:$R$57,15,FALSE)</f>
        <v>76571.513503605034</v>
      </c>
      <c r="G27" s="26">
        <f>HLOOKUP(B27,'[2]VA Rider'!$F$5:$R$10,2,FALSE)</f>
        <v>4882.5548290773013</v>
      </c>
      <c r="H27" s="26">
        <f>HLOOKUP(B27,'[2]VA Rider'!$F$5:$R$10,3,FALSE)</f>
        <v>123507002.76716001</v>
      </c>
      <c r="I27" s="28">
        <f t="shared" si="1"/>
        <v>0.10963244680868856</v>
      </c>
      <c r="J27" s="30">
        <f t="shared" si="2"/>
        <v>9.2996565119421405E-4</v>
      </c>
      <c r="K27" s="29">
        <f t="shared" si="3"/>
        <v>39060.43863261841</v>
      </c>
      <c r="L27" s="26">
        <f t="shared" si="4"/>
        <v>82338001.844773337</v>
      </c>
      <c r="M27" s="26">
        <f>VLOOKUP(B27,[1]Summary!$A$71:$AA$83,23,FALSE)*8</f>
        <v>35746.973212002697</v>
      </c>
      <c r="N27" s="80">
        <f>VLOOKUP(B27,[1]Summary!$A$87:$AA$99,23,FALSE)</f>
        <v>70132890.037707821</v>
      </c>
      <c r="O27" s="80">
        <f t="shared" si="5"/>
        <v>3313.4654206157138</v>
      </c>
      <c r="P27" s="80">
        <f t="shared" si="10"/>
        <v>12205111.807065517</v>
      </c>
      <c r="Q27" s="83">
        <f t="shared" si="6"/>
        <v>363.26332147808108</v>
      </c>
      <c r="R27" s="83">
        <f t="shared" si="7"/>
        <v>11350.334749555874</v>
      </c>
      <c r="S27" s="84">
        <f t="shared" si="8"/>
        <v>8.4829191289437292E-2</v>
      </c>
      <c r="T27" s="85">
        <f t="shared" si="9"/>
        <v>0.14823181925248863</v>
      </c>
    </row>
    <row r="28" spans="1:21" x14ac:dyDescent="0.3">
      <c r="A28" s="1" t="s">
        <v>25</v>
      </c>
      <c r="B28" s="27" t="s">
        <v>36</v>
      </c>
      <c r="C28" s="1" t="s">
        <v>11</v>
      </c>
      <c r="D28" s="26">
        <f t="shared" si="0"/>
        <v>35048.622349679499</v>
      </c>
      <c r="E28" s="26">
        <f>HLOOKUP(B28,'[2]VA Rider'!$F$42:$R$57,14,FALSE)</f>
        <v>18254.507533323391</v>
      </c>
      <c r="F28" s="26">
        <f>HLOOKUP(B28,'[2]VA Rider'!$F$42:$R$57,15,FALSE)</f>
        <v>16794.114816356108</v>
      </c>
      <c r="G28" s="26">
        <f>HLOOKUP(B28,'[2]VA Rider'!$F$5:$R$10,2,FALSE)</f>
        <v>30009.443835852406</v>
      </c>
      <c r="H28" s="26">
        <f>HLOOKUP(B28,'[2]VA Rider'!$F$5:$R$10,3,FALSE)</f>
        <v>21795353.429498833</v>
      </c>
      <c r="I28" s="28">
        <f t="shared" si="1"/>
        <v>7.6036512177520998E-2</v>
      </c>
      <c r="J28" s="30">
        <f t="shared" si="2"/>
        <v>1.1558047134229664E-3</v>
      </c>
      <c r="K28" s="29">
        <f t="shared" si="3"/>
        <v>240075.55068681925</v>
      </c>
      <c r="L28" s="26">
        <f t="shared" si="4"/>
        <v>14530235.619665887</v>
      </c>
      <c r="M28" s="26">
        <f>VLOOKUP(B28,[1]Summary!$A$71:$AA$83,23,FALSE)*8</f>
        <v>162277.61352327358</v>
      </c>
      <c r="N28" s="80">
        <f>VLOOKUP(B28,[1]Summary!$A$87:$AA$99,23,FALSE)</f>
        <v>10676561.074966786</v>
      </c>
      <c r="O28" s="80">
        <f t="shared" si="5"/>
        <v>77797.937163545663</v>
      </c>
      <c r="P28" s="80">
        <f t="shared" si="10"/>
        <v>3853674.5446991008</v>
      </c>
      <c r="Q28" s="83">
        <f t="shared" si="6"/>
        <v>5915.4837965219531</v>
      </c>
      <c r="R28" s="83">
        <f t="shared" si="7"/>
        <v>4454.0952027613248</v>
      </c>
      <c r="S28" s="84">
        <f t="shared" si="8"/>
        <v>0.32405606044004781</v>
      </c>
      <c r="T28" s="85">
        <f t="shared" si="9"/>
        <v>0.26521762245089553</v>
      </c>
    </row>
    <row r="29" spans="1:21" x14ac:dyDescent="0.3">
      <c r="A29" s="1" t="s">
        <v>26</v>
      </c>
      <c r="D29" s="29"/>
      <c r="E29" s="26"/>
      <c r="F29" s="26"/>
      <c r="G29" s="26"/>
      <c r="I29" s="1" t="s">
        <v>12</v>
      </c>
      <c r="K29" s="1" t="s">
        <v>12</v>
      </c>
      <c r="L29" s="26"/>
      <c r="M29" s="1" t="s">
        <v>12</v>
      </c>
      <c r="N29" s="1" t="s">
        <v>12</v>
      </c>
      <c r="P29" s="1" t="s">
        <v>12</v>
      </c>
    </row>
    <row r="30" spans="1:21" x14ac:dyDescent="0.3">
      <c r="A30" s="1" t="s">
        <v>74</v>
      </c>
      <c r="B30" s="45"/>
      <c r="D30" s="29">
        <f>SUM(D14:D28)</f>
        <v>18677692.499697413</v>
      </c>
      <c r="E30" s="29">
        <f>SUM(E14:E28)</f>
        <v>13221217.020005902</v>
      </c>
      <c r="F30" s="29">
        <f>SUM(F14:F28)</f>
        <v>5456475.4796915185</v>
      </c>
      <c r="G30" s="28">
        <f>SUM(G14:G28)</f>
        <v>1288172.0394024635</v>
      </c>
      <c r="H30" s="28">
        <f>SUM(H14:H28)</f>
        <v>15483183523.645056</v>
      </c>
      <c r="I30" s="28"/>
      <c r="J30" s="28"/>
      <c r="K30" s="28">
        <f t="shared" ref="K30:R30" si="11">SUM(K14:K28)</f>
        <v>10305376.315219708</v>
      </c>
      <c r="L30" s="26">
        <f t="shared" si="11"/>
        <v>10322122349.096701</v>
      </c>
      <c r="M30" s="26">
        <f t="shared" si="11"/>
        <v>10121335.440328538</v>
      </c>
      <c r="N30" s="26">
        <f t="shared" si="11"/>
        <v>6024585526.2639189</v>
      </c>
      <c r="O30" s="26">
        <f t="shared" si="11"/>
        <v>184040.87489116477</v>
      </c>
      <c r="P30" s="26">
        <f t="shared" si="11"/>
        <v>966854221.48401058</v>
      </c>
      <c r="Q30" s="26">
        <f t="shared" si="11"/>
        <v>135395.17057964427</v>
      </c>
      <c r="R30" s="26">
        <f t="shared" si="11"/>
        <v>-945669.37588557054</v>
      </c>
      <c r="S30" s="52"/>
      <c r="T30" s="52"/>
    </row>
    <row r="31" spans="1:21" x14ac:dyDescent="0.3">
      <c r="B31" s="45"/>
      <c r="D31" s="29"/>
      <c r="E31" s="29"/>
      <c r="F31" s="29"/>
      <c r="G31" s="28"/>
      <c r="H31" s="28"/>
      <c r="I31" s="28"/>
      <c r="J31" s="28"/>
      <c r="K31" s="28"/>
      <c r="L31" s="26"/>
      <c r="M31" s="26"/>
      <c r="N31" s="26"/>
      <c r="O31" s="28"/>
    </row>
    <row r="32" spans="1:21" x14ac:dyDescent="0.3">
      <c r="A32" s="88" t="s">
        <v>104</v>
      </c>
      <c r="B32" s="89"/>
      <c r="C32" s="89"/>
      <c r="D32" s="89"/>
      <c r="E32" s="89"/>
      <c r="F32" s="89"/>
      <c r="G32" s="89"/>
      <c r="H32" s="37"/>
      <c r="I32" s="37"/>
      <c r="J32" s="37"/>
      <c r="K32" s="90"/>
      <c r="L32" s="91"/>
      <c r="M32" s="91"/>
      <c r="N32" s="91"/>
      <c r="O32" s="82"/>
      <c r="P32" s="82"/>
      <c r="Q32" s="82"/>
      <c r="R32" s="82"/>
      <c r="S32" s="82"/>
      <c r="T32" s="82"/>
      <c r="U32" s="82"/>
    </row>
    <row r="33" spans="1:20" x14ac:dyDescent="0.3">
      <c r="A33" s="37" t="s">
        <v>105</v>
      </c>
      <c r="B33" s="92"/>
      <c r="C33" s="37"/>
      <c r="D33" s="93"/>
      <c r="E33" s="93"/>
      <c r="F33" s="93"/>
      <c r="G33" s="38"/>
      <c r="H33" s="37"/>
      <c r="I33" s="37"/>
      <c r="J33" s="37"/>
      <c r="K33" s="37"/>
      <c r="L33" s="37"/>
      <c r="M33" s="37"/>
      <c r="N33" s="37"/>
      <c r="P33" s="116">
        <f>[1]Summary!$C$96</f>
        <v>5688642.6172126932</v>
      </c>
    </row>
    <row r="35" spans="1:20" s="37" customFormat="1" x14ac:dyDescent="0.3">
      <c r="A35" s="37" t="s">
        <v>133</v>
      </c>
      <c r="B35" s="92"/>
    </row>
    <row r="37" spans="1:20" x14ac:dyDescent="0.3">
      <c r="A37" s="23" t="s">
        <v>88</v>
      </c>
      <c r="B37" s="1"/>
      <c r="C37" s="3"/>
      <c r="D37" s="4"/>
      <c r="E37" s="4"/>
      <c r="F37" s="4"/>
    </row>
    <row r="38" spans="1:20" x14ac:dyDescent="0.3">
      <c r="A38" s="23" t="s">
        <v>1</v>
      </c>
      <c r="B38" s="1"/>
      <c r="C38" s="24">
        <v>8</v>
      </c>
      <c r="D38" s="4"/>
      <c r="E38" s="4"/>
      <c r="F38" s="4"/>
      <c r="G38" s="12"/>
    </row>
    <row r="41" spans="1:20" x14ac:dyDescent="0.3">
      <c r="A41" s="1" t="s">
        <v>2</v>
      </c>
    </row>
    <row r="42" spans="1:20" s="25" customFormat="1" ht="44.15" customHeight="1" x14ac:dyDescent="0.3">
      <c r="A42" s="60"/>
      <c r="B42" s="61"/>
      <c r="C42" s="62"/>
      <c r="D42" s="55" t="s">
        <v>97</v>
      </c>
      <c r="E42" s="55"/>
      <c r="F42" s="55"/>
      <c r="G42" s="56" t="s">
        <v>5</v>
      </c>
      <c r="H42" s="56"/>
      <c r="I42" s="56" t="s">
        <v>6</v>
      </c>
      <c r="J42" s="56"/>
      <c r="K42" s="56" t="s">
        <v>7</v>
      </c>
      <c r="L42" s="56"/>
      <c r="M42" s="56" t="s">
        <v>103</v>
      </c>
      <c r="N42" s="56"/>
      <c r="O42" s="56" t="s">
        <v>108</v>
      </c>
      <c r="P42" s="56"/>
      <c r="Q42" s="56" t="s">
        <v>8</v>
      </c>
      <c r="R42" s="56"/>
      <c r="S42" s="56" t="s">
        <v>9</v>
      </c>
      <c r="T42" s="56"/>
    </row>
    <row r="43" spans="1:20" s="25" customFormat="1" ht="42" x14ac:dyDescent="0.3">
      <c r="A43" s="63"/>
      <c r="B43" s="64"/>
      <c r="C43" s="59"/>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3">
      <c r="A44" s="35" t="s">
        <v>3</v>
      </c>
      <c r="B44" s="36"/>
      <c r="C44" s="32" t="s">
        <v>4</v>
      </c>
      <c r="D44" s="32" t="s">
        <v>85</v>
      </c>
      <c r="E44" s="32" t="s">
        <v>66</v>
      </c>
      <c r="F44" s="34" t="str">
        <f>"(C)"</f>
        <v>(C)</v>
      </c>
      <c r="G44" s="33" t="s">
        <v>86</v>
      </c>
      <c r="H44" s="54" t="s">
        <v>87</v>
      </c>
      <c r="I44" s="33" t="s">
        <v>98</v>
      </c>
      <c r="J44" s="33" t="s">
        <v>99</v>
      </c>
      <c r="K44" s="33" t="str">
        <f>"(H=D*"&amp;C33&amp;"/12)"</f>
        <v>(H=D*/12)</v>
      </c>
      <c r="L44" s="33" t="str">
        <f>"(I=E*"&amp;C38&amp;"/12)"</f>
        <v>(I=E*8/12)</v>
      </c>
      <c r="M44" s="33" t="s">
        <v>95</v>
      </c>
      <c r="N44" s="33" t="s">
        <v>102</v>
      </c>
      <c r="O44" s="33" t="s">
        <v>106</v>
      </c>
      <c r="P44" s="33" t="s">
        <v>107</v>
      </c>
      <c r="Q44" s="33" t="s">
        <v>109</v>
      </c>
      <c r="R44" s="33" t="s">
        <v>110</v>
      </c>
      <c r="S44" s="33" t="s">
        <v>111</v>
      </c>
      <c r="T44" s="33" t="s">
        <v>112</v>
      </c>
    </row>
    <row r="45" spans="1:20" ht="13.5" customHeight="1" x14ac:dyDescent="0.3">
      <c r="A45" s="96" t="s">
        <v>10</v>
      </c>
      <c r="B45" s="97" t="s">
        <v>27</v>
      </c>
      <c r="C45" s="96" t="s">
        <v>11</v>
      </c>
      <c r="D45" s="98">
        <f>F45</f>
        <v>-267366.12941475486</v>
      </c>
      <c r="E45" s="103"/>
      <c r="F45" s="98">
        <f>HLOOKUP(B45,'[2]VA Rider'!$F$42:$R$57,16,FALSE)</f>
        <v>-267366.12941475486</v>
      </c>
      <c r="G45" s="98"/>
      <c r="H45" s="98">
        <f>HLOOKUP(B45,'[2]VA Rider'!$F$5:$R$10,5,FALSE)</f>
        <v>272738525.06741005</v>
      </c>
      <c r="I45" s="123"/>
      <c r="J45" s="124">
        <f>F45/H45*(12/$C$38)</f>
        <v>-1.4704530429759015E-3</v>
      </c>
      <c r="K45" s="104"/>
      <c r="L45" s="104">
        <f>H45*($C$38/12)</f>
        <v>181825683.37827337</v>
      </c>
      <c r="M45" s="96"/>
      <c r="N45" s="125">
        <f>VLOOKUP(B45,[1]Summary!$A$55:$AA$67,23,FALSE)</f>
        <v>85512333.893659383</v>
      </c>
      <c r="O45" s="121"/>
      <c r="P45" s="109">
        <f>L45-N45</f>
        <v>96313349.484613985</v>
      </c>
      <c r="Q45" s="121"/>
      <c r="R45" s="125">
        <f>J45*P45</f>
        <v>-141624.2578288521</v>
      </c>
      <c r="S45" s="121"/>
      <c r="T45" s="126">
        <f>R45/F45</f>
        <v>0.52970156743061425</v>
      </c>
    </row>
    <row r="46" spans="1:20" x14ac:dyDescent="0.3">
      <c r="A46" s="96" t="s">
        <v>13</v>
      </c>
      <c r="B46" s="97" t="s">
        <v>28</v>
      </c>
      <c r="C46" s="96" t="s">
        <v>11</v>
      </c>
      <c r="D46" s="98">
        <f t="shared" ref="D46:D59" si="12">F46</f>
        <v>-545412.04220663104</v>
      </c>
      <c r="E46" s="103"/>
      <c r="F46" s="98">
        <f>HLOOKUP(B46,'[2]VA Rider'!$F$42:$R$57,16,FALSE)</f>
        <v>-545412.04220663104</v>
      </c>
      <c r="G46" s="98"/>
      <c r="H46" s="98">
        <f>HLOOKUP(B46,'[2]VA Rider'!$F$5:$R$10,5,FALSE)</f>
        <v>556371430.70834827</v>
      </c>
      <c r="I46" s="123"/>
      <c r="J46" s="124">
        <f t="shared" ref="J46:J59" si="13">F46/H46*(12/$C$38)</f>
        <v>-1.4704530429759015E-3</v>
      </c>
      <c r="K46" s="104"/>
      <c r="L46" s="104">
        <f>H46*($C$38/12)</f>
        <v>370914287.13889885</v>
      </c>
      <c r="M46" s="96"/>
      <c r="N46" s="125">
        <f>VLOOKUP(B46,[1]Summary!$A$55:$AA$67,23,FALSE)</f>
        <v>152267692.47134495</v>
      </c>
      <c r="O46" s="96" t="s">
        <v>12</v>
      </c>
      <c r="P46" s="109">
        <f t="shared" ref="P46:P59" si="14">L46-N46</f>
        <v>218646594.6675539</v>
      </c>
      <c r="Q46" s="96" t="s">
        <v>12</v>
      </c>
      <c r="R46" s="125">
        <f t="shared" ref="R46:R59" si="15">J46*P46</f>
        <v>-321509.55046522315</v>
      </c>
      <c r="S46" s="96" t="s">
        <v>12</v>
      </c>
      <c r="T46" s="126">
        <f t="shared" ref="T46:T59" si="16">R46/F46</f>
        <v>0.58948010968818743</v>
      </c>
    </row>
    <row r="47" spans="1:20" x14ac:dyDescent="0.3">
      <c r="A47" s="96" t="s">
        <v>14</v>
      </c>
      <c r="B47" s="97" t="s">
        <v>29</v>
      </c>
      <c r="C47" s="96" t="s">
        <v>11</v>
      </c>
      <c r="D47" s="98">
        <f t="shared" si="12"/>
        <v>-522737.86237649346</v>
      </c>
      <c r="E47" s="103"/>
      <c r="F47" s="98">
        <f>HLOOKUP(B47,'[2]VA Rider'!$F$42:$R$57,16,FALSE)</f>
        <v>-522737.86237649346</v>
      </c>
      <c r="G47" s="98"/>
      <c r="H47" s="98">
        <f>HLOOKUP(B47,'[2]VA Rider'!$F$5:$R$10,5,FALSE)</f>
        <v>533241640.94207704</v>
      </c>
      <c r="I47" s="123"/>
      <c r="J47" s="124">
        <f t="shared" si="13"/>
        <v>-1.4704530429759015E-3</v>
      </c>
      <c r="K47" s="104"/>
      <c r="L47" s="104">
        <f t="shared" ref="L47:L59" si="17">H47*($C$38/12)</f>
        <v>355494427.29471803</v>
      </c>
      <c r="M47" s="96"/>
      <c r="N47" s="125">
        <f>VLOOKUP(B47,[1]Summary!$A$55:$AA$67,23,FALSE)</f>
        <v>197519958.66353732</v>
      </c>
      <c r="O47" s="96" t="s">
        <v>12</v>
      </c>
      <c r="P47" s="109">
        <f t="shared" si="14"/>
        <v>157974468.6311807</v>
      </c>
      <c r="Q47" s="96" t="s">
        <v>12</v>
      </c>
      <c r="R47" s="125">
        <f t="shared" si="15"/>
        <v>-232294.03811122075</v>
      </c>
      <c r="S47" s="96" t="s">
        <v>12</v>
      </c>
      <c r="T47" s="126">
        <f t="shared" si="16"/>
        <v>0.44437959220163537</v>
      </c>
    </row>
    <row r="48" spans="1:20" x14ac:dyDescent="0.3">
      <c r="A48" s="96" t="s">
        <v>15</v>
      </c>
      <c r="B48" s="97" t="s">
        <v>30</v>
      </c>
      <c r="C48" s="96" t="s">
        <v>11</v>
      </c>
      <c r="D48" s="98">
        <f t="shared" si="12"/>
        <v>-16889.252884133664</v>
      </c>
      <c r="E48" s="103"/>
      <c r="F48" s="98">
        <f>HLOOKUP(B48,'[2]VA Rider'!$F$42:$R$57,16,FALSE)</f>
        <v>-16889.252884133664</v>
      </c>
      <c r="G48" s="98"/>
      <c r="H48" s="98">
        <f>HLOOKUP(B48,'[2]VA Rider'!$F$5:$R$10,5,FALSE)</f>
        <v>17228621.782392871</v>
      </c>
      <c r="I48" s="123"/>
      <c r="J48" s="124">
        <f t="shared" si="13"/>
        <v>-1.4704530429759015E-3</v>
      </c>
      <c r="K48" s="104"/>
      <c r="L48" s="104">
        <f t="shared" si="17"/>
        <v>11485747.854928579</v>
      </c>
      <c r="M48" s="96"/>
      <c r="N48" s="125">
        <f>VLOOKUP(B48,[1]Summary!$A$55:$AA$67,23,FALSE)</f>
        <v>5307285.3156493586</v>
      </c>
      <c r="O48" s="96" t="s">
        <v>12</v>
      </c>
      <c r="P48" s="109">
        <f t="shared" si="14"/>
        <v>6178462.5392792206</v>
      </c>
      <c r="Q48" s="96" t="s">
        <v>12</v>
      </c>
      <c r="R48" s="125">
        <f t="shared" si="15"/>
        <v>-9085.1390417957446</v>
      </c>
      <c r="S48" s="96" t="s">
        <v>12</v>
      </c>
      <c r="T48" s="126">
        <f t="shared" si="16"/>
        <v>0.5379242707846853</v>
      </c>
    </row>
    <row r="49" spans="1:21" hidden="1" x14ac:dyDescent="0.3">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3">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3">
      <c r="A51" s="96" t="s">
        <v>17</v>
      </c>
      <c r="B51" s="97" t="s">
        <v>33</v>
      </c>
      <c r="C51" s="96" t="s">
        <v>11</v>
      </c>
      <c r="D51" s="98">
        <f t="shared" si="12"/>
        <v>-136788.14612830771</v>
      </c>
      <c r="E51" s="103"/>
      <c r="F51" s="98">
        <f>HLOOKUP(B51,'[2]VA Rider'!$F$42:$R$57,16,FALSE)</f>
        <v>-136788.14612830771</v>
      </c>
      <c r="G51" s="98"/>
      <c r="H51" s="98">
        <f>HLOOKUP(B51,'[2]VA Rider'!$F$5:$R$10,5,FALSE)</f>
        <v>139536736.77141976</v>
      </c>
      <c r="I51" s="123"/>
      <c r="J51" s="124">
        <f t="shared" si="13"/>
        <v>-1.4704530429759015E-3</v>
      </c>
      <c r="K51" s="104"/>
      <c r="L51" s="104">
        <f t="shared" si="17"/>
        <v>93024491.180946499</v>
      </c>
      <c r="M51" s="96"/>
      <c r="N51" s="125">
        <f>VLOOKUP(B51,[1]Summary!$A$55:$AA$67,23,FALSE)</f>
        <v>71599587.711061567</v>
      </c>
      <c r="O51" s="96" t="s">
        <v>12</v>
      </c>
      <c r="P51" s="109">
        <f t="shared" si="14"/>
        <v>21424903.469884932</v>
      </c>
      <c r="Q51" s="96" t="s">
        <v>12</v>
      </c>
      <c r="R51" s="125">
        <f t="shared" si="15"/>
        <v>-31504.31450275725</v>
      </c>
      <c r="S51" s="96" t="s">
        <v>12</v>
      </c>
      <c r="T51" s="126">
        <f t="shared" si="16"/>
        <v>0.23031465367771053</v>
      </c>
    </row>
    <row r="52" spans="1:21" x14ac:dyDescent="0.3">
      <c r="A52" s="96" t="s">
        <v>18</v>
      </c>
      <c r="B52" s="97" t="s">
        <v>31</v>
      </c>
      <c r="C52" s="96" t="s">
        <v>11</v>
      </c>
      <c r="D52" s="98">
        <f t="shared" si="12"/>
        <v>-447886.71624881687</v>
      </c>
      <c r="E52" s="103"/>
      <c r="F52" s="98">
        <f>HLOOKUP(B52,'[2]VA Rider'!$F$42:$R$57,16,FALSE)</f>
        <v>-447886.71624881687</v>
      </c>
      <c r="G52" s="98"/>
      <c r="H52" s="98">
        <f>HLOOKUP(B52,'[2]VA Rider'!$F$5:$R$10,5,FALSE)</f>
        <v>456886452.50009233</v>
      </c>
      <c r="I52" s="123"/>
      <c r="J52" s="124">
        <f t="shared" si="13"/>
        <v>-1.4704530429759011E-3</v>
      </c>
      <c r="K52" s="104"/>
      <c r="L52" s="104">
        <f t="shared" si="17"/>
        <v>304590968.33339489</v>
      </c>
      <c r="M52" s="96"/>
      <c r="N52" s="125">
        <f>VLOOKUP(B52,[1]Summary!$A$55:$AA$67,23,FALSE)</f>
        <v>247678701.89871997</v>
      </c>
      <c r="O52" s="96" t="s">
        <v>12</v>
      </c>
      <c r="P52" s="109">
        <f t="shared" si="14"/>
        <v>56912266.434674919</v>
      </c>
      <c r="Q52" s="96" t="s">
        <v>12</v>
      </c>
      <c r="R52" s="125">
        <f t="shared" si="15"/>
        <v>-83686.815361522968</v>
      </c>
      <c r="S52" s="96" t="s">
        <v>12</v>
      </c>
      <c r="T52" s="126">
        <f t="shared" si="16"/>
        <v>0.18684817460634842</v>
      </c>
    </row>
    <row r="53" spans="1:21" x14ac:dyDescent="0.3">
      <c r="A53" s="96" t="s">
        <v>19</v>
      </c>
      <c r="B53" s="97" t="s">
        <v>34</v>
      </c>
      <c r="C53" s="96" t="s">
        <v>40</v>
      </c>
      <c r="D53" s="98">
        <f t="shared" si="12"/>
        <v>-997361.53817222302</v>
      </c>
      <c r="E53" s="103"/>
      <c r="F53" s="98">
        <f>HLOOKUP(B53,'[2]VA Rider'!$F$42:$R$57,16,FALSE)</f>
        <v>-997361.53817222302</v>
      </c>
      <c r="G53" s="98"/>
      <c r="H53" s="98">
        <f>HLOOKUP(B53,'[2]VA Rider'!$F$5:$R$10,5,FALSE)</f>
        <v>1017402299.5189602</v>
      </c>
      <c r="I53" s="123"/>
      <c r="J53" s="124">
        <f t="shared" si="13"/>
        <v>-1.4704530429759015E-3</v>
      </c>
      <c r="K53" s="104"/>
      <c r="L53" s="104">
        <f t="shared" si="17"/>
        <v>678268199.67930675</v>
      </c>
      <c r="M53" s="96"/>
      <c r="N53" s="125">
        <f>VLOOKUP(B53,[1]Summary!$A$55:$AA$67,23,FALSE)</f>
        <v>556214305.82238805</v>
      </c>
      <c r="O53" s="96" t="s">
        <v>12</v>
      </c>
      <c r="P53" s="109">
        <f t="shared" si="14"/>
        <v>122053893.85691869</v>
      </c>
      <c r="Q53" s="96" t="s">
        <v>12</v>
      </c>
      <c r="R53" s="125">
        <f t="shared" si="15"/>
        <v>-179474.51962896378</v>
      </c>
      <c r="S53" s="96" t="s">
        <v>12</v>
      </c>
      <c r="T53" s="126">
        <f t="shared" si="16"/>
        <v>0.17994930901172607</v>
      </c>
    </row>
    <row r="54" spans="1:21" x14ac:dyDescent="0.3">
      <c r="A54" s="96" t="s">
        <v>20</v>
      </c>
      <c r="B54" s="97" t="s">
        <v>32</v>
      </c>
      <c r="C54" s="96" t="s">
        <v>40</v>
      </c>
      <c r="D54" s="98">
        <f t="shared" si="12"/>
        <v>-2176088.035511605</v>
      </c>
      <c r="E54" s="103"/>
      <c r="F54" s="98">
        <f>HLOOKUP(B54,'[2]VA Rider'!$F$42:$R$57,16,FALSE)</f>
        <v>-2176088.035511605</v>
      </c>
      <c r="G54" s="98"/>
      <c r="H54" s="98">
        <f>HLOOKUP(B54,'[2]VA Rider'!$F$5:$R$10,5,FALSE)</f>
        <v>2219813865.4339213</v>
      </c>
      <c r="I54" s="123"/>
      <c r="J54" s="124">
        <f t="shared" si="13"/>
        <v>-1.4704530429759015E-3</v>
      </c>
      <c r="K54" s="104"/>
      <c r="L54" s="104">
        <f t="shared" si="17"/>
        <v>1479875910.2892809</v>
      </c>
      <c r="M54" s="96"/>
      <c r="N54" s="125">
        <f>VLOOKUP(B54,[1]Summary!$A$55:$AA$67,23,FALSE)</f>
        <v>1354934653.4930146</v>
      </c>
      <c r="O54" s="96" t="s">
        <v>12</v>
      </c>
      <c r="P54" s="109">
        <f t="shared" si="14"/>
        <v>124941256.79626632</v>
      </c>
      <c r="Q54" s="96" t="s">
        <v>12</v>
      </c>
      <c r="R54" s="125">
        <f t="shared" si="15"/>
        <v>-183720.25124930334</v>
      </c>
      <c r="S54" s="96" t="s">
        <v>12</v>
      </c>
      <c r="T54" s="126">
        <f t="shared" si="16"/>
        <v>8.4426846823828131E-2</v>
      </c>
    </row>
    <row r="55" spans="1:21" x14ac:dyDescent="0.3">
      <c r="A55" s="96" t="s">
        <v>21</v>
      </c>
      <c r="B55" s="97" t="s">
        <v>38</v>
      </c>
      <c r="C55" s="96" t="s">
        <v>40</v>
      </c>
      <c r="D55" s="98">
        <f t="shared" si="12"/>
        <v>-21305.251359933776</v>
      </c>
      <c r="E55" s="103"/>
      <c r="F55" s="98">
        <f>HLOOKUP(B55,'[2]VA Rider'!$F$42:$R$57,16,FALSE)</f>
        <v>-21305.251359933776</v>
      </c>
      <c r="G55" s="98"/>
      <c r="H55" s="98">
        <f>HLOOKUP(B55,'[2]VA Rider'!$F$5:$R$10,5,FALSE)</f>
        <v>21733354.351271458</v>
      </c>
      <c r="I55" s="123"/>
      <c r="J55" s="124">
        <f t="shared" si="13"/>
        <v>-1.4704530429759015E-3</v>
      </c>
      <c r="K55" s="104"/>
      <c r="L55" s="104">
        <f t="shared" si="17"/>
        <v>14488902.900847638</v>
      </c>
      <c r="M55" s="96"/>
      <c r="N55" s="125">
        <f>VLOOKUP(B55,[1]Summary!$A$55:$AA$67,23,FALSE)</f>
        <v>18489372.567693632</v>
      </c>
      <c r="O55" s="96" t="s">
        <v>12</v>
      </c>
      <c r="P55" s="109">
        <f t="shared" si="14"/>
        <v>-4000469.6668459941</v>
      </c>
      <c r="Q55" s="96" t="s">
        <v>12</v>
      </c>
      <c r="R55" s="125">
        <f t="shared" si="15"/>
        <v>5882.5027949464829</v>
      </c>
      <c r="S55" s="96" t="s">
        <v>12</v>
      </c>
      <c r="T55" s="126">
        <f t="shared" si="16"/>
        <v>-0.27610576827124406</v>
      </c>
    </row>
    <row r="56" spans="1:21" x14ac:dyDescent="0.3">
      <c r="A56" s="96" t="s">
        <v>22</v>
      </c>
      <c r="B56" s="97" t="s">
        <v>39</v>
      </c>
      <c r="C56" s="96" t="s">
        <v>40</v>
      </c>
      <c r="D56" s="98">
        <f t="shared" si="12"/>
        <v>-2386407.7293818174</v>
      </c>
      <c r="E56" s="103"/>
      <c r="F56" s="98">
        <f>HLOOKUP(B56,'[2]VA Rider'!$F$42:$R$57,16,FALSE)</f>
        <v>-2386407.7293818174</v>
      </c>
      <c r="G56" s="98"/>
      <c r="H56" s="98">
        <f>HLOOKUP(B56,'[2]VA Rider'!$F$5:$R$10,5,FALSE)</f>
        <v>2434359676.5445237</v>
      </c>
      <c r="I56" s="123"/>
      <c r="J56" s="124">
        <f t="shared" si="13"/>
        <v>-1.4704530429759015E-3</v>
      </c>
      <c r="K56" s="104"/>
      <c r="L56" s="104">
        <f t="shared" si="17"/>
        <v>1622906451.0296824</v>
      </c>
      <c r="M56" s="96"/>
      <c r="N56" s="125">
        <f>VLOOKUP(B56,[1]Summary!$A$55:$AA$67,23,FALSE)</f>
        <v>1571800515.0777969</v>
      </c>
      <c r="O56" s="96" t="s">
        <v>12</v>
      </c>
      <c r="P56" s="109">
        <f t="shared" si="14"/>
        <v>51105935.951885462</v>
      </c>
      <c r="Q56" s="96" t="s">
        <v>12</v>
      </c>
      <c r="R56" s="125">
        <f t="shared" si="15"/>
        <v>-75148.879034581507</v>
      </c>
      <c r="S56" s="96" t="s">
        <v>12</v>
      </c>
      <c r="T56" s="126">
        <f t="shared" si="16"/>
        <v>3.1490376983504119E-2</v>
      </c>
    </row>
    <row r="57" spans="1:21" x14ac:dyDescent="0.3">
      <c r="A57" s="96" t="s">
        <v>23</v>
      </c>
      <c r="B57" s="97" t="s">
        <v>37</v>
      </c>
      <c r="C57" s="96" t="s">
        <v>11</v>
      </c>
      <c r="D57" s="98">
        <f t="shared" si="12"/>
        <v>-1499.139305893915</v>
      </c>
      <c r="E57" s="103"/>
      <c r="F57" s="98">
        <f>HLOOKUP(B57,'[2]VA Rider'!$F$42:$R$57,16,FALSE)</f>
        <v>-1499.139305893915</v>
      </c>
      <c r="G57" s="98"/>
      <c r="H57" s="98">
        <f>HLOOKUP(B57,'[2]VA Rider'!$F$5:$R$10,5,FALSE)</f>
        <v>1529262.6783171108</v>
      </c>
      <c r="I57" s="123"/>
      <c r="J57" s="124">
        <f t="shared" si="13"/>
        <v>-1.4704530429759015E-3</v>
      </c>
      <c r="K57" s="104"/>
      <c r="L57" s="104">
        <f t="shared" si="17"/>
        <v>1019508.4522114071</v>
      </c>
      <c r="M57" s="96"/>
      <c r="N57" s="125">
        <f>VLOOKUP(B57,[1]Summary!$A$55:$AA$67,23,FALSE)</f>
        <v>1150372.5598315084</v>
      </c>
      <c r="O57" s="96" t="s">
        <v>12</v>
      </c>
      <c r="P57" s="109">
        <f t="shared" si="14"/>
        <v>-130864.10762010131</v>
      </c>
      <c r="Q57" s="96" t="s">
        <v>12</v>
      </c>
      <c r="R57" s="125">
        <f t="shared" si="15"/>
        <v>192.42952526630384</v>
      </c>
      <c r="S57" s="96" t="s">
        <v>12</v>
      </c>
      <c r="T57" s="126">
        <f t="shared" si="16"/>
        <v>-0.12836000264269032</v>
      </c>
    </row>
    <row r="58" spans="1:21" x14ac:dyDescent="0.3">
      <c r="A58" s="96" t="s">
        <v>24</v>
      </c>
      <c r="B58" s="97" t="s">
        <v>35</v>
      </c>
      <c r="C58" s="96" t="s">
        <v>11</v>
      </c>
      <c r="D58" s="98">
        <f t="shared" si="12"/>
        <v>-60221.096414525266</v>
      </c>
      <c r="E58" s="103"/>
      <c r="F58" s="98">
        <f>HLOOKUP(B58,'[2]VA Rider'!$F$42:$R$57,16,FALSE)</f>
        <v>-60221.096414525266</v>
      </c>
      <c r="G58" s="98"/>
      <c r="H58" s="98">
        <f>HLOOKUP(B58,'[2]VA Rider'!$F$5:$R$10,5,FALSE)</f>
        <v>61431165.757578224</v>
      </c>
      <c r="I58" s="123"/>
      <c r="J58" s="124">
        <f t="shared" si="13"/>
        <v>-1.4704530429759015E-3</v>
      </c>
      <c r="K58" s="104"/>
      <c r="L58" s="104">
        <f t="shared" si="17"/>
        <v>40954110.505052149</v>
      </c>
      <c r="M58" s="96"/>
      <c r="N58" s="125">
        <f>VLOOKUP(B58,[1]Summary!$A$55:$AA$67,23,FALSE)</f>
        <v>35632051.113515474</v>
      </c>
      <c r="O58" s="96" t="s">
        <v>12</v>
      </c>
      <c r="P58" s="109">
        <f t="shared" si="14"/>
        <v>5322059.3915366754</v>
      </c>
      <c r="Q58" s="96" t="s">
        <v>12</v>
      </c>
      <c r="R58" s="125">
        <f t="shared" si="15"/>
        <v>-7825.8384271835794</v>
      </c>
      <c r="S58" s="96" t="s">
        <v>12</v>
      </c>
      <c r="T58" s="126">
        <f t="shared" si="16"/>
        <v>0.12995177592442497</v>
      </c>
    </row>
    <row r="59" spans="1:21" x14ac:dyDescent="0.3">
      <c r="A59" s="96" t="s">
        <v>25</v>
      </c>
      <c r="B59" s="97" t="s">
        <v>36</v>
      </c>
      <c r="C59" s="96" t="s">
        <v>11</v>
      </c>
      <c r="D59" s="98">
        <f t="shared" si="12"/>
        <v>-3413.3806981175876</v>
      </c>
      <c r="E59" s="103"/>
      <c r="F59" s="98">
        <f>HLOOKUP(B59,'[2]VA Rider'!$F$42:$R$57,16,FALSE)</f>
        <v>-3413.3806981175876</v>
      </c>
      <c r="G59" s="98"/>
      <c r="H59" s="98">
        <f>HLOOKUP(B59,'[2]VA Rider'!$F$5:$R$10,5,FALSE)</f>
        <v>3481968.4121394227</v>
      </c>
      <c r="I59" s="123"/>
      <c r="J59" s="124">
        <f t="shared" si="13"/>
        <v>-1.4704530429759015E-3</v>
      </c>
      <c r="K59" s="104"/>
      <c r="L59" s="104">
        <f t="shared" si="17"/>
        <v>2321312.2747596148</v>
      </c>
      <c r="M59" s="96"/>
      <c r="N59" s="125">
        <f>VLOOKUP(B59,[1]Summary!$A$55:$AA$67,23,FALSE)</f>
        <v>1051807.2394673852</v>
      </c>
      <c r="O59" s="96" t="s">
        <v>12</v>
      </c>
      <c r="P59" s="109">
        <f t="shared" si="14"/>
        <v>1269505.0352922296</v>
      </c>
      <c r="Q59" s="96" t="s">
        <v>12</v>
      </c>
      <c r="R59" s="125">
        <f t="shared" si="15"/>
        <v>-1866.7475422186883</v>
      </c>
      <c r="S59" s="96" t="s">
        <v>12</v>
      </c>
      <c r="T59" s="126">
        <f t="shared" si="16"/>
        <v>0.54689110512875483</v>
      </c>
    </row>
    <row r="60" spans="1:21" x14ac:dyDescent="0.3">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3">
      <c r="A61" s="96" t="s">
        <v>67</v>
      </c>
      <c r="B61" s="96"/>
      <c r="C61" s="96"/>
      <c r="D61" s="104">
        <f>SUM(D45:D59)</f>
        <v>-7583376.3201032532</v>
      </c>
      <c r="E61" s="104"/>
      <c r="F61" s="104">
        <f t="shared" ref="F61" si="18">SUM(F45:F59)</f>
        <v>-7583376.3201032532</v>
      </c>
      <c r="G61" s="123"/>
      <c r="H61" s="104">
        <f>SUM(H45:H59)</f>
        <v>7735755000.4684534</v>
      </c>
      <c r="I61" s="123"/>
      <c r="J61" s="123"/>
      <c r="K61" s="123"/>
      <c r="L61" s="104">
        <f t="shared" ref="L61" si="19">SUM(L45:L59)</f>
        <v>5157170000.3123007</v>
      </c>
      <c r="M61" s="123"/>
      <c r="N61" s="98">
        <f>SUM(N45:N59)</f>
        <v>4299158637.8276806</v>
      </c>
      <c r="O61" s="123"/>
      <c r="P61" s="98">
        <f>SUM(P45:P59)</f>
        <v>858011362.48462093</v>
      </c>
      <c r="Q61" s="96"/>
      <c r="R61" s="104">
        <f>SUM(R45:R59)</f>
        <v>-1261665.4188734102</v>
      </c>
      <c r="S61" s="96"/>
      <c r="T61" s="96"/>
    </row>
    <row r="63" spans="1:21" s="37" customFormat="1" x14ac:dyDescent="0.3">
      <c r="A63" s="88" t="s">
        <v>104</v>
      </c>
      <c r="B63" s="89"/>
      <c r="C63" s="89"/>
      <c r="D63" s="89"/>
      <c r="E63" s="89"/>
      <c r="F63" s="89"/>
      <c r="G63" s="89"/>
      <c r="K63" s="90"/>
      <c r="L63" s="91"/>
      <c r="M63" s="91"/>
      <c r="N63" s="91"/>
      <c r="O63" s="91"/>
      <c r="P63" s="91"/>
      <c r="Q63" s="91"/>
      <c r="R63" s="91"/>
      <c r="S63" s="91"/>
      <c r="T63" s="91"/>
      <c r="U63" s="91"/>
    </row>
    <row r="64" spans="1:21" s="37" customFormat="1" x14ac:dyDescent="0.3">
      <c r="A64" s="37" t="s">
        <v>105</v>
      </c>
      <c r="B64" s="92"/>
      <c r="D64" s="93"/>
      <c r="E64" s="93"/>
      <c r="F64" s="93"/>
      <c r="G64" s="38"/>
    </row>
    <row r="65" spans="2:2" s="37" customFormat="1" x14ac:dyDescent="0.3">
      <c r="B65" s="9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activeCell="A16" sqref="A16"/>
    </sheetView>
  </sheetViews>
  <sheetFormatPr defaultColWidth="8.7265625" defaultRowHeight="14" x14ac:dyDescent="0.3"/>
  <cols>
    <col min="1" max="1" width="48.1796875" style="1" customWidth="1"/>
    <col min="2" max="2" width="13" style="2" customWidth="1"/>
    <col min="3" max="3" width="12.453125" style="1" bestFit="1" customWidth="1"/>
    <col min="4" max="5" width="15.54296875" style="1" bestFit="1" customWidth="1"/>
    <col min="6" max="6" width="16.453125" style="1" customWidth="1"/>
    <col min="7" max="9" width="18.26953125" style="1" customWidth="1"/>
    <col min="10" max="10" width="19.1796875" style="1" bestFit="1" customWidth="1"/>
    <col min="11" max="11" width="21.26953125" style="1" customWidth="1"/>
    <col min="12" max="12" width="18.1796875" style="1" bestFit="1" customWidth="1"/>
    <col min="13" max="13" width="13.453125" style="1" customWidth="1"/>
    <col min="14" max="15" width="14.453125" style="1" customWidth="1"/>
    <col min="16" max="18" width="18.1796875" style="1" customWidth="1"/>
    <col min="19" max="20" width="13" style="1" customWidth="1"/>
    <col min="21" max="21" width="12.54296875" style="1" customWidth="1"/>
    <col min="22" max="22" width="9.7265625" style="1" customWidth="1"/>
    <col min="23" max="16384" width="8.7265625" style="1"/>
  </cols>
  <sheetData>
    <row r="1" spans="1:20" x14ac:dyDescent="0.3">
      <c r="A1" s="81" t="s">
        <v>78</v>
      </c>
    </row>
    <row r="4" spans="1:20" x14ac:dyDescent="0.3">
      <c r="A4" s="1" t="s">
        <v>41</v>
      </c>
      <c r="B4" s="44">
        <v>2016</v>
      </c>
    </row>
    <row r="5" spans="1:20" ht="14.15" customHeight="1" x14ac:dyDescent="0.3">
      <c r="A5" s="3"/>
      <c r="B5" s="3"/>
      <c r="C5" s="3"/>
      <c r="D5" s="3"/>
      <c r="E5" s="3"/>
      <c r="F5" s="46"/>
      <c r="G5" s="46"/>
      <c r="H5" s="37"/>
    </row>
    <row r="6" spans="1:20" x14ac:dyDescent="0.3">
      <c r="A6" s="4" t="s">
        <v>73</v>
      </c>
      <c r="B6" s="3"/>
      <c r="C6" s="3"/>
      <c r="D6" s="4"/>
      <c r="E6" s="4"/>
      <c r="F6" s="4"/>
    </row>
    <row r="7" spans="1:20" x14ac:dyDescent="0.3">
      <c r="A7" s="23" t="s">
        <v>0</v>
      </c>
      <c r="B7" s="1"/>
      <c r="C7" s="3"/>
      <c r="D7" s="4"/>
      <c r="E7" s="4"/>
      <c r="F7" s="4"/>
    </row>
    <row r="8" spans="1:20" x14ac:dyDescent="0.3">
      <c r="A8" s="23" t="s">
        <v>1</v>
      </c>
      <c r="B8" s="1"/>
      <c r="C8" s="24">
        <v>12</v>
      </c>
      <c r="D8" s="4"/>
      <c r="E8" s="4"/>
      <c r="F8" s="4"/>
      <c r="G8" s="12"/>
    </row>
    <row r="10" spans="1:20" x14ac:dyDescent="0.3">
      <c r="A10" s="1" t="s">
        <v>2</v>
      </c>
    </row>
    <row r="11" spans="1:20" s="25" customFormat="1" ht="44.15" customHeight="1" x14ac:dyDescent="0.3">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2" x14ac:dyDescent="0.3">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100</v>
      </c>
      <c r="S12" s="33" t="s">
        <v>101</v>
      </c>
      <c r="T12" s="33" t="s">
        <v>100</v>
      </c>
    </row>
    <row r="13" spans="1:20" s="31" customFormat="1" x14ac:dyDescent="0.3">
      <c r="A13" s="32" t="s">
        <v>3</v>
      </c>
      <c r="B13" s="122"/>
      <c r="C13" s="32" t="s">
        <v>4</v>
      </c>
      <c r="D13" s="32" t="s">
        <v>85</v>
      </c>
      <c r="E13" s="32" t="s">
        <v>66</v>
      </c>
      <c r="F13" s="34" t="str">
        <f>"(C)"</f>
        <v>(C)</v>
      </c>
      <c r="G13" s="33" t="s">
        <v>86</v>
      </c>
      <c r="H13" s="54" t="s">
        <v>87</v>
      </c>
      <c r="I13" s="33" t="s">
        <v>114</v>
      </c>
      <c r="J13" s="33" t="s">
        <v>113</v>
      </c>
      <c r="K13" s="33" t="str">
        <f>"(H=D*"&amp;C8&amp;"/12)"</f>
        <v>(H=D*12/12)</v>
      </c>
      <c r="L13" s="33" t="str">
        <f>"(I=E*"&amp;C8&amp;"/12)"</f>
        <v>(I=E*12/12)</v>
      </c>
      <c r="M13" s="33" t="s">
        <v>95</v>
      </c>
      <c r="N13" s="33" t="s">
        <v>102</v>
      </c>
      <c r="O13" s="33" t="s">
        <v>106</v>
      </c>
      <c r="P13" s="33" t="s">
        <v>107</v>
      </c>
      <c r="Q13" s="33" t="s">
        <v>109</v>
      </c>
      <c r="R13" s="33" t="s">
        <v>110</v>
      </c>
      <c r="S13" s="33" t="s">
        <v>111</v>
      </c>
      <c r="T13" s="33" t="s">
        <v>112</v>
      </c>
    </row>
    <row r="14" spans="1:20" ht="13.5" customHeight="1" x14ac:dyDescent="0.3">
      <c r="A14" s="96" t="s">
        <v>10</v>
      </c>
      <c r="B14" s="97" t="s">
        <v>27</v>
      </c>
      <c r="C14" s="96" t="s">
        <v>11</v>
      </c>
      <c r="D14" s="98">
        <f>SUM(E14:F14)</f>
        <v>1276731.6650313109</v>
      </c>
      <c r="E14" s="98">
        <f>HLOOKUP(B14,'[3]VA Rider'!$F$42:$R$57,14,FALSE)</f>
        <v>1760826.4454946625</v>
      </c>
      <c r="F14" s="98">
        <f>HLOOKUP(B14,'[3]VA Rider'!$F$42:$R$57,15,FALSE)</f>
        <v>-484094.78046335158</v>
      </c>
      <c r="G14" s="98">
        <f>HLOOKUP(B14,'[3]VA Rider'!$5:$10,2,FALSE)</f>
        <v>211690.70757128994</v>
      </c>
      <c r="H14" s="98">
        <f>HLOOKUP(B14,'[3]VA Rider'!$5:$10,3,FALSE)</f>
        <v>2016183096.7499046</v>
      </c>
      <c r="I14" s="123">
        <f>(E14/G14)/$C$8</f>
        <v>0.69316002959241796</v>
      </c>
      <c r="J14" s="124">
        <f>(F14/H14)</f>
        <v>-2.4010457246849968E-4</v>
      </c>
      <c r="K14" s="104">
        <f>G14*$C$8/12</f>
        <v>211690.70757128994</v>
      </c>
      <c r="L14" s="98">
        <f>H14*$C$8/12</f>
        <v>2016183096.7499046</v>
      </c>
      <c r="M14" s="98">
        <f>VLOOKUP(B14,[1]Summary!$A$71:$AA$83,24,FALSE)</f>
        <v>222856.87766657732</v>
      </c>
      <c r="N14" s="109">
        <f>VLOOKUP(B14,[1]Summary!$A$87:$AA$99,24,FALSE)</f>
        <v>1808240917.3788884</v>
      </c>
      <c r="O14" s="109">
        <f>K14-M14</f>
        <v>-11166.17009528738</v>
      </c>
      <c r="P14" s="109">
        <f>L14-N14</f>
        <v>207942179.37101626</v>
      </c>
      <c r="Q14" s="125">
        <f>I14*O14</f>
        <v>-7739.9427936833727</v>
      </c>
      <c r="R14" s="125">
        <f>J14*P14</f>
        <v>-49927.868076045932</v>
      </c>
      <c r="S14" s="128">
        <f>Q14/E14</f>
        <v>-4.3956307070961891E-3</v>
      </c>
      <c r="T14" s="129">
        <f>R14/F14</f>
        <v>0.10313655525940074</v>
      </c>
    </row>
    <row r="15" spans="1:20" x14ac:dyDescent="0.3">
      <c r="A15" s="96" t="s">
        <v>13</v>
      </c>
      <c r="B15" s="97" t="s">
        <v>28</v>
      </c>
      <c r="C15" s="96" t="s">
        <v>11</v>
      </c>
      <c r="D15" s="98">
        <f t="shared" ref="D15:D28" si="0">SUM(E15:F15)</f>
        <v>3778494.1766137742</v>
      </c>
      <c r="E15" s="98">
        <f>HLOOKUP(B15,'[3]VA Rider'!$F$42:$R$57,14,FALSE)</f>
        <v>4131222.2690664828</v>
      </c>
      <c r="F15" s="98">
        <f>HLOOKUP(B15,'[3]VA Rider'!$F$42:$R$57,15,FALSE)</f>
        <v>-352728.0924527084</v>
      </c>
      <c r="G15" s="98">
        <f>HLOOKUP(B15,'[3]VA Rider'!$5:$10,2,FALSE)</f>
        <v>439437.22509297531</v>
      </c>
      <c r="H15" s="98">
        <f>HLOOKUP(B15,'[3]VA Rider'!$5:$10,3,FALSE)</f>
        <v>5030042034.255003</v>
      </c>
      <c r="I15" s="123">
        <f t="shared" ref="I15:I28" si="1">(E15/G15)/$C$8</f>
        <v>0.78343049419485844</v>
      </c>
      <c r="J15" s="124">
        <f t="shared" ref="J15:J28" si="2">(F15/H15)</f>
        <v>-7.0124283266541484E-5</v>
      </c>
      <c r="K15" s="104">
        <f t="shared" ref="K15:L28" si="3">G15*$C$8/12</f>
        <v>439437.22509297525</v>
      </c>
      <c r="L15" s="98">
        <f t="shared" si="3"/>
        <v>5030042034.255003</v>
      </c>
      <c r="M15" s="98">
        <f>VLOOKUP(B15,[1]Summary!$A$71:$AA$83,24,FALSE)</f>
        <v>458944.14467278792</v>
      </c>
      <c r="N15" s="109">
        <f>VLOOKUP(B15,[1]Summary!$A$87:$AA$99,24,FALSE)</f>
        <v>3675836498.726923</v>
      </c>
      <c r="O15" s="109">
        <f t="shared" ref="O15:O28" si="4">K15-M15</f>
        <v>-19506.919579812675</v>
      </c>
      <c r="P15" s="109">
        <f t="shared" ref="P15:P28" si="5">L15-N15</f>
        <v>1354205535.52808</v>
      </c>
      <c r="Q15" s="125">
        <f t="shared" ref="Q15:R28" si="6">I15*O15</f>
        <v>-15282.315646632003</v>
      </c>
      <c r="R15" s="125">
        <f t="shared" si="6"/>
        <v>-94962.692574489585</v>
      </c>
      <c r="S15" s="128">
        <f t="shared" ref="S15:T28" si="7">Q15/E15</f>
        <v>-3.6992237772007588E-3</v>
      </c>
      <c r="T15" s="129">
        <f t="shared" si="7"/>
        <v>0.26922350276713952</v>
      </c>
    </row>
    <row r="16" spans="1:20" x14ac:dyDescent="0.3">
      <c r="A16" s="96" t="s">
        <v>14</v>
      </c>
      <c r="B16" s="97" t="s">
        <v>29</v>
      </c>
      <c r="C16" s="96" t="s">
        <v>11</v>
      </c>
      <c r="D16" s="98">
        <f t="shared" si="0"/>
        <v>5308332.8525477117</v>
      </c>
      <c r="E16" s="98">
        <f>HLOOKUP(B16,'[3]VA Rider'!$F$42:$R$57,14,FALSE)</f>
        <v>5054204.9244703427</v>
      </c>
      <c r="F16" s="98">
        <f>HLOOKUP(B16,'[3]VA Rider'!$F$42:$R$57,15,FALSE)</f>
        <v>254127.928077369</v>
      </c>
      <c r="G16" s="98">
        <f>HLOOKUP(B16,'[3]VA Rider'!$5:$10,2,FALSE)</f>
        <v>331825.69588791893</v>
      </c>
      <c r="H16" s="98">
        <f>HLOOKUP(B16,'[3]VA Rider'!$5:$10,3,FALSE)</f>
        <v>4804609665.8866634</v>
      </c>
      <c r="I16" s="123">
        <f t="shared" si="1"/>
        <v>1.2692921281422567</v>
      </c>
      <c r="J16" s="124">
        <f t="shared" si="2"/>
        <v>5.2892523170343982E-5</v>
      </c>
      <c r="K16" s="104">
        <f t="shared" si="3"/>
        <v>331825.69588791893</v>
      </c>
      <c r="L16" s="98">
        <f t="shared" si="3"/>
        <v>4804609665.8866634</v>
      </c>
      <c r="M16" s="98">
        <f>VLOOKUP(B16,[1]Summary!$A$71:$AA$83,24,FALSE)</f>
        <v>342315.32934540469</v>
      </c>
      <c r="N16" s="109">
        <f>VLOOKUP(B16,[1]Summary!$A$87:$AA$99,24,FALSE)</f>
        <v>4326965920.8959303</v>
      </c>
      <c r="O16" s="109">
        <f t="shared" si="4"/>
        <v>-10489.633457485761</v>
      </c>
      <c r="P16" s="109">
        <f t="shared" si="5"/>
        <v>477643744.99073315</v>
      </c>
      <c r="Q16" s="125">
        <f t="shared" si="6"/>
        <v>-13314.409174684319</v>
      </c>
      <c r="R16" s="125">
        <f t="shared" si="6"/>
        <v>25263.782849092226</v>
      </c>
      <c r="S16" s="128">
        <f t="shared" si="7"/>
        <v>-2.6343231771671005E-3</v>
      </c>
      <c r="T16" s="129">
        <f t="shared" si="7"/>
        <v>9.9413641941001829E-2</v>
      </c>
    </row>
    <row r="17" spans="1:21" x14ac:dyDescent="0.3">
      <c r="A17" s="96" t="s">
        <v>15</v>
      </c>
      <c r="B17" s="97" t="s">
        <v>30</v>
      </c>
      <c r="C17" s="96" t="s">
        <v>11</v>
      </c>
      <c r="D17" s="98">
        <f t="shared" si="0"/>
        <v>1800481.921906126</v>
      </c>
      <c r="E17" s="98">
        <f>HLOOKUP(B17,'[3]VA Rider'!$F$42:$R$57,14,FALSE)</f>
        <v>1480108.0240745731</v>
      </c>
      <c r="F17" s="98">
        <f>HLOOKUP(B17,'[3]VA Rider'!$F$42:$R$57,15,FALSE)</f>
        <v>320373.89783155289</v>
      </c>
      <c r="G17" s="98">
        <f>HLOOKUP(B17,'[3]VA Rider'!$5:$10,2,FALSE)</f>
        <v>154490.34928756166</v>
      </c>
      <c r="H17" s="98">
        <f>HLOOKUP(B17,'[3]VA Rider'!$5:$10,3,FALSE)</f>
        <v>668696400.35804868</v>
      </c>
      <c r="I17" s="123">
        <f t="shared" si="1"/>
        <v>0.79838213783803191</v>
      </c>
      <c r="J17" s="124">
        <f t="shared" si="2"/>
        <v>4.7910217201709325E-4</v>
      </c>
      <c r="K17" s="104">
        <f t="shared" si="3"/>
        <v>154490.34928756166</v>
      </c>
      <c r="L17" s="98">
        <f t="shared" si="3"/>
        <v>668696400.35804868</v>
      </c>
      <c r="M17" s="98">
        <f>VLOOKUP(B17,[1]Summary!$A$71:$AA$83,24,FALSE)</f>
        <v>160002.81869250932</v>
      </c>
      <c r="N17" s="109">
        <f>VLOOKUP(B17,[1]Summary!$A$87:$AA$99,24,FALSE)</f>
        <v>670356614.50006843</v>
      </c>
      <c r="O17" s="109">
        <f t="shared" si="4"/>
        <v>-5512.4694049476529</v>
      </c>
      <c r="P17" s="109">
        <f t="shared" si="5"/>
        <v>-1660214.1420197487</v>
      </c>
      <c r="Q17" s="125">
        <f t="shared" si="6"/>
        <v>-4401.0571082888509</v>
      </c>
      <c r="R17" s="125">
        <f t="shared" si="6"/>
        <v>-795.41220145515649</v>
      </c>
      <c r="S17" s="128">
        <f t="shared" si="7"/>
        <v>-2.9734702040012115E-3</v>
      </c>
      <c r="T17" s="129">
        <f t="shared" si="7"/>
        <v>-2.4827621939205878E-3</v>
      </c>
    </row>
    <row r="18" spans="1:21" hidden="1" x14ac:dyDescent="0.3">
      <c r="A18" s="96" t="s">
        <v>16</v>
      </c>
      <c r="B18" s="97"/>
      <c r="C18" s="96"/>
      <c r="D18" s="98"/>
      <c r="E18" s="98"/>
      <c r="F18" s="98"/>
      <c r="G18" s="98"/>
      <c r="H18" s="98"/>
      <c r="I18" s="123"/>
      <c r="J18" s="124"/>
      <c r="K18" s="104"/>
      <c r="L18" s="98"/>
      <c r="M18" s="98"/>
      <c r="N18" s="109"/>
      <c r="O18" s="109"/>
      <c r="P18" s="109"/>
      <c r="Q18" s="125"/>
      <c r="R18" s="125"/>
      <c r="S18" s="128"/>
      <c r="T18" s="129"/>
    </row>
    <row r="19" spans="1:21" hidden="1" x14ac:dyDescent="0.3">
      <c r="A19" s="96" t="s">
        <v>16</v>
      </c>
      <c r="B19" s="97"/>
      <c r="C19" s="96"/>
      <c r="D19" s="98"/>
      <c r="E19" s="98"/>
      <c r="F19" s="98"/>
      <c r="G19" s="98"/>
      <c r="H19" s="98"/>
      <c r="I19" s="123"/>
      <c r="J19" s="124"/>
      <c r="K19" s="104"/>
      <c r="L19" s="98"/>
      <c r="M19" s="98"/>
      <c r="N19" s="109"/>
      <c r="O19" s="109"/>
      <c r="P19" s="109"/>
      <c r="Q19" s="125"/>
      <c r="R19" s="125"/>
      <c r="S19" s="128"/>
      <c r="T19" s="129"/>
    </row>
    <row r="20" spans="1:21" x14ac:dyDescent="0.3">
      <c r="A20" s="96" t="s">
        <v>17</v>
      </c>
      <c r="B20" s="97" t="s">
        <v>33</v>
      </c>
      <c r="C20" s="96" t="s">
        <v>11</v>
      </c>
      <c r="D20" s="98">
        <f t="shared" si="0"/>
        <v>43254.601960856438</v>
      </c>
      <c r="E20" s="98">
        <f>HLOOKUP(B20,'[3]VA Rider'!$F$42:$R$57,14,FALSE)</f>
        <v>140413.83190799784</v>
      </c>
      <c r="F20" s="98">
        <f>HLOOKUP(B20,'[3]VA Rider'!$F$42:$R$57,15,FALSE)</f>
        <v>-97159.229947141401</v>
      </c>
      <c r="G20" s="98">
        <f>HLOOKUP(B20,'[3]VA Rider'!$5:$10,2,FALSE)</f>
        <v>17807.574215458411</v>
      </c>
      <c r="H20" s="98">
        <f>HLOOKUP(B20,'[3]VA Rider'!$5:$10,3,FALSE)</f>
        <v>609041231.32059431</v>
      </c>
      <c r="I20" s="123">
        <f t="shared" si="1"/>
        <v>0.65708852409792429</v>
      </c>
      <c r="J20" s="124">
        <f t="shared" si="2"/>
        <v>-1.5952816484438896E-4</v>
      </c>
      <c r="K20" s="104">
        <f t="shared" si="3"/>
        <v>17807.574215458411</v>
      </c>
      <c r="L20" s="98">
        <f t="shared" si="3"/>
        <v>609041231.32059431</v>
      </c>
      <c r="M20" s="98">
        <f>VLOOKUP(B20,[1]Summary!$A$71:$AA$83,24,FALSE)</f>
        <v>18547.487110124235</v>
      </c>
      <c r="N20" s="109">
        <f>VLOOKUP(B20,[1]Summary!$A$87:$AA$99,24,FALSE)</f>
        <v>619558300.98270798</v>
      </c>
      <c r="O20" s="109">
        <f t="shared" si="4"/>
        <v>-739.91289466582384</v>
      </c>
      <c r="P20" s="109">
        <f t="shared" si="5"/>
        <v>-10517069.662113667</v>
      </c>
      <c r="Q20" s="125">
        <f t="shared" si="6"/>
        <v>-486.18827191698909</v>
      </c>
      <c r="R20" s="125">
        <f t="shared" si="6"/>
        <v>1677.7688227375911</v>
      </c>
      <c r="S20" s="128">
        <f t="shared" si="7"/>
        <v>-3.4625383077327462E-3</v>
      </c>
      <c r="T20" s="129">
        <f t="shared" si="7"/>
        <v>-1.7268239195085903E-2</v>
      </c>
    </row>
    <row r="21" spans="1:21" x14ac:dyDescent="0.3">
      <c r="A21" s="96" t="s">
        <v>18</v>
      </c>
      <c r="B21" s="97" t="s">
        <v>31</v>
      </c>
      <c r="C21" s="96" t="s">
        <v>11</v>
      </c>
      <c r="D21" s="98">
        <f t="shared" si="0"/>
        <v>1330825.997079523</v>
      </c>
      <c r="E21" s="98">
        <f>HLOOKUP(B21,'[3]VA Rider'!$F$42:$R$57,14,FALSE)</f>
        <v>824919.4455743609</v>
      </c>
      <c r="F21" s="98">
        <f>HLOOKUP(B21,'[3]VA Rider'!$F$42:$R$57,15,FALSE)</f>
        <v>505906.55150516215</v>
      </c>
      <c r="G21" s="98">
        <f>HLOOKUP(B21,'[3]VA Rider'!$5:$10,2,FALSE)</f>
        <v>93788.452342106975</v>
      </c>
      <c r="H21" s="98">
        <f>HLOOKUP(B21,'[3]VA Rider'!$5:$10,3,FALSE)</f>
        <v>2206447678.8692403</v>
      </c>
      <c r="I21" s="123">
        <f t="shared" si="1"/>
        <v>0.73296109930938658</v>
      </c>
      <c r="J21" s="124">
        <f t="shared" si="2"/>
        <v>2.292855418010315E-4</v>
      </c>
      <c r="K21" s="104">
        <f t="shared" si="3"/>
        <v>93788.452342106975</v>
      </c>
      <c r="L21" s="98">
        <f t="shared" si="3"/>
        <v>2206447678.8692403</v>
      </c>
      <c r="M21" s="98">
        <f>VLOOKUP(B21,[1]Summary!$A$71:$AA$83,24,FALSE)</f>
        <v>93545.074932671327</v>
      </c>
      <c r="N21" s="109">
        <f>VLOOKUP(B21,[1]Summary!$A$87:$AA$99,24,FALSE)</f>
        <v>2351149904.158246</v>
      </c>
      <c r="O21" s="109">
        <f t="shared" si="4"/>
        <v>243.37740943564859</v>
      </c>
      <c r="P21" s="109">
        <f t="shared" si="5"/>
        <v>-144702225.28900576</v>
      </c>
      <c r="Q21" s="125">
        <f t="shared" si="6"/>
        <v>178.38617356702366</v>
      </c>
      <c r="R21" s="125">
        <f t="shared" si="6"/>
        <v>-33178.12812520461</v>
      </c>
      <c r="S21" s="128">
        <f t="shared" si="7"/>
        <v>2.1624677963897427E-4</v>
      </c>
      <c r="T21" s="129">
        <f t="shared" si="7"/>
        <v>-6.558153482395862E-2</v>
      </c>
    </row>
    <row r="22" spans="1:21" x14ac:dyDescent="0.3">
      <c r="A22" s="96" t="s">
        <v>19</v>
      </c>
      <c r="B22" s="97" t="s">
        <v>34</v>
      </c>
      <c r="C22" s="96" t="s">
        <v>40</v>
      </c>
      <c r="D22" s="98">
        <f t="shared" si="0"/>
        <v>-179241.81880840909</v>
      </c>
      <c r="E22" s="98">
        <f>HLOOKUP(B22,'[3]VA Rider'!$F$42:$R$57,14,FALSE)</f>
        <v>31187.967076983361</v>
      </c>
      <c r="F22" s="98">
        <f>HLOOKUP(B22,'[3]VA Rider'!$F$42:$R$57,15,FALSE)</f>
        <v>-210429.78588539246</v>
      </c>
      <c r="G22" s="98">
        <f>HLOOKUP(B22,'[3]VA Rider'!$5:$10,2,FALSE)</f>
        <v>1906.6906690854885</v>
      </c>
      <c r="H22" s="98">
        <f>HLOOKUP(B22,'[3]VA Rider'!$5:$10,6,FALSE)</f>
        <v>3045877.9769811123</v>
      </c>
      <c r="I22" s="123">
        <f t="shared" si="1"/>
        <v>1.3630932896219841</v>
      </c>
      <c r="J22" s="124">
        <f t="shared" si="2"/>
        <v>-6.9086741975775925E-2</v>
      </c>
      <c r="K22" s="104">
        <f t="shared" si="3"/>
        <v>1906.6906690854885</v>
      </c>
      <c r="L22" s="98">
        <f t="shared" si="3"/>
        <v>3045877.9769811123</v>
      </c>
      <c r="M22" s="98">
        <f>VLOOKUP(B22,[1]Summary!$A$71:$AA$83,24,FALSE)</f>
        <v>1862.2905896533309</v>
      </c>
      <c r="N22" s="109">
        <f>VLOOKUP(B22,[1]Summary!$A$87:$AA$99,24,FALSE)</f>
        <v>2997863.8366186759</v>
      </c>
      <c r="O22" s="109">
        <f t="shared" si="4"/>
        <v>44.400079432157554</v>
      </c>
      <c r="P22" s="109">
        <f t="shared" si="5"/>
        <v>48014.140362436417</v>
      </c>
      <c r="Q22" s="125">
        <f t="shared" si="6"/>
        <v>60.521450332657032</v>
      </c>
      <c r="R22" s="125">
        <f t="shared" si="6"/>
        <v>-3317.1405264083332</v>
      </c>
      <c r="S22" s="128">
        <f t="shared" si="7"/>
        <v>1.9405384834243239E-3</v>
      </c>
      <c r="T22" s="129">
        <f t="shared" si="7"/>
        <v>1.5763645400537384E-2</v>
      </c>
    </row>
    <row r="23" spans="1:21" x14ac:dyDescent="0.3">
      <c r="A23" s="96" t="s">
        <v>20</v>
      </c>
      <c r="B23" s="97" t="s">
        <v>32</v>
      </c>
      <c r="C23" s="96" t="s">
        <v>40</v>
      </c>
      <c r="D23" s="98">
        <f t="shared" si="0"/>
        <v>360420.72277693707</v>
      </c>
      <c r="E23" s="98">
        <f>HLOOKUP(B23,'[3]VA Rider'!$F$42:$R$57,14,FALSE)</f>
        <v>97790.262360506196</v>
      </c>
      <c r="F23" s="98">
        <f>HLOOKUP(B23,'[3]VA Rider'!$F$42:$R$57,15,FALSE)</f>
        <v>262630.46041643084</v>
      </c>
      <c r="G23" s="98">
        <f>HLOOKUP(B23,'[3]VA Rider'!$5:$10,2,FALSE)</f>
        <v>6196.1368318369705</v>
      </c>
      <c r="H23" s="98">
        <f>HLOOKUP(B23,'[3]VA Rider'!$5:$10,6,FALSE)</f>
        <v>8493970.7734904457</v>
      </c>
      <c r="I23" s="123">
        <f t="shared" si="1"/>
        <v>1.3152047398582369</v>
      </c>
      <c r="J23" s="124">
        <f t="shared" si="2"/>
        <v>3.0919633163337051E-2</v>
      </c>
      <c r="K23" s="104">
        <f t="shared" si="3"/>
        <v>6196.1368318369705</v>
      </c>
      <c r="L23" s="98">
        <f t="shared" si="3"/>
        <v>8493970.7734904457</v>
      </c>
      <c r="M23" s="98">
        <f>VLOOKUP(B23,[1]Summary!$A$71:$AA$83,24,FALSE)</f>
        <v>5631.8516676815843</v>
      </c>
      <c r="N23" s="109">
        <f>VLOOKUP(B23,[1]Summary!$A$87:$AA$99,24,FALSE)</f>
        <v>7472024.7132429397</v>
      </c>
      <c r="O23" s="109">
        <f t="shared" si="4"/>
        <v>564.28516415538616</v>
      </c>
      <c r="P23" s="109">
        <f t="shared" si="5"/>
        <v>1021946.060247506</v>
      </c>
      <c r="Q23" s="125">
        <f t="shared" si="6"/>
        <v>742.1505225288472</v>
      </c>
      <c r="R23" s="125">
        <f t="shared" si="6"/>
        <v>31598.19729557043</v>
      </c>
      <c r="S23" s="128">
        <f t="shared" si="7"/>
        <v>7.5892067841365545E-3</v>
      </c>
      <c r="T23" s="129">
        <f t="shared" si="7"/>
        <v>0.12031428968851461</v>
      </c>
    </row>
    <row r="24" spans="1:21" x14ac:dyDescent="0.3">
      <c r="A24" s="96" t="s">
        <v>21</v>
      </c>
      <c r="B24" s="97" t="s">
        <v>38</v>
      </c>
      <c r="C24" s="96" t="s">
        <v>40</v>
      </c>
      <c r="D24" s="98">
        <f t="shared" si="0"/>
        <v>46498.35149292268</v>
      </c>
      <c r="E24" s="98">
        <f>HLOOKUP(B24,'[3]VA Rider'!$F$42:$R$57,14,FALSE)</f>
        <v>35330.164427619864</v>
      </c>
      <c r="F24" s="98">
        <f>HLOOKUP(B24,'[3]VA Rider'!$F$42:$R$57,15,FALSE)</f>
        <v>11168.187065302813</v>
      </c>
      <c r="G24" s="98">
        <f>HLOOKUP(B24,'[3]VA Rider'!$5:$10,2,FALSE)</f>
        <v>1288.8141822027924</v>
      </c>
      <c r="H24" s="98">
        <f>HLOOKUP(B24,'[3]VA Rider'!$5:$10,6,FALSE)</f>
        <v>232370.40949517608</v>
      </c>
      <c r="I24" s="123">
        <f t="shared" si="1"/>
        <v>2.2844102816561502</v>
      </c>
      <c r="J24" s="124">
        <f t="shared" si="2"/>
        <v>4.8062001911369272E-2</v>
      </c>
      <c r="K24" s="104">
        <f t="shared" si="3"/>
        <v>1288.8141822027924</v>
      </c>
      <c r="L24" s="98">
        <f t="shared" si="3"/>
        <v>232370.40949517608</v>
      </c>
      <c r="M24" s="98">
        <f>VLOOKUP(B24,[1]Summary!$A$71:$AA$83,24,FALSE)</f>
        <v>1075.4472995006431</v>
      </c>
      <c r="N24" s="109">
        <f>VLOOKUP(B24,[1]Summary!$A$87:$AA$99,24,FALSE)</f>
        <v>188809.74592494656</v>
      </c>
      <c r="O24" s="109">
        <f t="shared" si="4"/>
        <v>213.36688270214927</v>
      </c>
      <c r="P24" s="109">
        <f t="shared" si="5"/>
        <v>43560.663570229517</v>
      </c>
      <c r="Q24" s="125">
        <f t="shared" si="6"/>
        <v>487.41750060971157</v>
      </c>
      <c r="R24" s="125">
        <f t="shared" si="6"/>
        <v>2093.6126957728848</v>
      </c>
      <c r="S24" s="128">
        <f t="shared" si="7"/>
        <v>1.3796072237599492E-2</v>
      </c>
      <c r="T24" s="129">
        <f t="shared" si="7"/>
        <v>0.18746218016685046</v>
      </c>
    </row>
    <row r="25" spans="1:21" x14ac:dyDescent="0.3">
      <c r="A25" s="96" t="s">
        <v>22</v>
      </c>
      <c r="B25" s="97" t="s">
        <v>39</v>
      </c>
      <c r="C25" s="96" t="s">
        <v>128</v>
      </c>
      <c r="D25" s="98">
        <f t="shared" si="0"/>
        <v>4749236.6444593892</v>
      </c>
      <c r="E25" s="98">
        <f>HLOOKUP(B25,'[3]VA Rider'!$F$42:$R$57,14,FALSE)</f>
        <v>113765.12302247279</v>
      </c>
      <c r="F25" s="98">
        <f>SUM('[3]VA Rider'!$F$69:$F$70)</f>
        <v>4635471.5214369167</v>
      </c>
      <c r="G25" s="98">
        <f>HLOOKUP(B25,'[3]VA Rider'!$5:$10,2,FALSE)</f>
        <v>815.65344703650396</v>
      </c>
      <c r="H25" s="98">
        <f>SUM('[3]VA Rider'!$G$69:$G$70)</f>
        <v>42024482.273040146</v>
      </c>
      <c r="I25" s="123">
        <f t="shared" si="1"/>
        <v>11.623106544800896</v>
      </c>
      <c r="J25" s="130">
        <f t="shared" si="2"/>
        <v>0.11030407207207163</v>
      </c>
      <c r="K25" s="131">
        <f t="shared" si="3"/>
        <v>815.65344703650396</v>
      </c>
      <c r="L25" s="132">
        <f>H25*($C$8/12)</f>
        <v>42024482.273040146</v>
      </c>
      <c r="M25" s="132">
        <f>VLOOKUP(B25,[1]Summary!$A$71:$AA$83,24,FALSE)</f>
        <v>855.53851049215973</v>
      </c>
      <c r="N25" s="133">
        <f>VLOOKUP(B25,[1]Summary!$A$87:$AA$99,24,FALSE)</f>
        <v>54936552.545858949</v>
      </c>
      <c r="O25" s="133">
        <f t="shared" si="4"/>
        <v>-39.885063455655768</v>
      </c>
      <c r="P25" s="109">
        <f t="shared" si="5"/>
        <v>-12912070.272818804</v>
      </c>
      <c r="Q25" s="125">
        <f t="shared" si="6"/>
        <v>-463.5883420912316</v>
      </c>
      <c r="R25" s="134">
        <f>SUM(F25:F25)-[1]Summary!$D$96</f>
        <v>-1424010.1499103913</v>
      </c>
      <c r="S25" s="128">
        <f t="shared" si="7"/>
        <v>-4.0749601439771296E-3</v>
      </c>
      <c r="T25" s="129">
        <f t="shared" si="7"/>
        <v>-0.30719855430564108</v>
      </c>
    </row>
    <row r="26" spans="1:21" x14ac:dyDescent="0.3">
      <c r="A26" s="96" t="s">
        <v>23</v>
      </c>
      <c r="B26" s="97" t="s">
        <v>37</v>
      </c>
      <c r="C26" s="96" t="s">
        <v>11</v>
      </c>
      <c r="D26" s="98">
        <f t="shared" si="0"/>
        <v>35687.766425416339</v>
      </c>
      <c r="E26" s="98">
        <f>HLOOKUP(B26,'[3]VA Rider'!$F$42:$R$57,14,FALSE)</f>
        <v>36615.71535065947</v>
      </c>
      <c r="F26" s="98">
        <f>HLOOKUP(B26,'[3]VA Rider'!$F$42:$R$57,15,FALSE)</f>
        <v>-927.94892524312672</v>
      </c>
      <c r="G26" s="98">
        <f>HLOOKUP(B26,'[3]VA Rider'!$5:$10,2,FALSE)</f>
        <v>5690.7978429281302</v>
      </c>
      <c r="H26" s="98">
        <f>HLOOKUP(B26,'[3]VA Rider'!$5:$10,3,FALSE)</f>
        <v>24648222.831226781</v>
      </c>
      <c r="I26" s="123">
        <f t="shared" si="1"/>
        <v>0.53618309712877477</v>
      </c>
      <c r="J26" s="124">
        <f t="shared" si="2"/>
        <v>-3.7647701077560454E-5</v>
      </c>
      <c r="K26" s="104">
        <f t="shared" si="3"/>
        <v>5690.7978429281311</v>
      </c>
      <c r="L26" s="98">
        <f t="shared" si="3"/>
        <v>24648222.831226781</v>
      </c>
      <c r="M26" s="98">
        <f>VLOOKUP(B26,[1]Summary!$A$71:$AA$83,24,FALSE)</f>
        <v>6047.0922412172231</v>
      </c>
      <c r="N26" s="109" t="str">
        <f>VLOOKUP(B26,[1]Summary!$A$87:$AA$99,24,FALSE)</f>
        <v/>
      </c>
      <c r="O26" s="109">
        <f t="shared" si="4"/>
        <v>-356.29439828909199</v>
      </c>
      <c r="P26" s="109"/>
      <c r="Q26" s="125">
        <f t="shared" si="6"/>
        <v>-191.03903396427856</v>
      </c>
      <c r="R26" s="125">
        <f t="shared" si="6"/>
        <v>0</v>
      </c>
      <c r="S26" s="128">
        <f t="shared" si="7"/>
        <v>-5.2174054810822596E-3</v>
      </c>
      <c r="T26" s="129">
        <f t="shared" si="7"/>
        <v>0</v>
      </c>
    </row>
    <row r="27" spans="1:21" x14ac:dyDescent="0.3">
      <c r="A27" s="96" t="s">
        <v>24</v>
      </c>
      <c r="B27" s="97" t="s">
        <v>35</v>
      </c>
      <c r="C27" s="96" t="s">
        <v>11</v>
      </c>
      <c r="D27" s="98">
        <f t="shared" si="0"/>
        <v>88893.567432970522</v>
      </c>
      <c r="E27" s="98">
        <f>HLOOKUP(B27,'[3]VA Rider'!$F$42:$R$57,14,FALSE)</f>
        <v>4460.8578973664153</v>
      </c>
      <c r="F27" s="98">
        <f>HLOOKUP(B27,'[3]VA Rider'!$F$42:$R$57,15,FALSE)</f>
        <v>84432.70953560411</v>
      </c>
      <c r="G27" s="98">
        <f>HLOOKUP(B27,'[3]VA Rider'!$5:$10,2,FALSE)</f>
        <v>4926.9357907270869</v>
      </c>
      <c r="H27" s="98">
        <f>HLOOKUP(B27,'[3]VA Rider'!$5:$10,3,FALSE)</f>
        <v>124955157.50076702</v>
      </c>
      <c r="I27" s="123">
        <f t="shared" si="1"/>
        <v>7.5450173069742624E-2</v>
      </c>
      <c r="J27" s="124">
        <f t="shared" si="2"/>
        <v>6.7570407836175812E-4</v>
      </c>
      <c r="K27" s="104">
        <f t="shared" si="3"/>
        <v>4926.9357907270869</v>
      </c>
      <c r="L27" s="98">
        <f t="shared" si="3"/>
        <v>124955157.50076704</v>
      </c>
      <c r="M27" s="98">
        <f>VLOOKUP(B27,[1]Summary!$A$71:$AA$83,24,FALSE)</f>
        <v>4954.8077345170577</v>
      </c>
      <c r="N27" s="109">
        <f>VLOOKUP(B27,[1]Summary!$A$87:$AA$99,24,FALSE)</f>
        <v>103968021.55638735</v>
      </c>
      <c r="O27" s="109">
        <f t="shared" si="4"/>
        <v>-27.871943789970828</v>
      </c>
      <c r="P27" s="109">
        <f t="shared" si="5"/>
        <v>20987135.944379687</v>
      </c>
      <c r="Q27" s="125">
        <f t="shared" si="6"/>
        <v>-2.1029429827434369</v>
      </c>
      <c r="R27" s="125">
        <f t="shared" si="6"/>
        <v>14181.093350750003</v>
      </c>
      <c r="S27" s="128">
        <f t="shared" si="7"/>
        <v>-4.7142119994115139E-4</v>
      </c>
      <c r="T27" s="129">
        <f t="shared" si="7"/>
        <v>0.1679573405703631</v>
      </c>
    </row>
    <row r="28" spans="1:21" x14ac:dyDescent="0.3">
      <c r="A28" s="96" t="s">
        <v>25</v>
      </c>
      <c r="B28" s="97" t="s">
        <v>36</v>
      </c>
      <c r="C28" s="96" t="s">
        <v>11</v>
      </c>
      <c r="D28" s="98">
        <f t="shared" si="0"/>
        <v>38076.050778892895</v>
      </c>
      <c r="E28" s="98">
        <f>HLOOKUP(B28,'[3]VA Rider'!$F$42:$R$57,14,FALSE)</f>
        <v>18999.961004371635</v>
      </c>
      <c r="F28" s="98">
        <f>HLOOKUP(B28,'[3]VA Rider'!$F$42:$R$57,15,FALSE)</f>
        <v>19076.089774521261</v>
      </c>
      <c r="G28" s="98">
        <f>HLOOKUP(B28,'[3]VA Rider'!$5:$10,2,FALSE)</f>
        <v>29840.397490113228</v>
      </c>
      <c r="H28" s="98">
        <f>HLOOKUP(B28,'[3]VA Rider'!$5:$10,3,FALSE)</f>
        <v>22050910.147194181</v>
      </c>
      <c r="I28" s="123">
        <f t="shared" si="1"/>
        <v>5.3059952844871722E-2</v>
      </c>
      <c r="J28" s="124">
        <f t="shared" si="2"/>
        <v>8.6509307993114996E-4</v>
      </c>
      <c r="K28" s="104">
        <f t="shared" si="3"/>
        <v>29840.397490113228</v>
      </c>
      <c r="L28" s="98">
        <f t="shared" si="3"/>
        <v>22050910.147194181</v>
      </c>
      <c r="M28" s="98">
        <f>VLOOKUP(B28,[1]Summary!$A$71:$AA$83,24,FALSE)</f>
        <v>20559.815805394581</v>
      </c>
      <c r="N28" s="109">
        <f>VLOOKUP(B28,[1]Summary!$A$87:$AA$99,24,FALSE)</f>
        <v>15744908.428905854</v>
      </c>
      <c r="O28" s="109">
        <f t="shared" si="4"/>
        <v>9280.581684718647</v>
      </c>
      <c r="P28" s="109">
        <f t="shared" si="5"/>
        <v>6306001.7182883266</v>
      </c>
      <c r="Q28" s="125">
        <f t="shared" si="6"/>
        <v>492.42722656415157</v>
      </c>
      <c r="R28" s="125">
        <f t="shared" si="6"/>
        <v>5455.2784485251723</v>
      </c>
      <c r="S28" s="128">
        <f t="shared" si="7"/>
        <v>2.5917275643400042E-2</v>
      </c>
      <c r="T28" s="129">
        <f t="shared" si="7"/>
        <v>0.28597466844654118</v>
      </c>
    </row>
    <row r="29" spans="1:21" x14ac:dyDescent="0.3">
      <c r="A29" s="96" t="s">
        <v>26</v>
      </c>
      <c r="B29" s="102"/>
      <c r="C29" s="96"/>
      <c r="D29" s="104"/>
      <c r="E29" s="98"/>
      <c r="F29" s="98"/>
      <c r="G29" s="98"/>
      <c r="H29" s="96"/>
      <c r="I29" s="96" t="s">
        <v>12</v>
      </c>
      <c r="J29" s="96"/>
      <c r="K29" s="96" t="s">
        <v>12</v>
      </c>
      <c r="L29" s="98"/>
      <c r="M29" s="96" t="s">
        <v>12</v>
      </c>
      <c r="N29" s="109"/>
      <c r="O29" s="96"/>
      <c r="P29" s="96" t="s">
        <v>12</v>
      </c>
      <c r="Q29" s="96"/>
      <c r="R29" s="96"/>
      <c r="S29" s="96"/>
      <c r="T29" s="96"/>
    </row>
    <row r="30" spans="1:21" x14ac:dyDescent="0.3">
      <c r="A30" s="96" t="s">
        <v>74</v>
      </c>
      <c r="B30" s="96"/>
      <c r="C30" s="96"/>
      <c r="D30" s="104">
        <f>SUM(D14:D28)</f>
        <v>18677692.499697421</v>
      </c>
      <c r="E30" s="104">
        <f>SUM(E14:E28)</f>
        <v>13729844.991728401</v>
      </c>
      <c r="F30" s="104">
        <f>SUM(F14:F28)</f>
        <v>4947847.5079690227</v>
      </c>
      <c r="G30" s="123">
        <f>SUM(G14:G28)</f>
        <v>1299705.4306512417</v>
      </c>
      <c r="H30" s="104">
        <f>SUM(H14:H28)</f>
        <v>15560471099.351648</v>
      </c>
      <c r="I30" s="123"/>
      <c r="J30" s="123"/>
      <c r="K30" s="123">
        <f t="shared" ref="K30:R30" si="8">SUM(K14:K28)</f>
        <v>1299705.4306512417</v>
      </c>
      <c r="L30" s="98">
        <f t="shared" si="8"/>
        <v>15560471099.351648</v>
      </c>
      <c r="M30" s="98">
        <f t="shared" si="8"/>
        <v>1337198.5762685314</v>
      </c>
      <c r="N30" s="109">
        <f t="shared" si="8"/>
        <v>13637416337.469702</v>
      </c>
      <c r="O30" s="98">
        <f t="shared" si="8"/>
        <v>-37493.145617290036</v>
      </c>
      <c r="P30" s="98">
        <f t="shared" si="8"/>
        <v>1898406539.0507197</v>
      </c>
      <c r="Q30" s="98">
        <f t="shared" si="8"/>
        <v>-39919.740440641392</v>
      </c>
      <c r="R30" s="98">
        <f t="shared" si="8"/>
        <v>-1525921.6579515468</v>
      </c>
      <c r="S30" s="126"/>
      <c r="T30" s="126"/>
    </row>
    <row r="31" spans="1:21" x14ac:dyDescent="0.3">
      <c r="B31" s="45"/>
      <c r="D31" s="29"/>
      <c r="E31" s="29"/>
      <c r="F31" s="29"/>
      <c r="G31" s="28"/>
      <c r="H31" s="28"/>
      <c r="I31" s="28"/>
      <c r="J31" s="28"/>
      <c r="K31" s="28"/>
      <c r="L31" s="26"/>
      <c r="M31" s="26"/>
      <c r="N31" s="26"/>
      <c r="O31" s="28"/>
    </row>
    <row r="32" spans="1:21" s="37" customFormat="1" x14ac:dyDescent="0.3">
      <c r="A32" s="88" t="s">
        <v>104</v>
      </c>
      <c r="B32" s="89"/>
      <c r="C32" s="89"/>
      <c r="D32" s="89"/>
      <c r="E32" s="89"/>
      <c r="F32" s="89"/>
      <c r="G32" s="89"/>
      <c r="K32" s="90"/>
      <c r="L32" s="91"/>
      <c r="M32" s="91"/>
      <c r="N32" s="91"/>
      <c r="O32" s="91"/>
      <c r="P32" s="91"/>
      <c r="Q32" s="91"/>
      <c r="R32" s="91"/>
      <c r="S32" s="91"/>
      <c r="T32" s="91"/>
      <c r="U32" s="91"/>
    </row>
    <row r="33" spans="1:20" s="37" customFormat="1" x14ac:dyDescent="0.3">
      <c r="A33" s="37" t="s">
        <v>105</v>
      </c>
      <c r="B33" s="92"/>
      <c r="D33" s="93"/>
      <c r="E33" s="93"/>
      <c r="F33" s="93"/>
      <c r="G33" s="38"/>
    </row>
    <row r="34" spans="1:20" s="37" customFormat="1" x14ac:dyDescent="0.3">
      <c r="B34" s="92"/>
    </row>
    <row r="35" spans="1:20" s="37" customFormat="1" x14ac:dyDescent="0.3">
      <c r="A35" s="37" t="s">
        <v>133</v>
      </c>
      <c r="B35" s="92"/>
    </row>
    <row r="37" spans="1:20" x14ac:dyDescent="0.3">
      <c r="A37" s="23" t="s">
        <v>88</v>
      </c>
      <c r="B37" s="1"/>
      <c r="C37" s="3"/>
      <c r="D37" s="4"/>
      <c r="E37" s="4"/>
      <c r="F37" s="4"/>
    </row>
    <row r="38" spans="1:20" x14ac:dyDescent="0.3">
      <c r="A38" s="23" t="s">
        <v>1</v>
      </c>
      <c r="B38" s="1"/>
      <c r="C38" s="24">
        <v>12</v>
      </c>
      <c r="D38" s="4"/>
      <c r="E38" s="4"/>
      <c r="F38" s="4"/>
      <c r="G38" s="12"/>
    </row>
    <row r="41" spans="1:20" x14ac:dyDescent="0.3">
      <c r="A41" s="1" t="s">
        <v>2</v>
      </c>
    </row>
    <row r="42" spans="1:20" s="25" customFormat="1" ht="44.15" customHeight="1" x14ac:dyDescent="0.3">
      <c r="A42" s="60"/>
      <c r="B42" s="61"/>
      <c r="C42" s="62"/>
      <c r="D42" s="118" t="s">
        <v>97</v>
      </c>
      <c r="E42" s="118"/>
      <c r="F42" s="118"/>
      <c r="G42" s="119" t="s">
        <v>5</v>
      </c>
      <c r="H42" s="119"/>
      <c r="I42" s="119" t="s">
        <v>6</v>
      </c>
      <c r="J42" s="119"/>
      <c r="K42" s="119" t="s">
        <v>7</v>
      </c>
      <c r="L42" s="119"/>
      <c r="M42" s="119" t="s">
        <v>103</v>
      </c>
      <c r="N42" s="119"/>
      <c r="O42" s="119" t="s">
        <v>108</v>
      </c>
      <c r="P42" s="119"/>
      <c r="Q42" s="119" t="s">
        <v>8</v>
      </c>
      <c r="R42" s="119"/>
      <c r="S42" s="119" t="s">
        <v>9</v>
      </c>
      <c r="T42" s="119"/>
    </row>
    <row r="43" spans="1:20" s="25" customFormat="1" ht="42" x14ac:dyDescent="0.3">
      <c r="A43" s="120"/>
      <c r="B43" s="121"/>
      <c r="C43" s="121"/>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3">
      <c r="A44" s="32" t="s">
        <v>3</v>
      </c>
      <c r="B44" s="122"/>
      <c r="C44" s="32" t="s">
        <v>4</v>
      </c>
      <c r="D44" s="32" t="s">
        <v>85</v>
      </c>
      <c r="E44" s="32" t="s">
        <v>66</v>
      </c>
      <c r="F44" s="34" t="str">
        <f>"(C)"</f>
        <v>(C)</v>
      </c>
      <c r="G44" s="33" t="s">
        <v>86</v>
      </c>
      <c r="H44" s="54" t="s">
        <v>87</v>
      </c>
      <c r="I44" s="33" t="s">
        <v>114</v>
      </c>
      <c r="J44" s="33" t="s">
        <v>121</v>
      </c>
      <c r="K44" s="33" t="s">
        <v>122</v>
      </c>
      <c r="L44" s="33" t="s">
        <v>123</v>
      </c>
      <c r="M44" s="33" t="s">
        <v>95</v>
      </c>
      <c r="N44" s="33" t="s">
        <v>102</v>
      </c>
      <c r="O44" s="33" t="s">
        <v>106</v>
      </c>
      <c r="P44" s="33" t="s">
        <v>107</v>
      </c>
      <c r="Q44" s="33" t="s">
        <v>109</v>
      </c>
      <c r="R44" s="33" t="s">
        <v>110</v>
      </c>
      <c r="S44" s="33" t="s">
        <v>111</v>
      </c>
      <c r="T44" s="33" t="s">
        <v>112</v>
      </c>
    </row>
    <row r="45" spans="1:20" ht="13.5" customHeight="1" x14ac:dyDescent="0.3">
      <c r="A45" s="96" t="s">
        <v>10</v>
      </c>
      <c r="B45" s="97" t="s">
        <v>27</v>
      </c>
      <c r="C45" s="96" t="s">
        <v>11</v>
      </c>
      <c r="D45" s="98">
        <f>SUM(E45:F45)</f>
        <v>-267125.14547641075</v>
      </c>
      <c r="E45" s="103"/>
      <c r="F45" s="98">
        <f>HLOOKUP(B45,'[3]VA Rider'!$F$42:$R$57,16,FALSE)</f>
        <v>-267125.14547641075</v>
      </c>
      <c r="G45" s="98"/>
      <c r="H45" s="98">
        <f>HLOOKUP(B45,'[3]VA Rider'!$F$5:$R$9,5,FALSE)</f>
        <v>274769656.03231579</v>
      </c>
      <c r="I45" s="123"/>
      <c r="J45" s="124">
        <f>F45/H45*(12/$C$38)</f>
        <v>-9.7217847608687194E-4</v>
      </c>
      <c r="K45" s="104"/>
      <c r="L45" s="104">
        <f>H45*($C$38/12)</f>
        <v>274769656.03231579</v>
      </c>
      <c r="M45" s="96"/>
      <c r="N45" s="125">
        <f>VLOOKUP(B45,[1]Summary!$A$55:$AA$67,24,FALSE)</f>
        <v>135646840.77918178</v>
      </c>
      <c r="O45" s="121"/>
      <c r="P45" s="109">
        <f>L45-N45</f>
        <v>139122815.25313401</v>
      </c>
      <c r="Q45" s="121"/>
      <c r="R45" s="125">
        <f>J45*P45</f>
        <v>-135252.20652170724</v>
      </c>
      <c r="S45" s="121"/>
      <c r="T45" s="126">
        <f>R45/F45</f>
        <v>0.50632525171109766</v>
      </c>
    </row>
    <row r="46" spans="1:20" x14ac:dyDescent="0.3">
      <c r="A46" s="96" t="s">
        <v>13</v>
      </c>
      <c r="B46" s="97" t="s">
        <v>28</v>
      </c>
      <c r="C46" s="96" t="s">
        <v>11</v>
      </c>
      <c r="D46" s="98">
        <f t="shared" ref="D46:D59" si="9">SUM(E46:F46)</f>
        <v>-547210.19039853278</v>
      </c>
      <c r="E46" s="103"/>
      <c r="F46" s="98">
        <f>HLOOKUP(B46,'[3]VA Rider'!$F$42:$R$57,16,FALSE)</f>
        <v>-547210.19039853278</v>
      </c>
      <c r="G46" s="98"/>
      <c r="H46" s="98">
        <f>HLOOKUP(B46,'[3]VA Rider'!$F$5:$R$9,5,FALSE)</f>
        <v>562870094.18385351</v>
      </c>
      <c r="I46" s="123"/>
      <c r="J46" s="124">
        <f t="shared" ref="J46:J59" si="10">F46/H46*(12/$C$38)</f>
        <v>-9.7217847608687194E-4</v>
      </c>
      <c r="K46" s="104"/>
      <c r="L46" s="104">
        <f t="shared" ref="L46:L59" si="11">H46*($C$38/12)</f>
        <v>562870094.18385351</v>
      </c>
      <c r="M46" s="96"/>
      <c r="N46" s="125">
        <f>VLOOKUP(B46,[1]Summary!$A$55:$AA$67,24,FALSE)</f>
        <v>258084544.56109414</v>
      </c>
      <c r="O46" s="96" t="s">
        <v>12</v>
      </c>
      <c r="P46" s="109">
        <f t="shared" ref="P46:P59" si="12">L46-N46</f>
        <v>304785549.62275934</v>
      </c>
      <c r="Q46" s="96" t="s">
        <v>12</v>
      </c>
      <c r="R46" s="125">
        <f t="shared" ref="R46:R59" si="13">J46*P46</f>
        <v>-296305.95116555388</v>
      </c>
      <c r="S46" s="96" t="s">
        <v>12</v>
      </c>
      <c r="T46" s="126">
        <f t="shared" ref="T46:T59" si="14">R46/F46</f>
        <v>0.54148470983289709</v>
      </c>
    </row>
    <row r="47" spans="1:20" x14ac:dyDescent="0.3">
      <c r="A47" s="96" t="s">
        <v>14</v>
      </c>
      <c r="B47" s="97" t="s">
        <v>29</v>
      </c>
      <c r="C47" s="96" t="s">
        <v>11</v>
      </c>
      <c r="D47" s="98">
        <f t="shared" si="9"/>
        <v>-517755.49142157013</v>
      </c>
      <c r="E47" s="103"/>
      <c r="F47" s="98">
        <f>HLOOKUP(B47,'[3]VA Rider'!$F$42:$R$57,16,FALSE)</f>
        <v>-517755.49142157013</v>
      </c>
      <c r="G47" s="127"/>
      <c r="H47" s="98">
        <f>HLOOKUP(B47,'[3]VA Rider'!$F$5:$R$9,5,FALSE)</f>
        <v>532572469.10628432</v>
      </c>
      <c r="I47" s="123"/>
      <c r="J47" s="124">
        <f t="shared" si="10"/>
        <v>-9.7217847608687183E-4</v>
      </c>
      <c r="K47" s="104"/>
      <c r="L47" s="104">
        <f t="shared" si="11"/>
        <v>532572469.10628432</v>
      </c>
      <c r="M47" s="96"/>
      <c r="N47" s="125">
        <f>VLOOKUP(B47,[1]Summary!$A$55:$AA$67,24,FALSE)</f>
        <v>331097252.74247319</v>
      </c>
      <c r="O47" s="96" t="s">
        <v>12</v>
      </c>
      <c r="P47" s="109">
        <f t="shared" si="12"/>
        <v>201475216.36381114</v>
      </c>
      <c r="Q47" s="96" t="s">
        <v>12</v>
      </c>
      <c r="R47" s="125">
        <f t="shared" si="13"/>
        <v>-195869.86881384268</v>
      </c>
      <c r="S47" s="96" t="s">
        <v>12</v>
      </c>
      <c r="T47" s="126">
        <f t="shared" si="14"/>
        <v>0.37830572936282059</v>
      </c>
    </row>
    <row r="48" spans="1:20" x14ac:dyDescent="0.3">
      <c r="A48" s="96" t="s">
        <v>15</v>
      </c>
      <c r="B48" s="97" t="s">
        <v>30</v>
      </c>
      <c r="C48" s="96" t="s">
        <v>11</v>
      </c>
      <c r="D48" s="98">
        <f t="shared" si="9"/>
        <v>-16536.123647113585</v>
      </c>
      <c r="E48" s="103"/>
      <c r="F48" s="98">
        <f>HLOOKUP(B48,'[3]VA Rider'!$F$42:$R$57,16,FALSE)</f>
        <v>-16536.123647113585</v>
      </c>
      <c r="G48" s="98"/>
      <c r="H48" s="98">
        <f>HLOOKUP(B48,'[3]VA Rider'!$F$5:$R$9,5,FALSE)</f>
        <v>17009349.67586749</v>
      </c>
      <c r="I48" s="123"/>
      <c r="J48" s="124">
        <f t="shared" si="10"/>
        <v>-9.7217847608687194E-4</v>
      </c>
      <c r="K48" s="104"/>
      <c r="L48" s="104">
        <f t="shared" si="11"/>
        <v>17009349.67586749</v>
      </c>
      <c r="M48" s="96"/>
      <c r="N48" s="125">
        <f>VLOOKUP(B48,[1]Summary!$A$55:$AA$67,24,FALSE)</f>
        <v>8795512.0122902002</v>
      </c>
      <c r="O48" s="96" t="s">
        <v>12</v>
      </c>
      <c r="P48" s="109">
        <f t="shared" si="12"/>
        <v>8213837.6635772903</v>
      </c>
      <c r="Q48" s="96" t="s">
        <v>12</v>
      </c>
      <c r="R48" s="125">
        <f t="shared" si="13"/>
        <v>-7985.316182601523</v>
      </c>
      <c r="S48" s="96" t="s">
        <v>12</v>
      </c>
      <c r="T48" s="126">
        <f t="shared" si="14"/>
        <v>0.48290133486002185</v>
      </c>
    </row>
    <row r="49" spans="1:21" hidden="1" x14ac:dyDescent="0.3">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3">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3">
      <c r="A51" s="96" t="s">
        <v>17</v>
      </c>
      <c r="B51" s="97" t="s">
        <v>33</v>
      </c>
      <c r="C51" s="96" t="s">
        <v>11</v>
      </c>
      <c r="D51" s="98">
        <f t="shared" si="9"/>
        <v>-136773.35916066621</v>
      </c>
      <c r="E51" s="103"/>
      <c r="F51" s="98">
        <f>HLOOKUP(B51,'[3]VA Rider'!$F$42:$R$57,16,FALSE)</f>
        <v>-136773.35916066621</v>
      </c>
      <c r="G51" s="98"/>
      <c r="H51" s="98">
        <f>HLOOKUP(B51,'[3]VA Rider'!$F$5:$R$9,5,FALSE)</f>
        <v>140687499.80064812</v>
      </c>
      <c r="I51" s="123"/>
      <c r="J51" s="124">
        <f t="shared" si="10"/>
        <v>-9.7217847608687205E-4</v>
      </c>
      <c r="K51" s="104"/>
      <c r="L51" s="104">
        <f t="shared" si="11"/>
        <v>140687499.80064812</v>
      </c>
      <c r="M51" s="96"/>
      <c r="N51" s="125">
        <f>VLOOKUP(B51,[1]Summary!$A$55:$AA$67,24,FALSE)</f>
        <v>140751841.99971366</v>
      </c>
      <c r="O51" s="96" t="s">
        <v>12</v>
      </c>
      <c r="P51" s="109">
        <f t="shared" si="12"/>
        <v>-64342.199065536261</v>
      </c>
      <c r="Q51" s="96" t="s">
        <v>12</v>
      </c>
      <c r="R51" s="125">
        <f t="shared" si="13"/>
        <v>62.552101035611201</v>
      </c>
      <c r="S51" s="96" t="s">
        <v>12</v>
      </c>
      <c r="T51" s="126">
        <f t="shared" si="14"/>
        <v>-4.5734126455234541E-4</v>
      </c>
    </row>
    <row r="52" spans="1:21" x14ac:dyDescent="0.3">
      <c r="A52" s="96" t="s">
        <v>18</v>
      </c>
      <c r="B52" s="97" t="s">
        <v>31</v>
      </c>
      <c r="C52" s="96" t="s">
        <v>11</v>
      </c>
      <c r="D52" s="98">
        <f t="shared" si="9"/>
        <v>-446530.42061945022</v>
      </c>
      <c r="E52" s="103"/>
      <c r="F52" s="98">
        <f>HLOOKUP(B52,'[3]VA Rider'!$F$42:$R$57,16,FALSE)</f>
        <v>-446530.42061945022</v>
      </c>
      <c r="G52" s="98"/>
      <c r="H52" s="98">
        <f>HLOOKUP(B52,'[3]VA Rider'!$F$5:$R$9,5,FALSE)</f>
        <v>459309099.72085118</v>
      </c>
      <c r="I52" s="123"/>
      <c r="J52" s="124">
        <f t="shared" si="10"/>
        <v>-9.7217847608687194E-4</v>
      </c>
      <c r="K52" s="104"/>
      <c r="L52" s="104">
        <f t="shared" si="11"/>
        <v>459309099.72085118</v>
      </c>
      <c r="M52" s="96"/>
      <c r="N52" s="125">
        <f>VLOOKUP(B52,[1]Summary!$A$55:$AA$67,24,FALSE)</f>
        <v>506136957.78664291</v>
      </c>
      <c r="O52" s="96" t="s">
        <v>12</v>
      </c>
      <c r="P52" s="109">
        <f t="shared" si="12"/>
        <v>-46827858.065791726</v>
      </c>
      <c r="Q52" s="96" t="s">
        <v>12</v>
      </c>
      <c r="R52" s="125">
        <f t="shared" si="13"/>
        <v>45525.035692813733</v>
      </c>
      <c r="S52" s="96" t="s">
        <v>12</v>
      </c>
      <c r="T52" s="126">
        <f t="shared" si="14"/>
        <v>-0.10195282021247071</v>
      </c>
    </row>
    <row r="53" spans="1:21" x14ac:dyDescent="0.3">
      <c r="A53" s="96" t="s">
        <v>19</v>
      </c>
      <c r="B53" s="97" t="s">
        <v>34</v>
      </c>
      <c r="C53" s="96" t="s">
        <v>40</v>
      </c>
      <c r="D53" s="98">
        <f t="shared" si="9"/>
        <v>-997957.65538883861</v>
      </c>
      <c r="E53" s="103"/>
      <c r="F53" s="98">
        <f>HLOOKUP(B53,'[3]VA Rider'!$F$42:$R$57,16,FALSE)</f>
        <v>-997957.65538883861</v>
      </c>
      <c r="G53" s="98"/>
      <c r="H53" s="98">
        <f>HLOOKUP(B53,'[3]VA Rider'!$F$5:$R$9,5,FALSE)</f>
        <v>1026516920.438036</v>
      </c>
      <c r="I53" s="123"/>
      <c r="J53" s="124">
        <f t="shared" si="10"/>
        <v>-9.7217847608687194E-4</v>
      </c>
      <c r="K53" s="104"/>
      <c r="L53" s="104">
        <f t="shared" si="11"/>
        <v>1026516920.438036</v>
      </c>
      <c r="M53" s="96"/>
      <c r="N53" s="125">
        <f>VLOOKUP(B53,[1]Summary!$A$55:$AA$67,24,FALSE)</f>
        <v>962873399.0799737</v>
      </c>
      <c r="O53" s="96" t="s">
        <v>12</v>
      </c>
      <c r="P53" s="109">
        <f t="shared" si="12"/>
        <v>63643521.358062267</v>
      </c>
      <c r="Q53" s="96" t="s">
        <v>12</v>
      </c>
      <c r="R53" s="125">
        <f t="shared" si="13"/>
        <v>-61872.861606683262</v>
      </c>
      <c r="S53" s="96" t="s">
        <v>12</v>
      </c>
      <c r="T53" s="126">
        <f t="shared" si="14"/>
        <v>6.199948592265217E-2</v>
      </c>
    </row>
    <row r="54" spans="1:21" x14ac:dyDescent="0.3">
      <c r="A54" s="96" t="s">
        <v>20</v>
      </c>
      <c r="B54" s="97" t="s">
        <v>32</v>
      </c>
      <c r="C54" s="96" t="s">
        <v>40</v>
      </c>
      <c r="D54" s="98">
        <f t="shared" si="9"/>
        <v>-2188642.076879893</v>
      </c>
      <c r="E54" s="103"/>
      <c r="F54" s="98">
        <f>HLOOKUP(B54,'[3]VA Rider'!$F$42:$R$57,16,FALSE)</f>
        <v>-2188642.076879893</v>
      </c>
      <c r="G54" s="98"/>
      <c r="H54" s="98">
        <f>HLOOKUP(B54,'[3]VA Rider'!$F$5:$R$9,5,FALSE)</f>
        <v>2251276006.1191893</v>
      </c>
      <c r="I54" s="123"/>
      <c r="J54" s="124">
        <f t="shared" si="10"/>
        <v>-9.7217847608687205E-4</v>
      </c>
      <c r="K54" s="104"/>
      <c r="L54" s="104">
        <f t="shared" si="11"/>
        <v>2251276006.1191893</v>
      </c>
      <c r="M54" s="96"/>
      <c r="N54" s="125">
        <f>VLOOKUP(B54,[1]Summary!$A$55:$AA$67,24,FALSE)</f>
        <v>2334138993.02177</v>
      </c>
      <c r="O54" s="96" t="s">
        <v>12</v>
      </c>
      <c r="P54" s="109">
        <f t="shared" si="12"/>
        <v>-82862986.902580738</v>
      </c>
      <c r="Q54" s="96" t="s">
        <v>12</v>
      </c>
      <c r="R54" s="125">
        <f t="shared" si="13"/>
        <v>80557.612330957374</v>
      </c>
      <c r="S54" s="96" t="s">
        <v>12</v>
      </c>
      <c r="T54" s="126">
        <f t="shared" si="14"/>
        <v>-3.6807120351903096E-2</v>
      </c>
    </row>
    <row r="55" spans="1:21" x14ac:dyDescent="0.3">
      <c r="A55" s="96" t="s">
        <v>21</v>
      </c>
      <c r="B55" s="97" t="s">
        <v>38</v>
      </c>
      <c r="C55" s="96" t="s">
        <v>40</v>
      </c>
      <c r="D55" s="98">
        <f t="shared" si="9"/>
        <v>-23016.439633465769</v>
      </c>
      <c r="E55" s="103"/>
      <c r="F55" s="98">
        <f>HLOOKUP(B55,'[3]VA Rider'!$F$42:$R$57,16,FALSE)</f>
        <v>-23016.439633465769</v>
      </c>
      <c r="G55" s="98"/>
      <c r="H55" s="98">
        <f>HLOOKUP(B55,'[3]VA Rider'!$F$5:$R$9,5,FALSE)</f>
        <v>23675117.480598353</v>
      </c>
      <c r="I55" s="123"/>
      <c r="J55" s="124">
        <f t="shared" si="10"/>
        <v>-9.7217847608687194E-4</v>
      </c>
      <c r="K55" s="104"/>
      <c r="L55" s="104">
        <f t="shared" si="11"/>
        <v>23675117.480598353</v>
      </c>
      <c r="M55" s="96"/>
      <c r="N55" s="125">
        <f>VLOOKUP(B55,[1]Summary!$A$55:$AA$67,24,FALSE)</f>
        <v>30866349.249584939</v>
      </c>
      <c r="O55" s="96" t="s">
        <v>12</v>
      </c>
      <c r="P55" s="109">
        <f t="shared" si="12"/>
        <v>-7191231.7689865865</v>
      </c>
      <c r="Q55" s="96" t="s">
        <v>12</v>
      </c>
      <c r="R55" s="125">
        <f t="shared" si="13"/>
        <v>6991.1607423608802</v>
      </c>
      <c r="S55" s="96" t="s">
        <v>12</v>
      </c>
      <c r="T55" s="126">
        <f t="shared" si="14"/>
        <v>-0.30374640273188791</v>
      </c>
    </row>
    <row r="56" spans="1:21" x14ac:dyDescent="0.3">
      <c r="A56" s="96" t="s">
        <v>22</v>
      </c>
      <c r="B56" s="97" t="s">
        <v>39</v>
      </c>
      <c r="C56" s="96" t="s">
        <v>40</v>
      </c>
      <c r="D56" s="98">
        <f t="shared" si="9"/>
        <v>-2376459.0396156986</v>
      </c>
      <c r="E56" s="103"/>
      <c r="F56" s="98">
        <f>HLOOKUP(B56,'[3]VA Rider'!$F$42:$R$57,16,FALSE)</f>
        <v>-2376459.0396156986</v>
      </c>
      <c r="G56" s="98"/>
      <c r="H56" s="98">
        <f>HLOOKUP(B56,'[3]VA Rider'!$F$5:$R$9,5,FALSE)</f>
        <v>2444467860.655807</v>
      </c>
      <c r="I56" s="123"/>
      <c r="J56" s="124">
        <f t="shared" si="10"/>
        <v>-9.7217847608687194E-4</v>
      </c>
      <c r="K56" s="104"/>
      <c r="L56" s="104">
        <f t="shared" si="11"/>
        <v>2444467860.655807</v>
      </c>
      <c r="M56" s="96"/>
      <c r="N56" s="125">
        <f>VLOOKUP(B56,[1]Summary!$A$55:$AA$67,24,FALSE)</f>
        <v>2107480695.0901303</v>
      </c>
      <c r="O56" s="96" t="s">
        <v>12</v>
      </c>
      <c r="P56" s="109">
        <f t="shared" si="12"/>
        <v>336987165.56567669</v>
      </c>
      <c r="Q56" s="96" t="s">
        <v>12</v>
      </c>
      <c r="R56" s="125">
        <f t="shared" si="13"/>
        <v>-327611.66908047395</v>
      </c>
      <c r="S56" s="96" t="s">
        <v>12</v>
      </c>
      <c r="T56" s="126">
        <f t="shared" si="14"/>
        <v>0.13785706533088515</v>
      </c>
    </row>
    <row r="57" spans="1:21" x14ac:dyDescent="0.3">
      <c r="A57" s="96" t="s">
        <v>23</v>
      </c>
      <c r="B57" s="97" t="s">
        <v>37</v>
      </c>
      <c r="C57" s="96" t="s">
        <v>11</v>
      </c>
      <c r="D57" s="98">
        <f t="shared" si="9"/>
        <v>-1523.2767029069328</v>
      </c>
      <c r="E57" s="103"/>
      <c r="F57" s="98">
        <f>HLOOKUP(B57,'[3]VA Rider'!$F$42:$R$57,16,FALSE)</f>
        <v>-1523.2767029069328</v>
      </c>
      <c r="G57" s="98"/>
      <c r="H57" s="98">
        <f>HLOOKUP(B57,'[3]VA Rider'!$F$5:$R$9,5,FALSE)</f>
        <v>1566869.3973130258</v>
      </c>
      <c r="I57" s="123"/>
      <c r="J57" s="124">
        <f t="shared" si="10"/>
        <v>-9.7217847608687183E-4</v>
      </c>
      <c r="K57" s="104"/>
      <c r="L57" s="104">
        <f t="shared" si="11"/>
        <v>1566869.3973130258</v>
      </c>
      <c r="M57" s="96"/>
      <c r="N57" s="125">
        <f>VLOOKUP(B57,[1]Summary!$A$55:$AA$67,24,FALSE)</f>
        <v>2049112.9908688404</v>
      </c>
      <c r="O57" s="96" t="s">
        <v>12</v>
      </c>
      <c r="P57" s="109">
        <f t="shared" si="12"/>
        <v>-482243.59355581459</v>
      </c>
      <c r="Q57" s="96" t="s">
        <v>12</v>
      </c>
      <c r="R57" s="125">
        <f t="shared" si="13"/>
        <v>468.82684188574865</v>
      </c>
      <c r="S57" s="96" t="s">
        <v>12</v>
      </c>
      <c r="T57" s="126">
        <f t="shared" si="14"/>
        <v>-0.3077752328195309</v>
      </c>
    </row>
    <row r="58" spans="1:21" x14ac:dyDescent="0.3">
      <c r="A58" s="96" t="s">
        <v>24</v>
      </c>
      <c r="B58" s="97" t="s">
        <v>35</v>
      </c>
      <c r="C58" s="96" t="s">
        <v>11</v>
      </c>
      <c r="D58" s="98">
        <f t="shared" si="9"/>
        <v>-60422.315215387964</v>
      </c>
      <c r="E58" s="103"/>
      <c r="F58" s="98">
        <f>HLOOKUP(B58,'[3]VA Rider'!$F$42:$R$57,16,FALSE)</f>
        <v>-60422.315215387964</v>
      </c>
      <c r="G58" s="98"/>
      <c r="H58" s="98">
        <f>HLOOKUP(B58,'[3]VA Rider'!$F$5:$R$9,5,FALSE)</f>
        <v>62151463.647492595</v>
      </c>
      <c r="I58" s="123"/>
      <c r="J58" s="124">
        <f t="shared" si="10"/>
        <v>-9.7217847608687183E-4</v>
      </c>
      <c r="K58" s="104"/>
      <c r="L58" s="104">
        <f t="shared" si="11"/>
        <v>62151463.647492595</v>
      </c>
      <c r="M58" s="96"/>
      <c r="N58" s="125">
        <f>VLOOKUP(B58,[1]Summary!$A$55:$AA$67,24,FALSE)</f>
        <v>55752332.599891439</v>
      </c>
      <c r="O58" s="96" t="s">
        <v>12</v>
      </c>
      <c r="P58" s="109">
        <f t="shared" si="12"/>
        <v>6399131.0476011559</v>
      </c>
      <c r="Q58" s="96" t="s">
        <v>12</v>
      </c>
      <c r="R58" s="125">
        <f t="shared" si="13"/>
        <v>-6221.0974701370797</v>
      </c>
      <c r="S58" s="96" t="s">
        <v>12</v>
      </c>
      <c r="T58" s="126">
        <f t="shared" si="14"/>
        <v>0.10296026307434064</v>
      </c>
    </row>
    <row r="59" spans="1:21" x14ac:dyDescent="0.3">
      <c r="A59" s="96" t="s">
        <v>25</v>
      </c>
      <c r="B59" s="97" t="s">
        <v>36</v>
      </c>
      <c r="C59" s="96" t="s">
        <v>11</v>
      </c>
      <c r="D59" s="98">
        <f t="shared" si="9"/>
        <v>-3424.7859433199551</v>
      </c>
      <c r="E59" s="103"/>
      <c r="F59" s="98">
        <f>HLOOKUP(B59,'[3]VA Rider'!$F$42:$R$57,16,FALSE)</f>
        <v>-3424.7859433199551</v>
      </c>
      <c r="G59" s="98"/>
      <c r="H59" s="98">
        <f>HLOOKUP(B59,'[3]VA Rider'!$F$5:$R$9,5,FALSE)</f>
        <v>3522795.4820652944</v>
      </c>
      <c r="I59" s="123"/>
      <c r="J59" s="124">
        <f t="shared" si="10"/>
        <v>-9.7217847608687183E-4</v>
      </c>
      <c r="K59" s="104"/>
      <c r="L59" s="104">
        <f t="shared" si="11"/>
        <v>3522795.4820652944</v>
      </c>
      <c r="M59" s="96"/>
      <c r="N59" s="125">
        <f>VLOOKUP(B59,[1]Summary!$A$55:$AA$67,24,FALSE)</f>
        <v>1668247.7423291565</v>
      </c>
      <c r="O59" s="96" t="s">
        <v>12</v>
      </c>
      <c r="P59" s="109">
        <f t="shared" si="12"/>
        <v>1854547.7397361379</v>
      </c>
      <c r="Q59" s="96" t="s">
        <v>12</v>
      </c>
      <c r="R59" s="125">
        <f t="shared" si="13"/>
        <v>-1802.9513954470312</v>
      </c>
      <c r="S59" s="96" t="s">
        <v>12</v>
      </c>
      <c r="T59" s="126">
        <f t="shared" si="14"/>
        <v>0.52644206828858542</v>
      </c>
    </row>
    <row r="60" spans="1:21" x14ac:dyDescent="0.3">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3">
      <c r="A61" s="96" t="s">
        <v>67</v>
      </c>
      <c r="B61" s="96"/>
      <c r="C61" s="96"/>
      <c r="D61" s="104">
        <f>SUM(D45:D59)</f>
        <v>-7583376.3201032542</v>
      </c>
      <c r="E61" s="104"/>
      <c r="F61" s="104">
        <f t="shared" ref="F61" si="15">SUM(F45:F59)</f>
        <v>-7583376.3201032542</v>
      </c>
      <c r="G61" s="123"/>
      <c r="H61" s="104">
        <f>SUM(H45:H59)</f>
        <v>7800395201.7403221</v>
      </c>
      <c r="I61" s="123"/>
      <c r="J61" s="123"/>
      <c r="K61" s="123"/>
      <c r="L61" s="104">
        <f t="shared" ref="L61" si="16">SUM(L45:L59)</f>
        <v>7800395201.7403221</v>
      </c>
      <c r="M61" s="123"/>
      <c r="N61" s="98">
        <f>SUM(N45:N59)</f>
        <v>6875342079.6559448</v>
      </c>
      <c r="O61" s="123"/>
      <c r="P61" s="98">
        <f>SUM(P45:P59)</f>
        <v>925053122.08437753</v>
      </c>
      <c r="Q61" s="96"/>
      <c r="R61" s="104">
        <f>SUM(R45:R59)</f>
        <v>-899316.73452739324</v>
      </c>
      <c r="S61" s="96"/>
      <c r="T61" s="96"/>
    </row>
    <row r="63" spans="1:21" s="37" customFormat="1" x14ac:dyDescent="0.3">
      <c r="A63" s="88" t="s">
        <v>104</v>
      </c>
      <c r="B63" s="89"/>
      <c r="C63" s="89"/>
      <c r="D63" s="89"/>
      <c r="E63" s="89"/>
      <c r="F63" s="89"/>
      <c r="G63" s="89"/>
      <c r="K63" s="90"/>
      <c r="L63" s="91"/>
      <c r="M63" s="91"/>
      <c r="N63" s="91"/>
      <c r="O63" s="91"/>
      <c r="P63" s="91"/>
      <c r="Q63" s="91"/>
      <c r="R63" s="91"/>
      <c r="S63" s="91"/>
      <c r="T63" s="91"/>
      <c r="U63" s="91"/>
    </row>
    <row r="64" spans="1:21" s="37" customFormat="1" x14ac:dyDescent="0.3">
      <c r="A64" s="37" t="s">
        <v>105</v>
      </c>
      <c r="B64" s="92"/>
      <c r="D64" s="93"/>
      <c r="E64" s="93"/>
      <c r="F64" s="93"/>
      <c r="G64"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activeCell="D25" sqref="D25"/>
    </sheetView>
  </sheetViews>
  <sheetFormatPr defaultColWidth="8.7265625" defaultRowHeight="14" x14ac:dyDescent="0.3"/>
  <cols>
    <col min="1" max="1" width="48.1796875" style="1" customWidth="1"/>
    <col min="2" max="2" width="13" style="2" customWidth="1"/>
    <col min="3" max="3" width="12.453125" style="1" bestFit="1" customWidth="1"/>
    <col min="4" max="5" width="15.54296875" style="1" bestFit="1" customWidth="1"/>
    <col min="6" max="6" width="16.453125" style="1" customWidth="1"/>
    <col min="7" max="9" width="18.26953125" style="1" customWidth="1"/>
    <col min="10" max="10" width="19.1796875" style="1" bestFit="1" customWidth="1"/>
    <col min="11" max="11" width="21.26953125" style="1" customWidth="1"/>
    <col min="12" max="12" width="18.1796875" style="1" bestFit="1" customWidth="1"/>
    <col min="13" max="13" width="13.453125" style="1" customWidth="1"/>
    <col min="14" max="15" width="14.453125" style="1" customWidth="1"/>
    <col min="16" max="18" width="18.1796875" style="1" customWidth="1"/>
    <col min="19" max="20" width="13" style="1" customWidth="1"/>
    <col min="21" max="21" width="12.54296875" style="1" customWidth="1"/>
    <col min="22" max="22" width="9.7265625" style="1" customWidth="1"/>
    <col min="23" max="16384" width="8.7265625" style="1"/>
  </cols>
  <sheetData>
    <row r="1" spans="1:20" x14ac:dyDescent="0.3">
      <c r="A1" s="81" t="s">
        <v>78</v>
      </c>
    </row>
    <row r="4" spans="1:20" x14ac:dyDescent="0.3">
      <c r="A4" s="1" t="s">
        <v>41</v>
      </c>
      <c r="B4" s="44">
        <v>2017</v>
      </c>
    </row>
    <row r="5" spans="1:20" ht="14.15" customHeight="1" x14ac:dyDescent="0.3">
      <c r="A5" s="3"/>
      <c r="B5" s="3"/>
      <c r="C5" s="3"/>
      <c r="D5" s="3"/>
      <c r="E5" s="3"/>
      <c r="F5" s="46"/>
      <c r="G5" s="46"/>
      <c r="H5" s="37"/>
    </row>
    <row r="6" spans="1:20" x14ac:dyDescent="0.3">
      <c r="A6" s="4" t="s">
        <v>73</v>
      </c>
      <c r="B6" s="3"/>
      <c r="C6" s="3"/>
      <c r="D6" s="4"/>
      <c r="E6" s="4"/>
      <c r="F6" s="4"/>
    </row>
    <row r="7" spans="1:20" x14ac:dyDescent="0.3">
      <c r="A7" s="23" t="s">
        <v>0</v>
      </c>
      <c r="B7" s="1"/>
      <c r="C7" s="3"/>
      <c r="D7" s="4"/>
      <c r="E7" s="4"/>
      <c r="F7" s="4"/>
    </row>
    <row r="8" spans="1:20" x14ac:dyDescent="0.3">
      <c r="A8" s="23" t="s">
        <v>1</v>
      </c>
      <c r="B8" s="1"/>
      <c r="C8" s="24">
        <v>12</v>
      </c>
      <c r="D8" s="4"/>
      <c r="E8" s="4"/>
      <c r="F8" s="4"/>
      <c r="G8" s="12"/>
    </row>
    <row r="10" spans="1:20" x14ac:dyDescent="0.3">
      <c r="A10" s="1" t="s">
        <v>2</v>
      </c>
    </row>
    <row r="11" spans="1:20" s="25" customFormat="1" ht="44.15" customHeight="1" x14ac:dyDescent="0.3">
      <c r="A11" s="60"/>
      <c r="B11" s="61"/>
      <c r="C11" s="62"/>
      <c r="D11" s="55" t="s">
        <v>97</v>
      </c>
      <c r="E11" s="55"/>
      <c r="F11" s="55"/>
      <c r="G11" s="56" t="s">
        <v>5</v>
      </c>
      <c r="H11" s="56"/>
      <c r="I11" s="56" t="s">
        <v>6</v>
      </c>
      <c r="J11" s="56"/>
      <c r="K11" s="56" t="s">
        <v>7</v>
      </c>
      <c r="L11" s="56"/>
      <c r="M11" s="56" t="s">
        <v>103</v>
      </c>
      <c r="N11" s="56"/>
      <c r="O11" s="56" t="s">
        <v>108</v>
      </c>
      <c r="P11" s="56"/>
      <c r="Q11" s="56" t="s">
        <v>8</v>
      </c>
      <c r="R11" s="56"/>
      <c r="S11" s="56" t="s">
        <v>9</v>
      </c>
      <c r="T11" s="56"/>
    </row>
    <row r="12" spans="1:20" s="25" customFormat="1" ht="42" x14ac:dyDescent="0.3">
      <c r="A12" s="63"/>
      <c r="B12" s="64"/>
      <c r="C12" s="59"/>
      <c r="D12" s="32" t="s">
        <v>82</v>
      </c>
      <c r="E12" s="32" t="s">
        <v>83</v>
      </c>
      <c r="F12" s="32" t="s">
        <v>84</v>
      </c>
      <c r="G12" s="33" t="s">
        <v>101</v>
      </c>
      <c r="H12" s="33" t="s">
        <v>100</v>
      </c>
      <c r="I12" s="33" t="s">
        <v>101</v>
      </c>
      <c r="J12" s="33" t="s">
        <v>100</v>
      </c>
      <c r="K12" s="33" t="s">
        <v>101</v>
      </c>
      <c r="L12" s="33" t="s">
        <v>100</v>
      </c>
      <c r="M12" s="33" t="s">
        <v>101</v>
      </c>
      <c r="N12" s="33" t="s">
        <v>100</v>
      </c>
      <c r="O12" s="33" t="s">
        <v>101</v>
      </c>
      <c r="P12" s="33" t="s">
        <v>100</v>
      </c>
      <c r="Q12" s="33" t="s">
        <v>101</v>
      </c>
      <c r="R12" s="33" t="s">
        <v>100</v>
      </c>
      <c r="S12" s="33" t="s">
        <v>101</v>
      </c>
      <c r="T12" s="33" t="s">
        <v>100</v>
      </c>
    </row>
    <row r="13" spans="1:20" s="31" customFormat="1" x14ac:dyDescent="0.3">
      <c r="A13" s="32" t="s">
        <v>3</v>
      </c>
      <c r="B13" s="122"/>
      <c r="C13" s="32" t="s">
        <v>4</v>
      </c>
      <c r="D13" s="32" t="s">
        <v>85</v>
      </c>
      <c r="E13" s="32" t="s">
        <v>66</v>
      </c>
      <c r="F13" s="34" t="str">
        <f>"(C)"</f>
        <v>(C)</v>
      </c>
      <c r="G13" s="33" t="s">
        <v>86</v>
      </c>
      <c r="H13" s="54" t="s">
        <v>87</v>
      </c>
      <c r="I13" s="33" t="s">
        <v>114</v>
      </c>
      <c r="J13" s="33" t="s">
        <v>113</v>
      </c>
      <c r="K13" s="33" t="s">
        <v>124</v>
      </c>
      <c r="L13" s="33" t="s">
        <v>123</v>
      </c>
      <c r="M13" s="33" t="s">
        <v>95</v>
      </c>
      <c r="N13" s="33" t="s">
        <v>102</v>
      </c>
      <c r="O13" s="33" t="s">
        <v>106</v>
      </c>
      <c r="P13" s="33" t="s">
        <v>107</v>
      </c>
      <c r="Q13" s="33" t="s">
        <v>109</v>
      </c>
      <c r="R13" s="33" t="s">
        <v>110</v>
      </c>
      <c r="S13" s="33" t="s">
        <v>111</v>
      </c>
      <c r="T13" s="33" t="s">
        <v>112</v>
      </c>
    </row>
    <row r="14" spans="1:20" ht="13.5" customHeight="1" x14ac:dyDescent="0.3">
      <c r="A14" s="96" t="s">
        <v>10</v>
      </c>
      <c r="B14" s="97" t="s">
        <v>27</v>
      </c>
      <c r="C14" s="96" t="s">
        <v>11</v>
      </c>
      <c r="D14" s="98">
        <f>SUM(E14:F14)</f>
        <v>1179209.8855236676</v>
      </c>
      <c r="E14" s="98">
        <f>HLOOKUP(B14,'[4]VA Rider'!$F$42:$R$57,14,FALSE)</f>
        <v>1850707.409370502</v>
      </c>
      <c r="F14" s="98">
        <f>HLOOKUP(B14,'[4]VA Rider'!$F$42:$R$57,15,FALSE)</f>
        <v>-671497.52384683443</v>
      </c>
      <c r="G14" s="98">
        <f>HLOOKUP(B14,'[4]VA Rider'!$5:$10,2,FALSE)</f>
        <v>213917.86412104563</v>
      </c>
      <c r="H14" s="98">
        <f>HLOOKUP(B14,'[4]VA Rider'!$5:$10,3,FALSE)</f>
        <v>2039119237.3865039</v>
      </c>
      <c r="I14" s="123">
        <f>(E14/G14)/$C$8</f>
        <v>0.72095716774861363</v>
      </c>
      <c r="J14" s="124">
        <f>(F14/H14)</f>
        <v>-3.293076302430841E-4</v>
      </c>
      <c r="K14" s="104">
        <f>G14*$C$8/12</f>
        <v>213917.8641210456</v>
      </c>
      <c r="L14" s="98">
        <f>H14*$C$8/12</f>
        <v>2039119237.3865039</v>
      </c>
      <c r="M14" s="98">
        <f>VLOOKUP(B14,[1]Summary!$A$71:$AB$83,28,FALSE)</f>
        <v>216787.21851249901</v>
      </c>
      <c r="N14" s="109">
        <f>VLOOKUP(B14,[1]Summary!$A$87:$AB$99,28,FALSE)</f>
        <v>1731521668.648906</v>
      </c>
      <c r="O14" s="109">
        <f>K14-M14</f>
        <v>-2869.3543914534093</v>
      </c>
      <c r="P14" s="109">
        <f>L14-N14</f>
        <v>307597568.73759794</v>
      </c>
      <c r="Q14" s="125">
        <f>I14*O14</f>
        <v>-2068.6816153292966</v>
      </c>
      <c r="R14" s="125">
        <f>J14*P14</f>
        <v>-101294.22642951255</v>
      </c>
      <c r="S14" s="128">
        <f>Q14/E14</f>
        <v>-1.1177788584274032E-3</v>
      </c>
      <c r="T14" s="129">
        <f>R14/F14</f>
        <v>0.15084825011598599</v>
      </c>
    </row>
    <row r="15" spans="1:20" x14ac:dyDescent="0.3">
      <c r="A15" s="96" t="s">
        <v>13</v>
      </c>
      <c r="B15" s="97" t="s">
        <v>28</v>
      </c>
      <c r="C15" s="96" t="s">
        <v>11</v>
      </c>
      <c r="D15" s="98">
        <f t="shared" ref="D15:D28" si="0">SUM(E15:F15)</f>
        <v>3591310.2191738114</v>
      </c>
      <c r="E15" s="98">
        <f>HLOOKUP(B15,'[4]VA Rider'!$F$42:$R$57,14,FALSE)</f>
        <v>4402863.9073363449</v>
      </c>
      <c r="F15" s="98">
        <f>HLOOKUP(B15,'[4]VA Rider'!$F$42:$R$57,15,FALSE)</f>
        <v>-811553.68816253357</v>
      </c>
      <c r="G15" s="98">
        <f>HLOOKUP(B15,'[4]VA Rider'!$5:$10,2,FALSE)</f>
        <v>445242.90946647938</v>
      </c>
      <c r="H15" s="98">
        <f>HLOOKUP(B15,'[4]VA Rider'!$5:$10,3,FALSE)</f>
        <v>5105111619.4480171</v>
      </c>
      <c r="I15" s="123">
        <f t="shared" ref="I15:I28" si="1">(E15/G15)/$C$8</f>
        <v>0.82405652692148035</v>
      </c>
      <c r="J15" s="124">
        <f t="shared" ref="J15:J28" si="2">(F15/H15)</f>
        <v>-1.5896884312399846E-4</v>
      </c>
      <c r="K15" s="104">
        <f t="shared" ref="K15:L28" si="3">G15*$C$8/12</f>
        <v>445242.90946647938</v>
      </c>
      <c r="L15" s="98">
        <f t="shared" si="3"/>
        <v>5105111619.4480171</v>
      </c>
      <c r="M15" s="98">
        <f>VLOOKUP(B15,[1]Summary!$A$71:$AB$83,28,FALSE)</f>
        <v>444812.27560403239</v>
      </c>
      <c r="N15" s="109">
        <f>VLOOKUP(B15,[1]Summary!$A$87:$AB$99,28,FALSE)</f>
        <v>4275484226.1655331</v>
      </c>
      <c r="O15" s="109">
        <f t="shared" ref="O15:P28" si="4">K15-M15</f>
        <v>430.63386244699359</v>
      </c>
      <c r="P15" s="109">
        <f t="shared" si="4"/>
        <v>829627393.28248405</v>
      </c>
      <c r="Q15" s="125">
        <f t="shared" ref="Q15:R28" si="5">I15*O15</f>
        <v>354.86664506285206</v>
      </c>
      <c r="R15" s="125">
        <f t="shared" si="5"/>
        <v>-131884.90693409499</v>
      </c>
      <c r="S15" s="128">
        <f t="shared" ref="S15:T28" si="6">Q15/E15</f>
        <v>8.0599049285068667E-5</v>
      </c>
      <c r="T15" s="129">
        <f t="shared" si="6"/>
        <v>0.16250915849165828</v>
      </c>
    </row>
    <row r="16" spans="1:20" x14ac:dyDescent="0.3">
      <c r="A16" s="96" t="s">
        <v>14</v>
      </c>
      <c r="B16" s="97" t="s">
        <v>29</v>
      </c>
      <c r="C16" s="96" t="s">
        <v>11</v>
      </c>
      <c r="D16" s="98">
        <f t="shared" si="0"/>
        <v>5440848.9060025048</v>
      </c>
      <c r="E16" s="98">
        <f>HLOOKUP(B16,'[4]VA Rider'!$F$42:$R$57,14,FALSE)</f>
        <v>5459245.0099991383</v>
      </c>
      <c r="F16" s="98">
        <f>HLOOKUP(B16,'[4]VA Rider'!$F$42:$R$57,15,FALSE)</f>
        <v>-18396.103996634018</v>
      </c>
      <c r="G16" s="98">
        <f>HLOOKUP(B16,'[4]VA Rider'!$5:$10,2,FALSE)</f>
        <v>334550.76694052614</v>
      </c>
      <c r="H16" s="98">
        <f>HLOOKUP(B16,'[4]VA Rider'!$5:$10,3,FALSE)</f>
        <v>4816260166.2785091</v>
      </c>
      <c r="I16" s="123">
        <f t="shared" si="1"/>
        <v>1.3598446906190178</v>
      </c>
      <c r="J16" s="124">
        <f t="shared" si="2"/>
        <v>-3.8195826972629182E-6</v>
      </c>
      <c r="K16" s="104">
        <f t="shared" si="3"/>
        <v>334550.76694052614</v>
      </c>
      <c r="L16" s="98">
        <f t="shared" si="3"/>
        <v>4816260166.2785091</v>
      </c>
      <c r="M16" s="98">
        <f>VLOOKUP(B16,[1]Summary!$A$71:$AB$83,28,FALSE)</f>
        <v>328462.16209437465</v>
      </c>
      <c r="N16" s="109">
        <f>VLOOKUP(B16,[1]Summary!$A$87:$AB$99,28,FALSE)</f>
        <v>0</v>
      </c>
      <c r="O16" s="109">
        <f t="shared" si="4"/>
        <v>6088.6048461514874</v>
      </c>
      <c r="P16" s="109"/>
      <c r="Q16" s="125">
        <f t="shared" si="5"/>
        <v>8279.5569733163211</v>
      </c>
      <c r="R16" s="125">
        <f t="shared" si="5"/>
        <v>0</v>
      </c>
      <c r="S16" s="128">
        <f t="shared" si="6"/>
        <v>1.5166120879629888E-3</v>
      </c>
      <c r="T16" s="129">
        <f t="shared" si="6"/>
        <v>0</v>
      </c>
    </row>
    <row r="17" spans="1:21" x14ac:dyDescent="0.3">
      <c r="A17" s="96" t="s">
        <v>15</v>
      </c>
      <c r="B17" s="97" t="s">
        <v>30</v>
      </c>
      <c r="C17" s="96" t="s">
        <v>11</v>
      </c>
      <c r="D17" s="98">
        <f t="shared" si="0"/>
        <v>1795061.6523018847</v>
      </c>
      <c r="E17" s="98">
        <f>HLOOKUP(B17,'[4]VA Rider'!$F$42:$R$57,14,FALSE)</f>
        <v>1566740.3971945364</v>
      </c>
      <c r="F17" s="98">
        <f>HLOOKUP(B17,'[4]VA Rider'!$F$42:$R$57,15,FALSE)</f>
        <v>228321.25510734826</v>
      </c>
      <c r="G17" s="98">
        <f>HLOOKUP(B17,'[4]VA Rider'!$5:$10,2,FALSE)</f>
        <v>155033.41025414609</v>
      </c>
      <c r="H17" s="98">
        <f>HLOOKUP(B17,'[4]VA Rider'!$5:$10,3,FALSE)</f>
        <v>668804952.38432503</v>
      </c>
      <c r="I17" s="123">
        <f t="shared" si="1"/>
        <v>0.84215202098813224</v>
      </c>
      <c r="J17" s="124">
        <f t="shared" si="2"/>
        <v>3.4138690853494866E-4</v>
      </c>
      <c r="K17" s="104">
        <f t="shared" si="3"/>
        <v>155033.41025414609</v>
      </c>
      <c r="L17" s="98">
        <f t="shared" si="3"/>
        <v>668804952.38432503</v>
      </c>
      <c r="M17" s="98">
        <f>VLOOKUP(B17,[1]Summary!$A$71:$AB$83,28,FALSE)</f>
        <v>142194.31368965391</v>
      </c>
      <c r="N17" s="109">
        <f>VLOOKUP(B17,[1]Summary!$A$87:$AB$99,28,FALSE)</f>
        <v>644807505.19929957</v>
      </c>
      <c r="O17" s="109">
        <f t="shared" si="4"/>
        <v>12839.096564492182</v>
      </c>
      <c r="P17" s="109">
        <f t="shared" si="4"/>
        <v>23997447.185025454</v>
      </c>
      <c r="Q17" s="125">
        <f t="shared" si="5"/>
        <v>10812.471119448875</v>
      </c>
      <c r="R17" s="125">
        <f t="shared" si="5"/>
        <v>8192.4143072265451</v>
      </c>
      <c r="S17" s="128">
        <f t="shared" si="6"/>
        <v>6.901252523270663E-3</v>
      </c>
      <c r="T17" s="129">
        <f t="shared" si="6"/>
        <v>3.5881084760920633E-2</v>
      </c>
    </row>
    <row r="18" spans="1:21" hidden="1" x14ac:dyDescent="0.3">
      <c r="A18" s="96" t="s">
        <v>16</v>
      </c>
      <c r="B18" s="97"/>
      <c r="C18" s="96"/>
      <c r="D18" s="98"/>
      <c r="E18" s="98"/>
      <c r="F18" s="98"/>
      <c r="G18" s="98"/>
      <c r="H18" s="98"/>
      <c r="I18" s="123"/>
      <c r="J18" s="124"/>
      <c r="K18" s="104"/>
      <c r="L18" s="98"/>
      <c r="M18" s="98"/>
      <c r="N18" s="109"/>
      <c r="O18" s="109"/>
      <c r="P18" s="109"/>
      <c r="Q18" s="125"/>
      <c r="R18" s="125"/>
      <c r="S18" s="128"/>
      <c r="T18" s="129"/>
    </row>
    <row r="19" spans="1:21" hidden="1" x14ac:dyDescent="0.3">
      <c r="A19" s="96" t="s">
        <v>16</v>
      </c>
      <c r="B19" s="97"/>
      <c r="C19" s="96"/>
      <c r="D19" s="98"/>
      <c r="E19" s="98"/>
      <c r="F19" s="98"/>
      <c r="G19" s="98"/>
      <c r="H19" s="98"/>
      <c r="I19" s="123"/>
      <c r="J19" s="124"/>
      <c r="K19" s="104"/>
      <c r="L19" s="98"/>
      <c r="M19" s="98"/>
      <c r="N19" s="109"/>
      <c r="O19" s="109"/>
      <c r="P19" s="109"/>
      <c r="Q19" s="125"/>
      <c r="R19" s="125"/>
      <c r="S19" s="128"/>
      <c r="T19" s="129"/>
    </row>
    <row r="20" spans="1:21" x14ac:dyDescent="0.3">
      <c r="A20" s="96" t="s">
        <v>17</v>
      </c>
      <c r="B20" s="97" t="s">
        <v>33</v>
      </c>
      <c r="C20" s="96" t="s">
        <v>11</v>
      </c>
      <c r="D20" s="98">
        <f t="shared" si="0"/>
        <v>55136.822694154951</v>
      </c>
      <c r="E20" s="98">
        <f>HLOOKUP(B20,'[4]VA Rider'!$F$42:$R$57,14,FALSE)</f>
        <v>142639.87453561995</v>
      </c>
      <c r="F20" s="98">
        <f>HLOOKUP(B20,'[4]VA Rider'!$F$42:$R$57,15,FALSE)</f>
        <v>-87503.051841465</v>
      </c>
      <c r="G20" s="98">
        <f>HLOOKUP(B20,'[4]VA Rider'!$5:$10,2,FALSE)</f>
        <v>17850.99352861544</v>
      </c>
      <c r="H20" s="98">
        <f>HLOOKUP(B20,'[4]VA Rider'!$5:$10,3,FALSE)</f>
        <v>613411739.28002405</v>
      </c>
      <c r="I20" s="123">
        <f t="shared" si="1"/>
        <v>0.66588205257299293</v>
      </c>
      <c r="J20" s="124">
        <f t="shared" si="2"/>
        <v>-1.4264978356001045E-4</v>
      </c>
      <c r="K20" s="104">
        <f t="shared" si="3"/>
        <v>17850.99352861544</v>
      </c>
      <c r="L20" s="98">
        <f t="shared" si="3"/>
        <v>613411739.28002405</v>
      </c>
      <c r="M20" s="98">
        <f>VLOOKUP(B20,[1]Summary!$A$71:$AB$83,28,FALSE)</f>
        <v>17638.63005209223</v>
      </c>
      <c r="N20" s="109">
        <f>VLOOKUP(B20,[1]Summary!$A$87:$AB$99,28,FALSE)</f>
        <v>625416252.43768001</v>
      </c>
      <c r="O20" s="109">
        <f t="shared" si="4"/>
        <v>212.3634765232091</v>
      </c>
      <c r="P20" s="109">
        <f t="shared" si="4"/>
        <v>-12004513.157655954</v>
      </c>
      <c r="Q20" s="125">
        <f t="shared" si="5"/>
        <v>141.40902763881107</v>
      </c>
      <c r="R20" s="125">
        <f t="shared" si="5"/>
        <v>1712.4412036829194</v>
      </c>
      <c r="S20" s="128">
        <f t="shared" si="6"/>
        <v>9.9137094798480404E-4</v>
      </c>
      <c r="T20" s="129">
        <f t="shared" si="6"/>
        <v>-1.9570074044794016E-2</v>
      </c>
    </row>
    <row r="21" spans="1:21" x14ac:dyDescent="0.3">
      <c r="A21" s="96" t="s">
        <v>18</v>
      </c>
      <c r="B21" s="97" t="s">
        <v>31</v>
      </c>
      <c r="C21" s="96" t="s">
        <v>11</v>
      </c>
      <c r="D21" s="98">
        <f t="shared" si="0"/>
        <v>1315732.5131754652</v>
      </c>
      <c r="E21" s="98">
        <f>HLOOKUP(B21,'[4]VA Rider'!$F$42:$R$57,14,FALSE)</f>
        <v>818609.42586858489</v>
      </c>
      <c r="F21" s="98">
        <f>HLOOKUP(B21,'[4]VA Rider'!$F$42:$R$57,15,FALSE)</f>
        <v>497123.08730688028</v>
      </c>
      <c r="G21" s="98">
        <f>HLOOKUP(B21,'[4]VA Rider'!$5:$10,2,FALSE)</f>
        <v>94081.120095730163</v>
      </c>
      <c r="H21" s="98">
        <f>HLOOKUP(B21,'[4]VA Rider'!$5:$10,3,FALSE)</f>
        <v>2215826849.1845155</v>
      </c>
      <c r="I21" s="123">
        <f t="shared" si="1"/>
        <v>0.72509183655872977</v>
      </c>
      <c r="J21" s="124">
        <f t="shared" si="2"/>
        <v>2.2435105319255205E-4</v>
      </c>
      <c r="K21" s="104">
        <f t="shared" si="3"/>
        <v>94081.120095730163</v>
      </c>
      <c r="L21" s="98">
        <f t="shared" si="3"/>
        <v>2215826849.1845155</v>
      </c>
      <c r="M21" s="98">
        <f>VLOOKUP(B21,[1]Summary!$A$71:$AB$83,28,FALSE)</f>
        <v>87993.773519411479</v>
      </c>
      <c r="N21" s="109">
        <f>VLOOKUP(B21,[1]Summary!$A$87:$AB$99,28,FALSE)</f>
        <v>2194196745.01899</v>
      </c>
      <c r="O21" s="109">
        <f t="shared" si="4"/>
        <v>6087.3465763186832</v>
      </c>
      <c r="P21" s="109">
        <f t="shared" si="4"/>
        <v>21630104.165525436</v>
      </c>
      <c r="Q21" s="125">
        <f t="shared" si="5"/>
        <v>4413.8853087924099</v>
      </c>
      <c r="R21" s="125">
        <f t="shared" si="5"/>
        <v>4852.7366502002387</v>
      </c>
      <c r="S21" s="128">
        <f t="shared" si="6"/>
        <v>5.391930717275898E-3</v>
      </c>
      <c r="T21" s="129">
        <f t="shared" si="6"/>
        <v>9.7616400728630492E-3</v>
      </c>
    </row>
    <row r="22" spans="1:21" x14ac:dyDescent="0.3">
      <c r="A22" s="96" t="s">
        <v>19</v>
      </c>
      <c r="B22" s="97" t="s">
        <v>34</v>
      </c>
      <c r="C22" s="96" t="s">
        <v>40</v>
      </c>
      <c r="D22" s="98">
        <f t="shared" si="0"/>
        <v>-157213.08331604552</v>
      </c>
      <c r="E22" s="98">
        <f>HLOOKUP(B22,'[4]VA Rider'!$F$42:$R$57,14,FALSE)</f>
        <v>32670.519634384371</v>
      </c>
      <c r="F22" s="98">
        <f>HLOOKUP(B22,'[4]VA Rider'!$F$42:$R$57,15,FALSE)</f>
        <v>-189883.60295042989</v>
      </c>
      <c r="G22" s="98">
        <f>HLOOKUP(B22,'[4]VA Rider'!$5:$10,2,FALSE)</f>
        <v>1912.6699858357695</v>
      </c>
      <c r="H22" s="98">
        <f>HLOOKUP(B22,'[4]VA Rider'!$5:$10,6,FALSE)</f>
        <v>3048496.2309397054</v>
      </c>
      <c r="I22" s="123">
        <f t="shared" si="1"/>
        <v>1.4234255376134366</v>
      </c>
      <c r="J22" s="124">
        <f t="shared" si="2"/>
        <v>-6.2287629232822724E-2</v>
      </c>
      <c r="K22" s="104">
        <f t="shared" si="3"/>
        <v>1912.6699858357695</v>
      </c>
      <c r="L22" s="98">
        <f t="shared" si="3"/>
        <v>3048496.2309397054</v>
      </c>
      <c r="M22" s="98">
        <f>VLOOKUP(B22,[1]Summary!$A$71:$AB$83,28,FALSE)</f>
        <v>1687.9009067835991</v>
      </c>
      <c r="N22" s="109">
        <f>VLOOKUP(B22,[1]Summary!$A$87:$AB$99,28,FALSE)</f>
        <v>2698185.1908937036</v>
      </c>
      <c r="O22" s="109">
        <f t="shared" si="4"/>
        <v>224.76907905217035</v>
      </c>
      <c r="P22" s="109">
        <f t="shared" si="4"/>
        <v>350311.04004600178</v>
      </c>
      <c r="Q22" s="125">
        <f t="shared" si="5"/>
        <v>319.94204718871259</v>
      </c>
      <c r="R22" s="125">
        <f t="shared" si="5"/>
        <v>-21820.044178549873</v>
      </c>
      <c r="S22" s="128">
        <f t="shared" si="6"/>
        <v>9.7929892382852338E-3</v>
      </c>
      <c r="T22" s="129">
        <f t="shared" si="6"/>
        <v>0.11491273516779703</v>
      </c>
    </row>
    <row r="23" spans="1:21" x14ac:dyDescent="0.3">
      <c r="A23" s="96" t="s">
        <v>20</v>
      </c>
      <c r="B23" s="97" t="s">
        <v>32</v>
      </c>
      <c r="C23" s="96" t="s">
        <v>40</v>
      </c>
      <c r="D23" s="98">
        <f t="shared" si="0"/>
        <v>468634.58179496397</v>
      </c>
      <c r="E23" s="98">
        <f>HLOOKUP(B23,'[4]VA Rider'!$F$42:$R$57,14,FALSE)</f>
        <v>103193.63557062701</v>
      </c>
      <c r="F23" s="98">
        <f>HLOOKUP(B23,'[4]VA Rider'!$F$42:$R$57,15,FALSE)</f>
        <v>365440.94622433698</v>
      </c>
      <c r="G23" s="98">
        <f>HLOOKUP(B23,'[4]VA Rider'!$5:$10,2,FALSE)</f>
        <v>6281.5350075745537</v>
      </c>
      <c r="H23" s="98">
        <f>HLOOKUP(B23,'[4]VA Rider'!$5:$10,6,FALSE)</f>
        <v>8541960.1686262898</v>
      </c>
      <c r="I23" s="123">
        <f t="shared" si="1"/>
        <v>1.3690076741618034</v>
      </c>
      <c r="J23" s="124">
        <f t="shared" si="2"/>
        <v>4.2781860253406787E-2</v>
      </c>
      <c r="K23" s="104">
        <f t="shared" si="3"/>
        <v>6281.5350075745546</v>
      </c>
      <c r="L23" s="98">
        <f t="shared" si="3"/>
        <v>8541960.1686262898</v>
      </c>
      <c r="M23" s="98">
        <f>VLOOKUP(B23,[1]Summary!$A$71:$AB$83,28,FALSE)</f>
        <v>5149.3601246795115</v>
      </c>
      <c r="N23" s="109">
        <f>VLOOKUP(B23,[1]Summary!$A$87:$AB$99,28,FALSE)</f>
        <v>7439720.4263778478</v>
      </c>
      <c r="O23" s="109">
        <f t="shared" si="4"/>
        <v>1132.1748828950431</v>
      </c>
      <c r="P23" s="109">
        <f t="shared" si="4"/>
        <v>1102239.742248442</v>
      </c>
      <c r="Q23" s="125">
        <f t="shared" si="5"/>
        <v>1549.956103176555</v>
      </c>
      <c r="R23" s="125">
        <f t="shared" si="5"/>
        <v>47155.866618623964</v>
      </c>
      <c r="S23" s="128">
        <f t="shared" si="6"/>
        <v>1.5019880776617717E-2</v>
      </c>
      <c r="T23" s="129">
        <f t="shared" si="6"/>
        <v>0.12903826762115461</v>
      </c>
    </row>
    <row r="24" spans="1:21" x14ac:dyDescent="0.3">
      <c r="A24" s="96" t="s">
        <v>21</v>
      </c>
      <c r="B24" s="97" t="s">
        <v>38</v>
      </c>
      <c r="C24" s="96" t="s">
        <v>40</v>
      </c>
      <c r="D24" s="98">
        <f t="shared" si="0"/>
        <v>64947.182591580073</v>
      </c>
      <c r="E24" s="98">
        <f>HLOOKUP(B24,'[4]VA Rider'!$F$42:$R$57,14,FALSE)</f>
        <v>49751.023209974679</v>
      </c>
      <c r="F24" s="98">
        <f>HLOOKUP(B24,'[4]VA Rider'!$F$42:$R$57,15,FALSE)</f>
        <v>15196.159381605392</v>
      </c>
      <c r="G24" s="98">
        <f>HLOOKUP(B24,'[4]VA Rider'!$5:$10,2,FALSE)</f>
        <v>1522.9629313036801</v>
      </c>
      <c r="H24" s="98">
        <f>HLOOKUP(B24,'[4]VA Rider'!$5:$10,6,FALSE)</f>
        <v>240222.96054874925</v>
      </c>
      <c r="I24" s="123">
        <f t="shared" si="1"/>
        <v>2.7222715114164018</v>
      </c>
      <c r="J24" s="124">
        <f t="shared" si="2"/>
        <v>6.3258563406646484E-2</v>
      </c>
      <c r="K24" s="104">
        <f t="shared" si="3"/>
        <v>1522.9629313036801</v>
      </c>
      <c r="L24" s="98">
        <f t="shared" si="3"/>
        <v>240222.96054874928</v>
      </c>
      <c r="M24" s="98">
        <f>VLOOKUP(B24,[1]Summary!$A$71:$AB$83,28,FALSE)</f>
        <v>983.69573539351268</v>
      </c>
      <c r="N24" s="109">
        <f>VLOOKUP(B24,[1]Summary!$A$87:$AB$99,28,FALSE)</f>
        <v>185325.87326972914</v>
      </c>
      <c r="O24" s="109">
        <f t="shared" si="4"/>
        <v>539.2671959101674</v>
      </c>
      <c r="P24" s="109">
        <f t="shared" si="4"/>
        <v>54897.087279020139</v>
      </c>
      <c r="Q24" s="125">
        <f t="shared" si="5"/>
        <v>1468.0317244676562</v>
      </c>
      <c r="R24" s="125">
        <f t="shared" si="5"/>
        <v>3472.7108764801014</v>
      </c>
      <c r="S24" s="128">
        <f t="shared" si="6"/>
        <v>2.9507568483000117E-2</v>
      </c>
      <c r="T24" s="129">
        <f t="shared" si="6"/>
        <v>0.22852556289214362</v>
      </c>
    </row>
    <row r="25" spans="1:21" x14ac:dyDescent="0.3">
      <c r="A25" s="96" t="s">
        <v>22</v>
      </c>
      <c r="B25" s="97" t="s">
        <v>39</v>
      </c>
      <c r="C25" s="96" t="s">
        <v>128</v>
      </c>
      <c r="D25" s="98">
        <f t="shared" si="0"/>
        <v>4759475.451558508</v>
      </c>
      <c r="E25" s="98">
        <f>HLOOKUP(B25,'[4]VA Rider'!$F$42:$R$57,14,FALSE)</f>
        <v>116935.26636029575</v>
      </c>
      <c r="F25" s="98">
        <f>SUM('[4]VA Rider'!$F$69:$F$70)</f>
        <v>4642540.185198212</v>
      </c>
      <c r="G25" s="98">
        <f>HLOOKUP(B25,'[4]VA Rider'!$5:$10,2,FALSE)</f>
        <v>821.72456053631527</v>
      </c>
      <c r="H25" s="98">
        <f>SUM('[4]VA Rider'!$G$69:$G$70)</f>
        <v>42385246.709399417</v>
      </c>
      <c r="I25" s="123">
        <f t="shared" si="1"/>
        <v>11.858724928052084</v>
      </c>
      <c r="J25" s="130">
        <f t="shared" si="2"/>
        <v>0.10953198449045892</v>
      </c>
      <c r="K25" s="131">
        <f t="shared" si="3"/>
        <v>821.72456053631538</v>
      </c>
      <c r="L25" s="132">
        <f>H25*($C$8/12)</f>
        <v>42385246.709399417</v>
      </c>
      <c r="M25" s="132">
        <f>VLOOKUP(B25,[1]Summary!$A$71:$AB$83,28,FALSE)</f>
        <v>807.34413630809252</v>
      </c>
      <c r="N25" s="133">
        <f>VLOOKUP(B25,[1]Summary!$A$87:$AB$99,28,FALSE)</f>
        <v>49578508.645142317</v>
      </c>
      <c r="O25" s="133">
        <f t="shared" si="4"/>
        <v>14.380424228222864</v>
      </c>
      <c r="P25" s="109">
        <f t="shared" si="4"/>
        <v>-7193261.9357428998</v>
      </c>
      <c r="Q25" s="125">
        <f t="shared" si="5"/>
        <v>170.53349527119062</v>
      </c>
      <c r="R25" s="134">
        <f>SUM(F25:F25)-SUM([1]Summary!$E$96:$G$96)</f>
        <v>-788178.80990783405</v>
      </c>
      <c r="S25" s="128">
        <f t="shared" si="6"/>
        <v>1.4583581205155885E-3</v>
      </c>
      <c r="T25" s="129">
        <f t="shared" si="6"/>
        <v>-0.16977317986837909</v>
      </c>
    </row>
    <row r="26" spans="1:21" x14ac:dyDescent="0.3">
      <c r="A26" s="96" t="s">
        <v>23</v>
      </c>
      <c r="B26" s="97" t="s">
        <v>37</v>
      </c>
      <c r="C26" s="96" t="s">
        <v>11</v>
      </c>
      <c r="D26" s="98">
        <f t="shared" si="0"/>
        <v>33214.223543958593</v>
      </c>
      <c r="E26" s="98">
        <f>HLOOKUP(B26,'[4]VA Rider'!$F$42:$R$57,14,FALSE)</f>
        <v>34831.525437382137</v>
      </c>
      <c r="F26" s="98">
        <f>HLOOKUP(B26,'[4]VA Rider'!$F$42:$R$57,15,FALSE)</f>
        <v>-1617.3018934235424</v>
      </c>
      <c r="G26" s="98">
        <f>HLOOKUP(B26,'[4]VA Rider'!$5:$10,2,FALSE)</f>
        <v>5733.5202050826056</v>
      </c>
      <c r="H26" s="98">
        <f>HLOOKUP(B26,'[4]VA Rider'!$5:$10,3,FALSE)</f>
        <v>25229668.994320702</v>
      </c>
      <c r="I26" s="123">
        <f t="shared" si="1"/>
        <v>0.50625567120331183</v>
      </c>
      <c r="J26" s="124">
        <f t="shared" si="2"/>
        <v>-6.4103175265105671E-5</v>
      </c>
      <c r="K26" s="104">
        <f t="shared" si="3"/>
        <v>5733.5202050826056</v>
      </c>
      <c r="L26" s="98">
        <f t="shared" si="3"/>
        <v>25229668.994320702</v>
      </c>
      <c r="M26" s="98">
        <f>VLOOKUP(B26,[1]Summary!$A$71:$AB$83,28,FALSE)</f>
        <v>5463.9119121465965</v>
      </c>
      <c r="N26" s="109">
        <f>VLOOKUP(B26,[1]Summary!$A$87:$AB$99,28,FALSE)</f>
        <v>24992922.590092722</v>
      </c>
      <c r="O26" s="109">
        <f t="shared" si="4"/>
        <v>269.60829293600909</v>
      </c>
      <c r="P26" s="109">
        <f>L26-N26</f>
        <v>236746.40422797948</v>
      </c>
      <c r="Q26" s="125">
        <f t="shared" si="5"/>
        <v>136.49072730229841</v>
      </c>
      <c r="R26" s="125">
        <f t="shared" si="5"/>
        <v>-15.176196243609724</v>
      </c>
      <c r="S26" s="128">
        <f t="shared" si="6"/>
        <v>3.9185974656112208E-3</v>
      </c>
      <c r="T26" s="129">
        <f t="shared" si="6"/>
        <v>9.3836508232142089E-3</v>
      </c>
    </row>
    <row r="27" spans="1:21" x14ac:dyDescent="0.3">
      <c r="A27" s="96" t="s">
        <v>24</v>
      </c>
      <c r="B27" s="97" t="s">
        <v>35</v>
      </c>
      <c r="C27" s="96" t="s">
        <v>11</v>
      </c>
      <c r="D27" s="98">
        <f t="shared" si="0"/>
        <v>92041.080688470232</v>
      </c>
      <c r="E27" s="98">
        <f>HLOOKUP(B27,'[4]VA Rider'!$F$42:$R$57,14,FALSE)</f>
        <v>4518.8081792639432</v>
      </c>
      <c r="F27" s="98">
        <f>HLOOKUP(B27,'[4]VA Rider'!$F$42:$R$57,15,FALSE)</f>
        <v>87522.27250920629</v>
      </c>
      <c r="G27" s="98">
        <f>HLOOKUP(B27,'[4]VA Rider'!$5:$10,2,FALSE)</f>
        <v>4972.9013381814475</v>
      </c>
      <c r="H27" s="98">
        <f>HLOOKUP(B27,'[4]VA Rider'!$5:$10,3,FALSE)</f>
        <v>125123039.93618228</v>
      </c>
      <c r="I27" s="123">
        <f t="shared" si="1"/>
        <v>7.572387277840166E-2</v>
      </c>
      <c r="J27" s="124">
        <f t="shared" si="2"/>
        <v>6.9948965876984865E-4</v>
      </c>
      <c r="K27" s="104">
        <f t="shared" si="3"/>
        <v>4972.9013381814475</v>
      </c>
      <c r="L27" s="98">
        <f t="shared" si="3"/>
        <v>125123039.93618228</v>
      </c>
      <c r="M27" s="98">
        <f>VLOOKUP(B27,[1]Summary!$A$71:$AB$83,28,FALSE)</f>
        <v>4780.1695499791176</v>
      </c>
      <c r="N27" s="109">
        <f>VLOOKUP(B27,[1]Summary!$A$87:$AB$99,28,FALSE)</f>
        <v>86563651.650541142</v>
      </c>
      <c r="O27" s="109">
        <f t="shared" si="4"/>
        <v>192.73178820232988</v>
      </c>
      <c r="P27" s="109">
        <f t="shared" si="4"/>
        <v>38559388.285641134</v>
      </c>
      <c r="Q27" s="125">
        <f t="shared" si="5"/>
        <v>14.594397410187081</v>
      </c>
      <c r="R27" s="125">
        <f t="shared" si="5"/>
        <v>26971.893354297215</v>
      </c>
      <c r="S27" s="128">
        <f t="shared" si="6"/>
        <v>3.2297005828125958E-3</v>
      </c>
      <c r="T27" s="129">
        <f t="shared" si="6"/>
        <v>0.30817176680895819</v>
      </c>
    </row>
    <row r="28" spans="1:21" x14ac:dyDescent="0.3">
      <c r="A28" s="96" t="s">
        <v>25</v>
      </c>
      <c r="B28" s="97" t="s">
        <v>36</v>
      </c>
      <c r="C28" s="96" t="s">
        <v>11</v>
      </c>
      <c r="D28" s="98">
        <f t="shared" si="0"/>
        <v>39293.063964498811</v>
      </c>
      <c r="E28" s="98">
        <f>HLOOKUP(B28,'[4]VA Rider'!$F$42:$R$57,14,FALSE)</f>
        <v>19220.326761255659</v>
      </c>
      <c r="F28" s="98">
        <f>HLOOKUP(B28,'[4]VA Rider'!$F$42:$R$57,15,FALSE)</f>
        <v>20072.737203243152</v>
      </c>
      <c r="G28" s="98">
        <f>HLOOKUP(B28,'[4]VA Rider'!$5:$10,2,FALSE)</f>
        <v>29671.140221185764</v>
      </c>
      <c r="H28" s="98">
        <f>HLOOKUP(B28,'[4]VA Rider'!$5:$10,3,FALSE)</f>
        <v>22080536.459326282</v>
      </c>
      <c r="I28" s="123">
        <f t="shared" si="1"/>
        <v>5.3981541822503497E-2</v>
      </c>
      <c r="J28" s="124">
        <f t="shared" si="2"/>
        <v>9.0906927194537961E-4</v>
      </c>
      <c r="K28" s="104">
        <f t="shared" si="3"/>
        <v>29671.140221185764</v>
      </c>
      <c r="L28" s="98">
        <f t="shared" si="3"/>
        <v>22080536.459326282</v>
      </c>
      <c r="M28" s="98">
        <f>VLOOKUP(B28,[1]Summary!$A$71:$AB$83,28,FALSE)</f>
        <v>18035.987009112836</v>
      </c>
      <c r="N28" s="109">
        <f>VLOOKUP(B28,[1]Summary!$A$87:$AB$99,28,FALSE)</f>
        <v>14076649.948770523</v>
      </c>
      <c r="O28" s="109">
        <f t="shared" si="4"/>
        <v>11635.153212072928</v>
      </c>
      <c r="P28" s="109">
        <f t="shared" si="4"/>
        <v>8003886.5105557591</v>
      </c>
      <c r="Q28" s="125">
        <f t="shared" si="5"/>
        <v>628.08350972875064</v>
      </c>
      <c r="R28" s="125">
        <f t="shared" si="5"/>
        <v>7276.0872828843685</v>
      </c>
      <c r="S28" s="128">
        <f t="shared" si="6"/>
        <v>3.2678086982102804E-2</v>
      </c>
      <c r="T28" s="129">
        <f t="shared" si="6"/>
        <v>0.36248605305851217</v>
      </c>
    </row>
    <row r="29" spans="1:21" x14ac:dyDescent="0.3">
      <c r="A29" s="96" t="s">
        <v>26</v>
      </c>
      <c r="B29" s="102"/>
      <c r="C29" s="96"/>
      <c r="D29" s="104"/>
      <c r="E29" s="98"/>
      <c r="F29" s="98"/>
      <c r="G29" s="98"/>
      <c r="H29" s="96"/>
      <c r="I29" s="96" t="s">
        <v>12</v>
      </c>
      <c r="J29" s="96"/>
      <c r="K29" s="96" t="s">
        <v>12</v>
      </c>
      <c r="L29" s="98"/>
      <c r="M29" s="96" t="s">
        <v>12</v>
      </c>
      <c r="N29" s="109"/>
      <c r="O29" s="96"/>
      <c r="P29" s="96" t="s">
        <v>12</v>
      </c>
      <c r="Q29" s="96"/>
      <c r="R29" s="96"/>
      <c r="S29" s="96"/>
      <c r="T29" s="96"/>
    </row>
    <row r="30" spans="1:21" x14ac:dyDescent="0.3">
      <c r="A30" s="96" t="s">
        <v>74</v>
      </c>
      <c r="B30" s="96"/>
      <c r="C30" s="96"/>
      <c r="D30" s="104">
        <f>SUM(D14:D28)</f>
        <v>18677692.499697421</v>
      </c>
      <c r="E30" s="104">
        <f>SUM(E14:E28)</f>
        <v>14601927.12945791</v>
      </c>
      <c r="F30" s="104">
        <f>SUM(F14:F28)</f>
        <v>4075765.3702395121</v>
      </c>
      <c r="G30" s="123">
        <f>SUM(G14:G28)</f>
        <v>1311593.5186562426</v>
      </c>
      <c r="H30" s="104">
        <f>SUM(H14:H28)</f>
        <v>15685183735.421236</v>
      </c>
      <c r="I30" s="123"/>
      <c r="J30" s="123"/>
      <c r="K30" s="123">
        <f t="shared" ref="K30:R30" si="7">SUM(K14:K28)</f>
        <v>1311593.5186562426</v>
      </c>
      <c r="L30" s="98">
        <f t="shared" si="7"/>
        <v>15685183735.421236</v>
      </c>
      <c r="M30" s="98">
        <f t="shared" si="7"/>
        <v>1274796.7428464668</v>
      </c>
      <c r="N30" s="109">
        <f t="shared" si="7"/>
        <v>9656961361.7954979</v>
      </c>
      <c r="O30" s="98">
        <f t="shared" si="7"/>
        <v>36796.775809776023</v>
      </c>
      <c r="P30" s="98">
        <f t="shared" si="7"/>
        <v>1211962207.3472326</v>
      </c>
      <c r="Q30" s="98">
        <f t="shared" si="7"/>
        <v>26221.139463475323</v>
      </c>
      <c r="R30" s="98">
        <f t="shared" si="7"/>
        <v>-943559.01335283963</v>
      </c>
      <c r="S30" s="126"/>
      <c r="T30" s="126"/>
    </row>
    <row r="31" spans="1:21" x14ac:dyDescent="0.3">
      <c r="B31" s="45"/>
      <c r="D31" s="29"/>
      <c r="E31" s="29"/>
      <c r="F31" s="29"/>
      <c r="G31" s="28"/>
      <c r="H31" s="28"/>
      <c r="I31" s="28"/>
      <c r="J31" s="28"/>
      <c r="K31" s="28"/>
      <c r="L31" s="26"/>
      <c r="M31" s="26"/>
      <c r="N31" s="26"/>
      <c r="O31" s="28"/>
    </row>
    <row r="32" spans="1:21" s="37" customFormat="1" x14ac:dyDescent="0.3">
      <c r="A32" s="88" t="s">
        <v>104</v>
      </c>
      <c r="B32" s="89"/>
      <c r="C32" s="89"/>
      <c r="D32" s="89"/>
      <c r="E32" s="89"/>
      <c r="F32" s="89"/>
      <c r="G32" s="89"/>
      <c r="K32" s="90"/>
      <c r="L32" s="91"/>
      <c r="M32" s="91"/>
      <c r="N32" s="91"/>
      <c r="O32" s="91"/>
      <c r="P32" s="91"/>
      <c r="Q32" s="91"/>
      <c r="R32" s="91"/>
      <c r="S32" s="91"/>
      <c r="T32" s="91"/>
      <c r="U32" s="91"/>
    </row>
    <row r="33" spans="1:20" s="37" customFormat="1" x14ac:dyDescent="0.3">
      <c r="A33" s="37" t="s">
        <v>105</v>
      </c>
      <c r="B33" s="92"/>
      <c r="D33" s="93"/>
      <c r="E33" s="93"/>
      <c r="F33" s="93"/>
      <c r="G33" s="38"/>
    </row>
    <row r="35" spans="1:20" s="37" customFormat="1" x14ac:dyDescent="0.3">
      <c r="A35" s="37" t="s">
        <v>133</v>
      </c>
      <c r="B35" s="92"/>
    </row>
    <row r="37" spans="1:20" x14ac:dyDescent="0.3">
      <c r="A37" s="23" t="s">
        <v>88</v>
      </c>
      <c r="B37" s="1"/>
      <c r="C37" s="3"/>
      <c r="D37" s="4"/>
      <c r="E37" s="4"/>
      <c r="F37" s="4"/>
    </row>
    <row r="38" spans="1:20" x14ac:dyDescent="0.3">
      <c r="A38" s="23" t="s">
        <v>1</v>
      </c>
      <c r="B38" s="1"/>
      <c r="C38" s="24">
        <v>12</v>
      </c>
      <c r="D38" s="4"/>
      <c r="E38" s="4"/>
      <c r="F38" s="4"/>
      <c r="G38" s="12"/>
    </row>
    <row r="41" spans="1:20" x14ac:dyDescent="0.3">
      <c r="A41" s="1" t="s">
        <v>2</v>
      </c>
    </row>
    <row r="42" spans="1:20" s="25" customFormat="1" ht="44.15" customHeight="1" x14ac:dyDescent="0.3">
      <c r="A42" s="60"/>
      <c r="B42" s="61"/>
      <c r="C42" s="62"/>
      <c r="D42" s="118" t="s">
        <v>97</v>
      </c>
      <c r="E42" s="118"/>
      <c r="F42" s="118"/>
      <c r="G42" s="119" t="s">
        <v>5</v>
      </c>
      <c r="H42" s="119"/>
      <c r="I42" s="119" t="s">
        <v>6</v>
      </c>
      <c r="J42" s="119"/>
      <c r="K42" s="119" t="s">
        <v>7</v>
      </c>
      <c r="L42" s="119"/>
      <c r="M42" s="119" t="s">
        <v>103</v>
      </c>
      <c r="N42" s="119"/>
      <c r="O42" s="119" t="s">
        <v>108</v>
      </c>
      <c r="P42" s="119"/>
      <c r="Q42" s="119" t="s">
        <v>8</v>
      </c>
      <c r="R42" s="119"/>
      <c r="S42" s="119" t="s">
        <v>9</v>
      </c>
      <c r="T42" s="119"/>
    </row>
    <row r="43" spans="1:20" s="25" customFormat="1" ht="42" x14ac:dyDescent="0.3">
      <c r="A43" s="120"/>
      <c r="B43" s="121"/>
      <c r="C43" s="121"/>
      <c r="D43" s="32" t="s">
        <v>82</v>
      </c>
      <c r="E43" s="32" t="s">
        <v>83</v>
      </c>
      <c r="F43" s="32" t="s">
        <v>84</v>
      </c>
      <c r="G43" s="33" t="s">
        <v>101</v>
      </c>
      <c r="H43" s="33" t="s">
        <v>100</v>
      </c>
      <c r="I43" s="33" t="s">
        <v>101</v>
      </c>
      <c r="J43" s="33" t="s">
        <v>100</v>
      </c>
      <c r="K43" s="33" t="s">
        <v>101</v>
      </c>
      <c r="L43" s="33" t="s">
        <v>100</v>
      </c>
      <c r="M43" s="33" t="s">
        <v>101</v>
      </c>
      <c r="N43" s="33" t="s">
        <v>100</v>
      </c>
      <c r="O43" s="33" t="s">
        <v>101</v>
      </c>
      <c r="P43" s="33" t="s">
        <v>100</v>
      </c>
      <c r="Q43" s="33" t="s">
        <v>101</v>
      </c>
      <c r="R43" s="33" t="s">
        <v>100</v>
      </c>
      <c r="S43" s="33" t="s">
        <v>101</v>
      </c>
      <c r="T43" s="33" t="s">
        <v>100</v>
      </c>
    </row>
    <row r="44" spans="1:20" s="31" customFormat="1" x14ac:dyDescent="0.3">
      <c r="A44" s="32" t="s">
        <v>3</v>
      </c>
      <c r="B44" s="122"/>
      <c r="C44" s="32" t="s">
        <v>4</v>
      </c>
      <c r="D44" s="32" t="s">
        <v>85</v>
      </c>
      <c r="E44" s="32" t="s">
        <v>66</v>
      </c>
      <c r="F44" s="34" t="str">
        <f>"(C)"</f>
        <v>(C)</v>
      </c>
      <c r="G44" s="33" t="s">
        <v>86</v>
      </c>
      <c r="H44" s="54" t="s">
        <v>87</v>
      </c>
      <c r="I44" s="33" t="s">
        <v>114</v>
      </c>
      <c r="J44" s="33" t="s">
        <v>121</v>
      </c>
      <c r="K44" s="33" t="s">
        <v>122</v>
      </c>
      <c r="L44" s="33" t="s">
        <v>123</v>
      </c>
      <c r="M44" s="33" t="s">
        <v>95</v>
      </c>
      <c r="N44" s="33" t="s">
        <v>102</v>
      </c>
      <c r="O44" s="33" t="s">
        <v>106</v>
      </c>
      <c r="P44" s="33" t="s">
        <v>107</v>
      </c>
      <c r="Q44" s="33" t="s">
        <v>109</v>
      </c>
      <c r="R44" s="33" t="s">
        <v>110</v>
      </c>
      <c r="S44" s="33" t="s">
        <v>111</v>
      </c>
      <c r="T44" s="33" t="s">
        <v>112</v>
      </c>
    </row>
    <row r="45" spans="1:20" ht="13.5" customHeight="1" x14ac:dyDescent="0.3">
      <c r="A45" s="96" t="s">
        <v>10</v>
      </c>
      <c r="B45" s="97" t="s">
        <v>27</v>
      </c>
      <c r="C45" s="96" t="s">
        <v>11</v>
      </c>
      <c r="D45" s="98">
        <f>SUM(E45:F45)</f>
        <v>-267819.23784752242</v>
      </c>
      <c r="E45" s="103"/>
      <c r="F45" s="98">
        <f>HLOOKUP(B45,'[4]VA Rider'!$F$42:$R$57,16,FALSE)</f>
        <v>-267819.23784752242</v>
      </c>
      <c r="G45" s="98"/>
      <c r="H45" s="98">
        <f>HLOOKUP(B45,'[4]VA Rider'!$5:$9,5,FALSE)</f>
        <v>277895441.32611489</v>
      </c>
      <c r="I45" s="123"/>
      <c r="J45" s="124">
        <f t="shared" ref="J45:J59" si="8">F45/H45*(12/$C$38)</f>
        <v>-9.6374102637125354E-4</v>
      </c>
      <c r="K45" s="104"/>
      <c r="L45" s="104">
        <f>H45*($C$38/12)</f>
        <v>277895441.32611489</v>
      </c>
      <c r="M45" s="96"/>
      <c r="N45" s="125">
        <f>VLOOKUP(B45,[1]Summary!$A$55:$AB$67,28,FALSE)</f>
        <v>99324831.103181943</v>
      </c>
      <c r="O45" s="121"/>
      <c r="P45" s="109">
        <f>L45-N45</f>
        <v>178570610.22293293</v>
      </c>
      <c r="Q45" s="121"/>
      <c r="R45" s="125">
        <f>J45*P45</f>
        <v>-172095.82317599046</v>
      </c>
      <c r="S45" s="121"/>
      <c r="T45" s="126">
        <f>R45/F45</f>
        <v>0.64258200627831596</v>
      </c>
    </row>
    <row r="46" spans="1:20" x14ac:dyDescent="0.3">
      <c r="A46" s="96" t="s">
        <v>13</v>
      </c>
      <c r="B46" s="97" t="s">
        <v>28</v>
      </c>
      <c r="C46" s="96" t="s">
        <v>11</v>
      </c>
      <c r="D46" s="98">
        <f t="shared" ref="D46:D59" si="9">SUM(E46:F46)</f>
        <v>-550556.82377803815</v>
      </c>
      <c r="E46" s="103"/>
      <c r="F46" s="98">
        <f>HLOOKUP(B46,'[4]VA Rider'!$F$42:$R$57,16,FALSE)</f>
        <v>-550556.82377803815</v>
      </c>
      <c r="G46" s="98"/>
      <c r="H46" s="98">
        <f>HLOOKUP(B46,'[4]VA Rider'!$5:$9,5,FALSE)</f>
        <v>571270505.98959553</v>
      </c>
      <c r="I46" s="123"/>
      <c r="J46" s="124">
        <f t="shared" si="8"/>
        <v>-9.6374102637125354E-4</v>
      </c>
      <c r="K46" s="104"/>
      <c r="L46" s="104">
        <f t="shared" ref="L46:L59" si="10">H46*($C$38/12)</f>
        <v>571270505.98959553</v>
      </c>
      <c r="M46" s="96"/>
      <c r="N46" s="125">
        <f>VLOOKUP(B46,[1]Summary!$A$55:$AB$67,28,FALSE)</f>
        <v>193745390.86837992</v>
      </c>
      <c r="O46" s="96" t="s">
        <v>12</v>
      </c>
      <c r="P46" s="109">
        <f t="shared" ref="P46:P59" si="11">L46-N46</f>
        <v>377525115.12121558</v>
      </c>
      <c r="Q46" s="96" t="s">
        <v>12</v>
      </c>
      <c r="R46" s="125">
        <f t="shared" ref="R46:R59" si="12">J46*P46</f>
        <v>-363836.44192784594</v>
      </c>
      <c r="S46" s="96" t="s">
        <v>12</v>
      </c>
      <c r="T46" s="126">
        <f t="shared" ref="T46:T59" si="13">R46/F46</f>
        <v>0.6608517526512937</v>
      </c>
    </row>
    <row r="47" spans="1:20" x14ac:dyDescent="0.3">
      <c r="A47" s="96" t="s">
        <v>14</v>
      </c>
      <c r="B47" s="97" t="s">
        <v>29</v>
      </c>
      <c r="C47" s="96" t="s">
        <v>11</v>
      </c>
      <c r="D47" s="98">
        <f t="shared" si="9"/>
        <v>-514506.52575938537</v>
      </c>
      <c r="E47" s="103"/>
      <c r="F47" s="98">
        <f>HLOOKUP(B47,'[4]VA Rider'!$F$42:$R$57,16,FALSE)</f>
        <v>-514506.52575938537</v>
      </c>
      <c r="G47" s="98"/>
      <c r="H47" s="98">
        <f>HLOOKUP(B47,'[4]VA Rider'!$5:$9,5,FALSE)</f>
        <v>533863882.18486661</v>
      </c>
      <c r="I47" s="123"/>
      <c r="J47" s="124">
        <f t="shared" si="8"/>
        <v>-9.6374102637125365E-4</v>
      </c>
      <c r="K47" s="104"/>
      <c r="L47" s="104">
        <f t="shared" si="10"/>
        <v>533863882.18486661</v>
      </c>
      <c r="M47" s="96"/>
      <c r="N47" s="125">
        <f>VLOOKUP(B47,[1]Summary!$A$55:$AB$67,28,FALSE)</f>
        <v>281605244.35338557</v>
      </c>
      <c r="O47" s="96" t="s">
        <v>12</v>
      </c>
      <c r="P47" s="109">
        <f t="shared" si="11"/>
        <v>252258637.83148104</v>
      </c>
      <c r="Q47" s="96" t="s">
        <v>12</v>
      </c>
      <c r="R47" s="125">
        <f t="shared" si="12"/>
        <v>-243111.99853472589</v>
      </c>
      <c r="S47" s="96" t="s">
        <v>12</v>
      </c>
      <c r="T47" s="126">
        <f t="shared" si="13"/>
        <v>0.47251489799066199</v>
      </c>
    </row>
    <row r="48" spans="1:20" x14ac:dyDescent="0.3">
      <c r="A48" s="96" t="s">
        <v>15</v>
      </c>
      <c r="B48" s="97" t="s">
        <v>30</v>
      </c>
      <c r="C48" s="96" t="s">
        <v>11</v>
      </c>
      <c r="D48" s="98">
        <f t="shared" si="9"/>
        <v>-16395.269188859922</v>
      </c>
      <c r="E48" s="103"/>
      <c r="F48" s="98">
        <f>HLOOKUP(B48,'[4]VA Rider'!$F$42:$R$57,16,FALSE)</f>
        <v>-16395.269188859922</v>
      </c>
      <c r="G48" s="98"/>
      <c r="H48" s="98">
        <f>HLOOKUP(B48,'[4]VA Rider'!$5:$9,5,FALSE)</f>
        <v>17012110.86819927</v>
      </c>
      <c r="I48" s="123"/>
      <c r="J48" s="124">
        <f t="shared" si="8"/>
        <v>-9.6374102637125354E-4</v>
      </c>
      <c r="K48" s="104"/>
      <c r="L48" s="104">
        <f t="shared" si="10"/>
        <v>17012110.86819927</v>
      </c>
      <c r="M48" s="96"/>
      <c r="N48" s="125">
        <f>VLOOKUP(B48,[1]Summary!$A$55:$AB$67,28,FALSE)</f>
        <v>6849100.2749636024</v>
      </c>
      <c r="O48" s="96" t="s">
        <v>12</v>
      </c>
      <c r="P48" s="109">
        <f t="shared" si="11"/>
        <v>10163010.593235668</v>
      </c>
      <c r="Q48" s="96" t="s">
        <v>12</v>
      </c>
      <c r="R48" s="125">
        <f t="shared" si="12"/>
        <v>-9794.5102601468643</v>
      </c>
      <c r="S48" s="96" t="s">
        <v>12</v>
      </c>
      <c r="T48" s="126">
        <f t="shared" si="13"/>
        <v>0.59739856341010433</v>
      </c>
    </row>
    <row r="49" spans="1:21" hidden="1" x14ac:dyDescent="0.3">
      <c r="A49" s="96" t="s">
        <v>16</v>
      </c>
      <c r="B49" s="97"/>
      <c r="C49" s="96"/>
      <c r="D49" s="98"/>
      <c r="E49" s="103"/>
      <c r="F49" s="98"/>
      <c r="G49" s="98"/>
      <c r="H49" s="98"/>
      <c r="I49" s="123"/>
      <c r="J49" s="124"/>
      <c r="K49" s="104"/>
      <c r="L49" s="104"/>
      <c r="M49" s="96"/>
      <c r="N49" s="125"/>
      <c r="O49" s="96" t="s">
        <v>12</v>
      </c>
      <c r="P49" s="109"/>
      <c r="Q49" s="96" t="s">
        <v>12</v>
      </c>
      <c r="R49" s="125"/>
      <c r="S49" s="96" t="s">
        <v>12</v>
      </c>
      <c r="T49" s="126"/>
    </row>
    <row r="50" spans="1:21" hidden="1" x14ac:dyDescent="0.3">
      <c r="A50" s="96" t="s">
        <v>16</v>
      </c>
      <c r="B50" s="97"/>
      <c r="C50" s="96"/>
      <c r="D50" s="98"/>
      <c r="E50" s="103"/>
      <c r="F50" s="98"/>
      <c r="G50" s="98"/>
      <c r="H50" s="98"/>
      <c r="I50" s="123"/>
      <c r="J50" s="124"/>
      <c r="K50" s="104"/>
      <c r="L50" s="104"/>
      <c r="M50" s="96"/>
      <c r="N50" s="125"/>
      <c r="O50" s="96" t="s">
        <v>12</v>
      </c>
      <c r="P50" s="109"/>
      <c r="Q50" s="96" t="s">
        <v>12</v>
      </c>
      <c r="R50" s="125"/>
      <c r="S50" s="96" t="s">
        <v>12</v>
      </c>
      <c r="T50" s="126"/>
    </row>
    <row r="51" spans="1:21" x14ac:dyDescent="0.3">
      <c r="A51" s="96" t="s">
        <v>17</v>
      </c>
      <c r="B51" s="97" t="s">
        <v>33</v>
      </c>
      <c r="C51" s="96" t="s">
        <v>11</v>
      </c>
      <c r="D51" s="98">
        <f t="shared" si="9"/>
        <v>-136559.28910720526</v>
      </c>
      <c r="E51" s="103"/>
      <c r="F51" s="98">
        <f>HLOOKUP(B51,'[4]VA Rider'!$F$42:$R$57,16,FALSE)</f>
        <v>-136559.28910720526</v>
      </c>
      <c r="G51" s="98"/>
      <c r="H51" s="98">
        <f>HLOOKUP(B51,'[4]VA Rider'!$5:$9,5,FALSE)</f>
        <v>141697079.78645262</v>
      </c>
      <c r="I51" s="123"/>
      <c r="J51" s="124">
        <f t="shared" si="8"/>
        <v>-9.6374102637125354E-4</v>
      </c>
      <c r="K51" s="104"/>
      <c r="L51" s="104">
        <f t="shared" si="10"/>
        <v>141697079.78645262</v>
      </c>
      <c r="M51" s="96"/>
      <c r="N51" s="125">
        <f>VLOOKUP(B51,[1]Summary!$A$55:$AB$67,28,FALSE)</f>
        <v>129457284.82635926</v>
      </c>
      <c r="O51" s="96" t="s">
        <v>12</v>
      </c>
      <c r="P51" s="109">
        <f t="shared" si="11"/>
        <v>12239794.960093364</v>
      </c>
      <c r="Q51" s="96" t="s">
        <v>12</v>
      </c>
      <c r="R51" s="125">
        <f t="shared" si="12"/>
        <v>-11795.992557414074</v>
      </c>
      <c r="S51" s="96" t="s">
        <v>12</v>
      </c>
      <c r="T51" s="126">
        <f t="shared" si="13"/>
        <v>8.638000852621372E-2</v>
      </c>
    </row>
    <row r="52" spans="1:21" x14ac:dyDescent="0.3">
      <c r="A52" s="96" t="s">
        <v>18</v>
      </c>
      <c r="B52" s="97" t="s">
        <v>31</v>
      </c>
      <c r="C52" s="96" t="s">
        <v>11</v>
      </c>
      <c r="D52" s="98">
        <f t="shared" si="9"/>
        <v>-444536.66166513955</v>
      </c>
      <c r="E52" s="103"/>
      <c r="F52" s="98">
        <f>HLOOKUP(B52,'[4]VA Rider'!$F$42:$R$57,16,FALSE)</f>
        <v>-444536.66166513955</v>
      </c>
      <c r="G52" s="98"/>
      <c r="H52" s="98">
        <f>HLOOKUP(B52,'[4]VA Rider'!$5:$9,5,FALSE)</f>
        <v>461261531.36692816</v>
      </c>
      <c r="I52" s="123"/>
      <c r="J52" s="124">
        <f t="shared" si="8"/>
        <v>-9.6374102637125365E-4</v>
      </c>
      <c r="K52" s="104"/>
      <c r="L52" s="104">
        <f t="shared" si="10"/>
        <v>461261531.36692816</v>
      </c>
      <c r="M52" s="96"/>
      <c r="N52" s="125">
        <f>VLOOKUP(B52,[1]Summary!$A$55:$AB$67,28,FALSE)</f>
        <v>465245865.86749345</v>
      </c>
      <c r="O52" s="96" t="s">
        <v>12</v>
      </c>
      <c r="P52" s="109">
        <f t="shared" si="11"/>
        <v>-3984334.5005652905</v>
      </c>
      <c r="Q52" s="96" t="s">
        <v>12</v>
      </c>
      <c r="R52" s="125">
        <f t="shared" si="12"/>
        <v>3839.8666209811895</v>
      </c>
      <c r="S52" s="96" t="s">
        <v>12</v>
      </c>
      <c r="T52" s="126">
        <f t="shared" si="13"/>
        <v>-8.6379076285808872E-3</v>
      </c>
    </row>
    <row r="53" spans="1:21" x14ac:dyDescent="0.3">
      <c r="A53" s="96" t="s">
        <v>19</v>
      </c>
      <c r="B53" s="97" t="s">
        <v>34</v>
      </c>
      <c r="C53" s="96" t="s">
        <v>40</v>
      </c>
      <c r="D53" s="98">
        <f t="shared" si="9"/>
        <v>-997023.65484371909</v>
      </c>
      <c r="E53" s="103"/>
      <c r="F53" s="98">
        <f>HLOOKUP(B53,'[4]VA Rider'!$F$42:$R$57,16,FALSE)</f>
        <v>-997023.65484371909</v>
      </c>
      <c r="G53" s="98"/>
      <c r="H53" s="98">
        <f>HLOOKUP(B53,'[4]VA Rider'!$5:$9,5,FALSE)</f>
        <v>1034534825.810813</v>
      </c>
      <c r="I53" s="123"/>
      <c r="J53" s="124">
        <f t="shared" si="8"/>
        <v>-9.6374102637125376E-4</v>
      </c>
      <c r="K53" s="104"/>
      <c r="L53" s="104">
        <f t="shared" si="10"/>
        <v>1034534825.810813</v>
      </c>
      <c r="M53" s="96"/>
      <c r="N53" s="125">
        <f>VLOOKUP(B53,[1]Summary!$A$55:$AB$67,28,FALSE)</f>
        <v>902206205.12623835</v>
      </c>
      <c r="O53" s="96" t="s">
        <v>12</v>
      </c>
      <c r="P53" s="109">
        <f t="shared" si="11"/>
        <v>132328620.6845746</v>
      </c>
      <c r="Q53" s="96" t="s">
        <v>12</v>
      </c>
      <c r="R53" s="125">
        <f t="shared" si="12"/>
        <v>-127530.52071684424</v>
      </c>
      <c r="S53" s="96" t="s">
        <v>12</v>
      </c>
      <c r="T53" s="126">
        <f t="shared" si="13"/>
        <v>0.12791122868276814</v>
      </c>
    </row>
    <row r="54" spans="1:21" x14ac:dyDescent="0.3">
      <c r="A54" s="96" t="s">
        <v>20</v>
      </c>
      <c r="B54" s="97" t="s">
        <v>32</v>
      </c>
      <c r="C54" s="96" t="s">
        <v>40</v>
      </c>
      <c r="D54" s="98">
        <f t="shared" si="9"/>
        <v>-2197058.9542126586</v>
      </c>
      <c r="E54" s="103"/>
      <c r="F54" s="98">
        <f>HLOOKUP(B54,'[4]VA Rider'!$F$42:$R$57,16,FALSE)</f>
        <v>-2197058.9542126586</v>
      </c>
      <c r="G54" s="98"/>
      <c r="H54" s="98">
        <f>HLOOKUP(B54,'[4]VA Rider'!$5:$9,5,FALSE)</f>
        <v>2279719233.791656</v>
      </c>
      <c r="I54" s="123"/>
      <c r="J54" s="124">
        <f t="shared" si="8"/>
        <v>-9.6374102637125365E-4</v>
      </c>
      <c r="K54" s="104"/>
      <c r="L54" s="104">
        <f t="shared" si="10"/>
        <v>2279719233.791656</v>
      </c>
      <c r="M54" s="96"/>
      <c r="N54" s="125">
        <f>VLOOKUP(B54,[1]Summary!$A$55:$AB$67,28,FALSE)</f>
        <v>2275867638.8077478</v>
      </c>
      <c r="O54" s="96" t="s">
        <v>12</v>
      </c>
      <c r="P54" s="109">
        <f t="shared" si="11"/>
        <v>3851594.9839081764</v>
      </c>
      <c r="Q54" s="96" t="s">
        <v>12</v>
      </c>
      <c r="R54" s="125">
        <f t="shared" si="12"/>
        <v>-3711.9401029580381</v>
      </c>
      <c r="S54" s="96" t="s">
        <v>12</v>
      </c>
      <c r="T54" s="126">
        <f t="shared" si="13"/>
        <v>1.689504096301437E-3</v>
      </c>
    </row>
    <row r="55" spans="1:21" x14ac:dyDescent="0.3">
      <c r="A55" s="96" t="s">
        <v>21</v>
      </c>
      <c r="B55" s="97" t="s">
        <v>38</v>
      </c>
      <c r="C55" s="96" t="s">
        <v>40</v>
      </c>
      <c r="D55" s="98">
        <f t="shared" si="9"/>
        <v>-23751.553619014459</v>
      </c>
      <c r="E55" s="103"/>
      <c r="F55" s="98">
        <f>HLOOKUP(B55,'[4]VA Rider'!$F$42:$R$57,16,FALSE)</f>
        <v>-23751.553619014459</v>
      </c>
      <c r="G55" s="98"/>
      <c r="H55" s="98">
        <f>HLOOKUP(B55,'[4]VA Rider'!$5:$9,5,FALSE)</f>
        <v>24645161.894212909</v>
      </c>
      <c r="I55" s="123"/>
      <c r="J55" s="124">
        <f t="shared" si="8"/>
        <v>-9.6374102637125365E-4</v>
      </c>
      <c r="K55" s="104"/>
      <c r="L55" s="104">
        <f t="shared" si="10"/>
        <v>24645161.894212909</v>
      </c>
      <c r="M55" s="96"/>
      <c r="N55" s="125">
        <f>VLOOKUP(B55,[1]Summary!$A$55:$AB$67,28,FALSE)</f>
        <v>27564156.527834442</v>
      </c>
      <c r="O55" s="96" t="s">
        <v>12</v>
      </c>
      <c r="P55" s="109">
        <f t="shared" si="11"/>
        <v>-2918994.6336215325</v>
      </c>
      <c r="Q55" s="96" t="s">
        <v>12</v>
      </c>
      <c r="R55" s="125">
        <f t="shared" si="12"/>
        <v>2813.1548841785971</v>
      </c>
      <c r="S55" s="96" t="s">
        <v>12</v>
      </c>
      <c r="T55" s="126">
        <f t="shared" si="13"/>
        <v>-0.11844087882851199</v>
      </c>
    </row>
    <row r="56" spans="1:21" x14ac:dyDescent="0.3">
      <c r="A56" s="96" t="s">
        <v>22</v>
      </c>
      <c r="B56" s="97" t="s">
        <v>39</v>
      </c>
      <c r="C56" s="96" t="s">
        <v>40</v>
      </c>
      <c r="D56" s="98">
        <f t="shared" si="9"/>
        <v>-2370244.6572236265</v>
      </c>
      <c r="E56" s="103"/>
      <c r="F56" s="98">
        <f>HLOOKUP(B56,'[4]VA Rider'!$F$42:$R$57,16,FALSE)</f>
        <v>-2370244.6572236265</v>
      </c>
      <c r="G56" s="98"/>
      <c r="H56" s="98">
        <f>HLOOKUP(B56,'[4]VA Rider'!$5:$9,5,FALSE)</f>
        <v>2459420728.5625687</v>
      </c>
      <c r="I56" s="123"/>
      <c r="J56" s="124">
        <f t="shared" si="8"/>
        <v>-9.6374102637125376E-4</v>
      </c>
      <c r="K56" s="104"/>
      <c r="L56" s="104">
        <f t="shared" si="10"/>
        <v>2459420728.5625687</v>
      </c>
      <c r="M56" s="96"/>
      <c r="N56" s="125">
        <f>VLOOKUP(B56,[1]Summary!$A$55:$AB$67,28,FALSE)</f>
        <v>1799278403.9538805</v>
      </c>
      <c r="O56" s="96" t="s">
        <v>12</v>
      </c>
      <c r="P56" s="109">
        <f t="shared" si="11"/>
        <v>660142324.60868812</v>
      </c>
      <c r="Q56" s="96" t="s">
        <v>12</v>
      </c>
      <c r="R56" s="125">
        <f t="shared" si="12"/>
        <v>-636206.24146948243</v>
      </c>
      <c r="S56" s="96" t="s">
        <v>12</v>
      </c>
      <c r="T56" s="126">
        <f t="shared" si="13"/>
        <v>0.26841374350557518</v>
      </c>
    </row>
    <row r="57" spans="1:21" x14ac:dyDescent="0.3">
      <c r="A57" s="96" t="s">
        <v>23</v>
      </c>
      <c r="B57" s="97" t="s">
        <v>37</v>
      </c>
      <c r="C57" s="96" t="s">
        <v>11</v>
      </c>
      <c r="D57" s="98">
        <f t="shared" si="9"/>
        <v>-1545.6782181182277</v>
      </c>
      <c r="E57" s="103"/>
      <c r="F57" s="98">
        <f>HLOOKUP(B57,'[4]VA Rider'!$F$42:$R$57,16,FALSE)</f>
        <v>-1545.6782181182277</v>
      </c>
      <c r="G57" s="98"/>
      <c r="H57" s="98">
        <f>HLOOKUP(B57,'[4]VA Rider'!$5:$9,5,FALSE)</f>
        <v>1603831.5022637621</v>
      </c>
      <c r="I57" s="123"/>
      <c r="J57" s="124">
        <f t="shared" si="8"/>
        <v>-9.6374102637125365E-4</v>
      </c>
      <c r="K57" s="104"/>
      <c r="L57" s="104">
        <f t="shared" si="10"/>
        <v>1603831.5022637621</v>
      </c>
      <c r="M57" s="96"/>
      <c r="N57" s="125">
        <f>VLOOKUP(B57,[1]Summary!$A$55:$AB$67,28,FALSE)</f>
        <v>1820131.6676064965</v>
      </c>
      <c r="O57" s="96" t="s">
        <v>12</v>
      </c>
      <c r="P57" s="109">
        <f t="shared" si="11"/>
        <v>-216300.16534273443</v>
      </c>
      <c r="Q57" s="96" t="s">
        <v>12</v>
      </c>
      <c r="R57" s="125">
        <f t="shared" si="12"/>
        <v>208.45734335167876</v>
      </c>
      <c r="S57" s="96" t="s">
        <v>12</v>
      </c>
      <c r="T57" s="126">
        <f t="shared" si="13"/>
        <v>-0.13486464447009114</v>
      </c>
    </row>
    <row r="58" spans="1:21" x14ac:dyDescent="0.3">
      <c r="A58" s="96" t="s">
        <v>24</v>
      </c>
      <c r="B58" s="97" t="s">
        <v>35</v>
      </c>
      <c r="C58" s="96" t="s">
        <v>11</v>
      </c>
      <c r="D58" s="98">
        <f t="shared" si="9"/>
        <v>-59978.390699094307</v>
      </c>
      <c r="E58" s="103"/>
      <c r="F58" s="98">
        <f>HLOOKUP(B58,'[4]VA Rider'!$F$42:$R$57,16,FALSE)</f>
        <v>-59978.390699094307</v>
      </c>
      <c r="G58" s="98"/>
      <c r="H58" s="98">
        <f>HLOOKUP(B58,'[4]VA Rider'!$5:$9,5,FALSE)</f>
        <v>62234966.716036998</v>
      </c>
      <c r="I58" s="123"/>
      <c r="J58" s="124">
        <f t="shared" si="8"/>
        <v>-9.6374102637125365E-4</v>
      </c>
      <c r="K58" s="104"/>
      <c r="L58" s="104">
        <f t="shared" si="10"/>
        <v>62234966.716036998</v>
      </c>
      <c r="M58" s="96"/>
      <c r="N58" s="125">
        <f>VLOOKUP(B58,[1]Summary!$A$55:$AB$67,28,FALSE)</f>
        <v>47466902.15303164</v>
      </c>
      <c r="O58" s="96" t="s">
        <v>12</v>
      </c>
      <c r="P58" s="109">
        <f t="shared" si="11"/>
        <v>14768064.563005358</v>
      </c>
      <c r="Q58" s="96" t="s">
        <v>12</v>
      </c>
      <c r="R58" s="125">
        <f t="shared" si="12"/>
        <v>-14232.589699467724</v>
      </c>
      <c r="S58" s="96" t="s">
        <v>12</v>
      </c>
      <c r="T58" s="126">
        <f t="shared" si="13"/>
        <v>0.23729529141372313</v>
      </c>
    </row>
    <row r="59" spans="1:21" x14ac:dyDescent="0.3">
      <c r="A59" s="96" t="s">
        <v>25</v>
      </c>
      <c r="B59" s="97" t="s">
        <v>36</v>
      </c>
      <c r="C59" s="96" t="s">
        <v>11</v>
      </c>
      <c r="D59" s="98">
        <f t="shared" si="9"/>
        <v>-3399.6239408730435</v>
      </c>
      <c r="E59" s="103"/>
      <c r="F59" s="98">
        <f>HLOOKUP(B59,'[4]VA Rider'!$F$42:$R$57,16,FALSE)</f>
        <v>-3399.6239408730435</v>
      </c>
      <c r="G59" s="98"/>
      <c r="H59" s="98">
        <f>HLOOKUP(B59,'[4]VA Rider'!$5:$9,5,FALSE)</f>
        <v>3527528.5038694986</v>
      </c>
      <c r="I59" s="123"/>
      <c r="J59" s="124">
        <f t="shared" si="8"/>
        <v>-9.6374102637125365E-4</v>
      </c>
      <c r="K59" s="104"/>
      <c r="L59" s="104">
        <f t="shared" si="10"/>
        <v>3527528.5038694986</v>
      </c>
      <c r="M59" s="96"/>
      <c r="N59" s="125">
        <f>VLOOKUP(B59,[1]Summary!$A$55:$AB$67,28,FALSE)</f>
        <v>1305742.9287890976</v>
      </c>
      <c r="O59" s="96" t="s">
        <v>12</v>
      </c>
      <c r="P59" s="109">
        <f t="shared" si="11"/>
        <v>2221785.5750804013</v>
      </c>
      <c r="Q59" s="96" t="s">
        <v>12</v>
      </c>
      <c r="R59" s="125">
        <f t="shared" si="12"/>
        <v>-2141.225910504832</v>
      </c>
      <c r="S59" s="96" t="s">
        <v>12</v>
      </c>
      <c r="T59" s="126">
        <f t="shared" si="13"/>
        <v>0.62984199068646174</v>
      </c>
    </row>
    <row r="60" spans="1:21" x14ac:dyDescent="0.3">
      <c r="A60" s="96" t="s">
        <v>26</v>
      </c>
      <c r="B60" s="102"/>
      <c r="C60" s="96"/>
      <c r="D60" s="96"/>
      <c r="E60" s="103"/>
      <c r="F60" s="103"/>
      <c r="G60" s="98"/>
      <c r="H60" s="96"/>
      <c r="I60" s="96"/>
      <c r="J60" s="96"/>
      <c r="K60" s="96"/>
      <c r="L60" s="96"/>
      <c r="M60" s="96" t="s">
        <v>12</v>
      </c>
      <c r="N60" s="96" t="s">
        <v>12</v>
      </c>
      <c r="O60" s="96"/>
      <c r="P60" s="96" t="s">
        <v>12</v>
      </c>
      <c r="Q60" s="96"/>
      <c r="R60" s="96"/>
      <c r="S60" s="96"/>
      <c r="T60" s="96"/>
    </row>
    <row r="61" spans="1:21" x14ac:dyDescent="0.3">
      <c r="A61" s="96" t="s">
        <v>67</v>
      </c>
      <c r="B61" s="96"/>
      <c r="C61" s="96"/>
      <c r="D61" s="104">
        <f>SUM(D45:D59)</f>
        <v>-7583376.3201032542</v>
      </c>
      <c r="E61" s="104"/>
      <c r="F61" s="104">
        <f t="shared" ref="F61" si="14">SUM(F45:F59)</f>
        <v>-7583376.3201032542</v>
      </c>
      <c r="G61" s="123"/>
      <c r="H61" s="104">
        <f>SUM(H45:H59)</f>
        <v>7868686828.3035774</v>
      </c>
      <c r="I61" s="123"/>
      <c r="J61" s="123"/>
      <c r="K61" s="123"/>
      <c r="L61" s="104">
        <f t="shared" ref="L61" si="15">SUM(L45:L59)</f>
        <v>7868686828.3035774</v>
      </c>
      <c r="M61" s="123"/>
      <c r="N61" s="98">
        <f>SUM(N45:N59)</f>
        <v>6231736898.4588919</v>
      </c>
      <c r="O61" s="123"/>
      <c r="P61" s="98">
        <f>SUM(P45:P59)</f>
        <v>1636949929.8446856</v>
      </c>
      <c r="Q61" s="96"/>
      <c r="R61" s="104">
        <f>SUM(R45:R59)</f>
        <v>-1577595.805506869</v>
      </c>
      <c r="S61" s="96"/>
      <c r="T61" s="96"/>
    </row>
    <row r="63" spans="1:21" s="37" customFormat="1" x14ac:dyDescent="0.3">
      <c r="A63" s="88" t="s">
        <v>104</v>
      </c>
      <c r="B63" s="89"/>
      <c r="C63" s="89"/>
      <c r="D63" s="89"/>
      <c r="E63" s="89"/>
      <c r="F63" s="89"/>
      <c r="G63" s="89"/>
      <c r="K63" s="90"/>
      <c r="L63" s="91"/>
      <c r="M63" s="91"/>
      <c r="N63" s="91"/>
      <c r="O63" s="91"/>
      <c r="P63" s="91"/>
      <c r="Q63" s="91"/>
      <c r="R63" s="91"/>
      <c r="S63" s="91"/>
      <c r="T63" s="91"/>
      <c r="U63" s="91"/>
    </row>
    <row r="64" spans="1:21" s="37" customFormat="1" x14ac:dyDescent="0.3">
      <c r="A64" s="37" t="s">
        <v>105</v>
      </c>
      <c r="B64" s="92"/>
      <c r="D64" s="93"/>
      <c r="E64" s="93"/>
      <c r="F64" s="93"/>
      <c r="G64"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EB-2020-0030</Case_x0020_Number_x002f_Docket_x0020_Number>
    <Issue_x0020_Date xmlns="f9175001-c430-4d57-adde-c1c10539e919">2020-08-14T04:00:00+00:00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Uri Akselrud</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667AE21F174C34409B8DD67BA2C7FAF8" ma:contentTypeVersion="30" ma:contentTypeDescription="Meta data that will be applied to all documents added to the proceeding document folder" ma:contentTypeScope="" ma:versionID="fe151179a90ab75710eb2c7ca7d0fcc0">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993af36980331d5f8daae2211ca73989"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Jeffrey Smith" ma:format="Dropdown" ma:internalName="RA_x0020_Contact">
      <xsd:simpleType>
        <xsd:union memberTypes="dms:Text">
          <xsd:simpleType>
            <xsd:restriction base="dms:Choice">
              <xsd:enumeration value="Jeffrey Smith"/>
              <xsd:enumeration value="Joanne Richardson"/>
              <xsd:enumeration value="Kathleen Burke"/>
              <xsd:enumeration value="Henry Andre"/>
              <xsd:enumeration value="Jason Savulak"/>
              <xsd:enumeration value="Carolyn Russell"/>
              <xsd:enumeration value="Stephen Vetsis"/>
              <xsd:enumeration value="Philip Po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261AE-5712-42DC-90A3-89A511E90F75}">
  <ds:schemaRefs>
    <ds:schemaRef ds:uri="http://schemas.microsoft.com/sharepoint/v3/contenttype/forms"/>
  </ds:schemaRefs>
</ds:datastoreItem>
</file>

<file path=customXml/itemProps2.xml><?xml version="1.0" encoding="utf-8"?>
<ds:datastoreItem xmlns:ds="http://schemas.openxmlformats.org/officeDocument/2006/customXml" ds:itemID="{BE85EBB2-22DF-4E95-AAFA-74CCBD0424F0}">
  <ds:schemaRefs>
    <ds:schemaRef ds:uri="ea909525-6dd5-47d7-9eed-71e77e5cedc6"/>
    <ds:schemaRef ds:uri="http://purl.org/dc/terms/"/>
    <ds:schemaRef ds:uri="http://purl.org/dc/dcmitype/"/>
    <ds:schemaRef ds:uri="http://schemas.microsoft.com/office/infopath/2007/PartnerControls"/>
    <ds:schemaRef ds:uri="http://schemas.microsoft.com/office/2006/documentManagement/types"/>
    <ds:schemaRef ds:uri="31a38067-a042-4e0e-9037-517587b10700"/>
    <ds:schemaRef ds:uri="http://purl.org/dc/elements/1.1/"/>
    <ds:schemaRef ds:uri="http://schemas.microsoft.com/office/2006/metadata/properties"/>
    <ds:schemaRef ds:uri="f9175001-c430-4d57-adde-c1c10539e919"/>
    <ds:schemaRef ds:uri="http://schemas.openxmlformats.org/package/2006/metadata/core-properties"/>
    <ds:schemaRef ds:uri="95f47813-6223-4a6f-8345-4f354f0b8e15"/>
    <ds:schemaRef ds:uri="f0af1d65-dfd0-4b99-b523-def3a954563f"/>
    <ds:schemaRef ds:uri="http://www.w3.org/XML/1998/namespace"/>
  </ds:schemaRefs>
</ds:datastoreItem>
</file>

<file path=customXml/itemProps3.xml><?xml version="1.0" encoding="utf-8"?>
<ds:datastoreItem xmlns:ds="http://schemas.openxmlformats.org/officeDocument/2006/customXml" ds:itemID="{26E1CA8F-3F5A-4C19-85BE-F9312280E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1595 (2015-2017)</vt:lpstr>
      <vt:lpstr>Step 3 (2015)</vt:lpstr>
      <vt:lpstr>Step 3 (2016)</vt:lpstr>
      <vt:lpstr>Step 3 (2017)</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 Susan</dc:creator>
  <cp:lastModifiedBy>MOLINA Carla</cp:lastModifiedBy>
  <dcterms:created xsi:type="dcterms:W3CDTF">2020-07-29T18:28:05Z</dcterms:created>
  <dcterms:modified xsi:type="dcterms:W3CDTF">2020-11-26T21:54:03Z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0x01010061EC7F66509FFD4DA0B1B261A86BE77300667AE21F174C34409B8DD67BA2C7FAF8</vt:lpwstr>
  </property>
</Properties>
</file>