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88" activeTab="3"/>
  </bookViews>
  <sheets>
    <sheet name="Projects Listings" sheetId="1" r:id="rId1"/>
    <sheet name="REI" sheetId="2" r:id="rId2"/>
    <sheet name="Expansion Projects" sheetId="3" r:id="rId3"/>
    <sheet name="YE Variance Accoun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EBNUMBER">'[1]LDC Info'!$E$16</definedName>
    <definedName name="_xlnm.Print_Area" localSheetId="2">'Expansion Projects'!$A$1:$R$65</definedName>
    <definedName name="_xlnm.Print_Area" localSheetId="1">'REI'!$A$8:$R$96</definedName>
    <definedName name="_xlnm.Print_Area" localSheetId="3">'YE Variance Account'!$K$1:$U$8</definedName>
  </definedNames>
  <calcPr fullCalcOnLoad="1"/>
</workbook>
</file>

<file path=xl/comments1.xml><?xml version="1.0" encoding="utf-8"?>
<comments xmlns="http://schemas.openxmlformats.org/spreadsheetml/2006/main">
  <authors>
    <author>Lori Filion</author>
  </authors>
  <commentList>
    <comment ref="E31" authorId="0">
      <text>
        <r>
          <rPr>
            <b/>
            <sz val="9"/>
            <rFont val="Tahoma"/>
            <family val="2"/>
          </rPr>
          <t>Lori Filion:</t>
        </r>
        <r>
          <rPr>
            <sz val="9"/>
            <rFont val="Tahoma"/>
            <family val="2"/>
          </rPr>
          <t xml:space="preserve">
Invoice adjustment 2019 booked here. Year in service.</t>
        </r>
      </text>
    </comment>
  </commentList>
</comments>
</file>

<file path=xl/comments2.xml><?xml version="1.0" encoding="utf-8"?>
<comments xmlns="http://schemas.openxmlformats.org/spreadsheetml/2006/main">
  <authors>
    <author>Lori Filion</author>
    <author>Christine Dade</author>
  </authors>
  <commentList>
    <comment ref="F78" authorId="0">
      <text>
        <r>
          <rPr>
            <b/>
            <sz val="8"/>
            <rFont val="Tahoma"/>
            <family val="2"/>
          </rPr>
          <t>Lori Filion:</t>
        </r>
        <r>
          <rPr>
            <sz val="8"/>
            <rFont val="Tahoma"/>
            <family val="2"/>
          </rPr>
          <t xml:space="preserve">
Depreciation to Dec 31, 2016 provided by Ann Henry.</t>
        </r>
      </text>
    </comment>
    <comment ref="S69" authorId="1">
      <text>
        <r>
          <rPr>
            <b/>
            <sz val="10"/>
            <rFont val="Tahoma"/>
            <family val="2"/>
          </rPr>
          <t>Christine Dade:</t>
        </r>
        <r>
          <rPr>
            <sz val="10"/>
            <rFont val="Tahoma"/>
            <family val="2"/>
          </rPr>
          <t xml:space="preserve">
Took table to 2028 to align with the next Cost of Service application for Elexicon
</t>
        </r>
        <r>
          <rPr>
            <sz val="9"/>
            <rFont val="Tahoma"/>
            <family val="2"/>
          </rPr>
          <t xml:space="preserve">
</t>
        </r>
      </text>
    </comment>
    <comment ref="AW18" authorId="1">
      <text>
        <r>
          <rPr>
            <b/>
            <sz val="9"/>
            <rFont val="Tahoma"/>
            <family val="2"/>
          </rPr>
          <t>C</t>
        </r>
        <r>
          <rPr>
            <b/>
            <sz val="10"/>
            <rFont val="Tahoma"/>
            <family val="2"/>
          </rPr>
          <t>hristine Dade:</t>
        </r>
        <r>
          <rPr>
            <sz val="10"/>
            <rFont val="Tahoma"/>
            <family val="2"/>
          </rPr>
          <t xml:space="preserve">
To calculation out to 2028 when Elexicon files for its Cost of Service</t>
        </r>
      </text>
    </comment>
  </commentList>
</comments>
</file>

<file path=xl/comments3.xml><?xml version="1.0" encoding="utf-8"?>
<comments xmlns="http://schemas.openxmlformats.org/spreadsheetml/2006/main">
  <authors>
    <author>Tracey Strong</author>
    <author>Lori Filion</author>
    <author>Christine Dade</author>
  </authors>
  <commentList>
    <comment ref="D76" authorId="0">
      <text>
        <r>
          <rPr>
            <b/>
            <sz val="8"/>
            <rFont val="Tahoma"/>
            <family val="2"/>
          </rPr>
          <t>Tracey Strong:</t>
        </r>
        <r>
          <rPr>
            <sz val="8"/>
            <rFont val="Tahoma"/>
            <family val="2"/>
          </rPr>
          <t xml:space="preserve">
from actual amortization schedule from Darlene</t>
        </r>
      </text>
    </comment>
    <comment ref="E76" authorId="1">
      <text>
        <r>
          <rPr>
            <b/>
            <sz val="8"/>
            <rFont val="Tahoma"/>
            <family val="2"/>
          </rPr>
          <t>Lori Filion:</t>
        </r>
        <r>
          <rPr>
            <sz val="8"/>
            <rFont val="Tahoma"/>
            <family val="2"/>
          </rPr>
          <t xml:space="preserve">
From actual depreciation received from Darlene.</t>
        </r>
      </text>
    </comment>
    <comment ref="E75" authorId="1">
      <text>
        <r>
          <rPr>
            <b/>
            <sz val="8"/>
            <rFont val="Tahoma"/>
            <family val="2"/>
          </rPr>
          <t>Lori Filion:</t>
        </r>
        <r>
          <rPr>
            <sz val="8"/>
            <rFont val="Tahoma"/>
            <family val="2"/>
          </rPr>
          <t xml:space="preserve">
Actual Depreciation</t>
        </r>
      </text>
    </comment>
    <comment ref="F75" authorId="1">
      <text>
        <r>
          <rPr>
            <b/>
            <sz val="8"/>
            <rFont val="Tahoma"/>
            <family val="2"/>
          </rPr>
          <t>Lori Filion:</t>
        </r>
        <r>
          <rPr>
            <sz val="8"/>
            <rFont val="Tahoma"/>
            <family val="2"/>
          </rPr>
          <t xml:space="preserve">
Actual Depreciation</t>
        </r>
      </text>
    </comment>
    <comment ref="N21" authorId="2">
      <text>
        <r>
          <rPr>
            <b/>
            <sz val="9"/>
            <rFont val="Tahoma"/>
            <family val="2"/>
          </rPr>
          <t>Christine Dade:</t>
        </r>
        <r>
          <rPr>
            <sz val="9"/>
            <rFont val="Tahoma"/>
            <family val="2"/>
          </rPr>
          <t xml:space="preserve">
</t>
        </r>
      </text>
    </comment>
    <comment ref="G75" authorId="2">
      <text>
        <r>
          <rPr>
            <b/>
            <sz val="9"/>
            <rFont val="Tahoma"/>
            <family val="2"/>
          </rPr>
          <t>Christine Dade:</t>
        </r>
        <r>
          <rPr>
            <sz val="9"/>
            <rFont val="Tahoma"/>
            <family val="2"/>
          </rPr>
          <t xml:space="preserve">
Depreciation remains the same for the following years
</t>
        </r>
      </text>
    </comment>
    <comment ref="S68" authorId="2">
      <text>
        <r>
          <rPr>
            <b/>
            <sz val="10"/>
            <rFont val="Tahoma"/>
            <family val="2"/>
          </rPr>
          <t>Christine Dade:</t>
        </r>
        <r>
          <rPr>
            <sz val="10"/>
            <rFont val="Tahoma"/>
            <family val="2"/>
          </rPr>
          <t xml:space="preserve">
Took calculation out to 2028 when the next Cost of Service is to be filed for Elexicon
</t>
        </r>
      </text>
    </comment>
  </commentList>
</comments>
</file>

<file path=xl/sharedStrings.xml><?xml version="1.0" encoding="utf-8"?>
<sst xmlns="http://schemas.openxmlformats.org/spreadsheetml/2006/main" count="400" uniqueCount="122">
  <si>
    <t>File Number:</t>
  </si>
  <si>
    <t>Exhibit:</t>
  </si>
  <si>
    <t>Tab:</t>
  </si>
  <si>
    <t>Schedule:</t>
  </si>
  <si>
    <t>Page:</t>
  </si>
  <si>
    <t>Date:</t>
  </si>
  <si>
    <t>Appendix 2-FA</t>
  </si>
  <si>
    <t>Renewable Generation Connection Investment Summary (over the rate setting period)</t>
  </si>
  <si>
    <t>Enter the details of the Renewable Generation Connection projects as described in Section 2.5.2.5 of the Filing Requirements.</t>
  </si>
  <si>
    <t>All costs entered on this page will be transferred to the appropriate cells in the appendices that follow.</t>
  </si>
  <si>
    <r>
      <rPr>
        <b/>
        <sz val="10"/>
        <rFont val="Arial"/>
        <family val="2"/>
      </rPr>
      <t>For Part A</t>
    </r>
    <r>
      <rPr>
        <sz val="10"/>
        <rFont val="Arial"/>
        <family val="2"/>
      </rPr>
      <t>, Renewable Enabling Improvements (REI), these amounts will be transferred to Appendix 2 - FB</t>
    </r>
  </si>
  <si>
    <r>
      <rPr>
        <b/>
        <sz val="10"/>
        <rFont val="Arial"/>
        <family val="2"/>
      </rPr>
      <t>For Part B</t>
    </r>
    <r>
      <rPr>
        <sz val="10"/>
        <rFont val="Arial"/>
        <family val="2"/>
      </rPr>
      <t>, Expansions, these amounts will be transferred to Appendix 2 - FC</t>
    </r>
  </si>
  <si>
    <r>
      <t xml:space="preserve">If there are more than </t>
    </r>
    <r>
      <rPr>
        <b/>
        <sz val="10"/>
        <rFont val="Arial"/>
        <family val="2"/>
      </rPr>
      <t>five</t>
    </r>
    <r>
      <rPr>
        <sz val="10"/>
        <rFont val="Arial"/>
        <family val="2"/>
      </rPr>
      <t xml:space="preserve"> projects proposed to be in-service in a certain year, please amend the tables below and ensure that the formulae for the Total Amounts in any given rate year are updated.</t>
    </r>
  </si>
  <si>
    <t>Based on the current methodology and allocation, amounts allocated represent 6% for REI Connection Investments and 17% for Expansion Investments. (pg 15, EB-2009-0349)</t>
  </si>
  <si>
    <t>Part A</t>
  </si>
  <si>
    <t>REI Investments (Direct Benefit at 6%)</t>
  </si>
  <si>
    <t>Project 1</t>
  </si>
  <si>
    <t>Name: REI Connection Project</t>
  </si>
  <si>
    <t>Capital Costs</t>
  </si>
  <si>
    <t>OM&amp;A (Start-Up)</t>
  </si>
  <si>
    <t>OM&amp;A (Ongoing)</t>
  </si>
  <si>
    <t>Project 2</t>
  </si>
  <si>
    <t>Project 3</t>
  </si>
  <si>
    <t>Project 4</t>
  </si>
  <si>
    <t>Project 5</t>
  </si>
  <si>
    <t>Total Capital Costs</t>
  </si>
  <si>
    <t>Total OM&amp;A (Start-Up)</t>
  </si>
  <si>
    <t>Total OM&amp;A (Ongoing)</t>
  </si>
  <si>
    <t>Part B</t>
  </si>
  <si>
    <t>Expansion Investments (Direct Benefit at 17%)</t>
  </si>
  <si>
    <t>Name: Expansion Connection Project</t>
  </si>
  <si>
    <t>Appendix 2-FC</t>
  </si>
  <si>
    <t>Calculation of Renewable Generation Connection Direct Benefits/Provincial Amount: Renewable Expansion Investments</t>
  </si>
  <si>
    <t>This table will calculate the distributor/provincial shares of the investments entered in Part B of Appendix 2-FA.</t>
  </si>
  <si>
    <t>Enter values in green shaded cells: WCA percentage, debt percentages, interest rates, kWh, tax rates, amortization period, CCA Class and percentage.</t>
  </si>
  <si>
    <t>Rate Riders are not calculated for Test Year as these assets and costs are already in the distributors rate base.</t>
  </si>
  <si>
    <t>2014 Test Year</t>
  </si>
  <si>
    <t>Direct Benefit</t>
  </si>
  <si>
    <t>Provincial</t>
  </si>
  <si>
    <t>Total</t>
  </si>
  <si>
    <t>Net Fixed Assets (average)</t>
  </si>
  <si>
    <t>Incremental OM&amp;A (on-going, N/A for Provincial Recovery)</t>
  </si>
  <si>
    <t>Incremental OM&amp;A (start-up, applicable for Provincial Recovery)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</si>
  <si>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</si>
  <si>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</si>
  <si>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</si>
  <si>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</si>
  <si>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</si>
  <si>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</si>
  <si>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</si>
  <si>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</si>
  <si>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Cost of Capital Total</t>
  </si>
  <si>
    <t>OM&amp;A</t>
  </si>
  <si>
    <t>Amortization</t>
  </si>
  <si>
    <t>Grossed-up PILs</t>
  </si>
  <si>
    <t>Revenue Requirement</t>
  </si>
  <si>
    <t>Provincial Rate Protection</t>
  </si>
  <si>
    <t>Monthly Amount Paid by IESO</t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</si>
  <si>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may provide </t>
    </r>
  </si>
  <si>
    <t>regulatory accounting guidance regarding a variance account either in an individual proceeding or on a generic basis.</t>
  </si>
  <si>
    <r>
      <rPr>
        <b/>
        <sz val="10"/>
        <rFont val="Arial"/>
        <family val="2"/>
      </rPr>
      <t>Note 2:</t>
    </r>
    <r>
      <rPr>
        <sz val="10"/>
        <rFont val="Arial"/>
        <family val="2"/>
      </rPr>
      <t xml:space="preserve"> For the 2014 Test Year, Costs and Revenues of the Direct Benefit are to be included in the test year applicant Rate Base and Revenues.</t>
    </r>
  </si>
  <si>
    <t>PILs Calculation</t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</si>
  <si>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</si>
  <si>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</si>
  <si>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(17% DB and 83% P)</t>
    </r>
  </si>
  <si>
    <t>CCA (17% DB and 83% P)</t>
  </si>
  <si>
    <t>Taxable income</t>
  </si>
  <si>
    <t>Tax Rate  (to be entered)</t>
  </si>
  <si>
    <t>Income Taxes Payable</t>
  </si>
  <si>
    <t>Gross Up</t>
  </si>
  <si>
    <t>Grossed Up PILs</t>
  </si>
  <si>
    <t>Net Fixed Assets</t>
  </si>
  <si>
    <t>Enter applicable amortization in years:</t>
  </si>
  <si>
    <t>Opening Gross Fixed Assets</t>
  </si>
  <si>
    <t>Gross Capital Additions</t>
  </si>
  <si>
    <t>Closing Gross Fixed Assets</t>
  </si>
  <si>
    <t>Opening Accumulated Amortization</t>
  </si>
  <si>
    <t>Current Year Amortization (before additions)</t>
  </si>
  <si>
    <t>Additions (half year)</t>
  </si>
  <si>
    <t>Closing Accumulated Amortization</t>
  </si>
  <si>
    <t>Opening Net Fixed Assets</t>
  </si>
  <si>
    <t>Closing Net Fixed Assets</t>
  </si>
  <si>
    <t>Average Net Fixed Assets</t>
  </si>
  <si>
    <t>UCC for PILs Calculation</t>
  </si>
  <si>
    <t>Opening UCC</t>
  </si>
  <si>
    <t>Capital Additions (from Appendix 2-FA)</t>
  </si>
  <si>
    <t>UCC Before Half Year Rule</t>
  </si>
  <si>
    <t>Half Year Rule (1/2 Additions - Disposals)</t>
  </si>
  <si>
    <t>Reduced UCC</t>
  </si>
  <si>
    <t>CCA Rate Class (to be entered)</t>
  </si>
  <si>
    <t>CCA Rate  (to be entered)</t>
  </si>
  <si>
    <t>CCA</t>
  </si>
  <si>
    <t>Closing UCC</t>
  </si>
  <si>
    <t>Appendix 2-FB</t>
  </si>
  <si>
    <t>Calculation of Renewable Generation Connection Direct Benefits/Provincial Amount: Renewable Enabling Improvement Investments</t>
  </si>
  <si>
    <t>This table will calculate the distributor/provincial shares of the investments entered in Part A of Appendix 2-FA.</t>
  </si>
  <si>
    <t>Rate Riders are not calculated for Test Year as these assets and costs are already in the distributor's rate base/revenue requirement.</t>
  </si>
  <si>
    <r>
      <rPr>
        <b/>
        <sz val="10"/>
        <color indexed="8"/>
        <rFont val="Arial"/>
        <family val="2"/>
      </rPr>
      <t>Note 2:</t>
    </r>
    <r>
      <rPr>
        <sz val="10"/>
        <color indexed="8"/>
        <rFont val="Arial"/>
        <family val="2"/>
      </rPr>
      <t xml:space="preserve"> For the 2014 Test Year, Costs and Revenues of the Direct Benefit are to be included in the test year applicant Rate Base and Revenues.  </t>
    </r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</si>
  <si>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(6% DB and 94% P)</t>
    </r>
  </si>
  <si>
    <t>CCA (6% DB and 94% P)</t>
  </si>
  <si>
    <t>Name: Communication Platform</t>
  </si>
  <si>
    <t>Name: Index Energy Expansion</t>
  </si>
  <si>
    <t>Name: Micro-Grid Project</t>
  </si>
  <si>
    <t>34.000.4080.620.00</t>
  </si>
  <si>
    <t>34.000.1533.002.00</t>
  </si>
  <si>
    <t>Variance Tracking</t>
  </si>
  <si>
    <t>Revenue received from IESO</t>
  </si>
  <si>
    <t>Calculated revenue requirement (actuals)</t>
  </si>
  <si>
    <t>Year end adjustment to variance</t>
  </si>
  <si>
    <t>Prov rate protection payments</t>
  </si>
  <si>
    <t>Prov rate protection payment variances</t>
  </si>
  <si>
    <t>Year end journal entry: (+)=Dr  (-)=Cr</t>
  </si>
  <si>
    <t>Total @ 2020 YE</t>
  </si>
  <si>
    <t xml:space="preserve">                                                                                                                    </t>
  </si>
  <si>
    <t xml:space="preserve">          </t>
  </si>
  <si>
    <t>True Up for end of 2020</t>
  </si>
  <si>
    <t>Years</t>
  </si>
  <si>
    <t>Calculated annual amounts</t>
  </si>
  <si>
    <t>Annual Amount Requested</t>
  </si>
  <si>
    <t>Monthly Amount</t>
  </si>
  <si>
    <t>Amort - commun</t>
  </si>
  <si>
    <t>Current Year Amortization Communication Assets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</si>
</sst>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-&quot;$&quot;* #,##0_-;\-&quot;$&quot;* #,##0_-;_-&quot;$&quot;* &quot;-&quot;??_-;_-@_-"/>
    <numFmt numFmtId="174" formatCode="0.0%"/>
    <numFmt numFmtId="175" formatCode="_-* #,##0_-;\-* #,##0_-;_-* &quot;-&quot;??_-;_-@_-"/>
    <numFmt numFmtId="176" formatCode="_-&quot;$&quot;* #,##0.0000_-;\-&quot;$&quot;* #,##0.0000_-;_-&quot;$&quot;* &quot;-&quot;??_-;_-@_-"/>
    <numFmt numFmtId="177" formatCode="&quot;$&quot;#,##0.0000_);[Red]\(&quot;$&quot;#,##0.0000\)"/>
    <numFmt numFmtId="178" formatCode="&quot;$&quot;#,##0.00"/>
    <numFmt numFmtId="179" formatCode="[$-409]dddd\,\ mmmm\ dd\,\ yyyy"/>
    <numFmt numFmtId="180" formatCode="[$-409]h:mm:ss\ AM/PM"/>
    <numFmt numFmtId="181" formatCode="_-&quot;$&quot;* #,##0.0_-;\-&quot;$&quot;* #,##0.0_-;_-&quot;$&quot;* &quot;-&quot;??_-;_-@_-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0.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[$-1009]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57">
      <alignment/>
      <protection/>
    </xf>
    <xf numFmtId="0" fontId="1" fillId="0" borderId="0" xfId="59">
      <alignment/>
      <protection/>
    </xf>
    <xf numFmtId="0" fontId="3" fillId="0" borderId="0" xfId="0" applyFont="1" applyAlignment="1">
      <alignment/>
    </xf>
    <xf numFmtId="0" fontId="4" fillId="0" borderId="0" xfId="57" applyFont="1" applyAlignment="1">
      <alignment horizontal="right" vertical="top"/>
      <protection/>
    </xf>
    <xf numFmtId="0" fontId="4" fillId="4" borderId="10" xfId="0" applyFont="1" applyFill="1" applyBorder="1" applyAlignment="1">
      <alignment horizontal="right" vertical="top"/>
    </xf>
    <xf numFmtId="0" fontId="2" fillId="33" borderId="0" xfId="57" applyFill="1">
      <alignment/>
      <protection/>
    </xf>
    <xf numFmtId="0" fontId="4" fillId="4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57" applyFont="1">
      <alignment/>
      <protection/>
    </xf>
    <xf numFmtId="0" fontId="5" fillId="0" borderId="0" xfId="59" applyFont="1">
      <alignment/>
      <protection/>
    </xf>
    <xf numFmtId="0" fontId="6" fillId="0" borderId="0" xfId="57" applyFont="1" applyAlignment="1">
      <alignment/>
      <protection/>
    </xf>
    <xf numFmtId="0" fontId="0" fillId="0" borderId="0" xfId="58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172" fontId="2" fillId="4" borderId="0" xfId="42" applyNumberFormat="1" applyFont="1" applyFill="1" applyBorder="1" applyAlignment="1" applyProtection="1">
      <alignment horizontal="center"/>
      <protection/>
    </xf>
    <xf numFmtId="173" fontId="2" fillId="0" borderId="0" xfId="44" applyNumberFormat="1" applyFont="1" applyAlignment="1">
      <alignment/>
    </xf>
    <xf numFmtId="173" fontId="3" fillId="0" borderId="0" xfId="44" applyNumberFormat="1" applyFont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173" fontId="7" fillId="34" borderId="0" xfId="0" applyNumberFormat="1" applyFont="1" applyFill="1" applyBorder="1" applyAlignment="1">
      <alignment/>
    </xf>
    <xf numFmtId="173" fontId="7" fillId="34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3" fontId="0" fillId="0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173" fontId="2" fillId="0" borderId="0" xfId="44" applyNumberFormat="1" applyFont="1" applyFill="1" applyBorder="1" applyAlignment="1">
      <alignment/>
    </xf>
    <xf numFmtId="173" fontId="2" fillId="0" borderId="0" xfId="44" applyNumberFormat="1" applyFont="1" applyFill="1" applyBorder="1" applyAlignment="1">
      <alignment horizontal="center"/>
    </xf>
    <xf numFmtId="9" fontId="2" fillId="0" borderId="0" xfId="42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Border="1" applyAlignment="1">
      <alignment/>
    </xf>
    <xf numFmtId="9" fontId="2" fillId="0" borderId="0" xfId="64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173" fontId="2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172" fontId="7" fillId="0" borderId="0" xfId="42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60" applyFont="1" applyFill="1" applyBorder="1" applyAlignment="1" applyProtection="1">
      <alignment horizontal="center"/>
      <protection/>
    </xf>
    <xf numFmtId="9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2" fillId="0" borderId="0" xfId="0" applyNumberFormat="1" applyFont="1" applyAlignment="1">
      <alignment horizontal="center"/>
    </xf>
    <xf numFmtId="173" fontId="2" fillId="33" borderId="0" xfId="44" applyNumberFormat="1" applyFont="1" applyFill="1" applyAlignment="1">
      <alignment/>
    </xf>
    <xf numFmtId="173" fontId="2" fillId="0" borderId="0" xfId="44" applyNumberFormat="1" applyFont="1" applyAlignment="1">
      <alignment horizontal="center"/>
    </xf>
    <xf numFmtId="173" fontId="2" fillId="0" borderId="0" xfId="44" applyNumberFormat="1" applyFont="1" applyFill="1" applyAlignment="1">
      <alignment/>
    </xf>
    <xf numFmtId="42" fontId="2" fillId="0" borderId="0" xfId="0" applyNumberFormat="1" applyFont="1" applyAlignment="1">
      <alignment horizontal="center"/>
    </xf>
    <xf numFmtId="172" fontId="2" fillId="0" borderId="0" xfId="42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>
      <alignment/>
    </xf>
    <xf numFmtId="42" fontId="2" fillId="0" borderId="0" xfId="0" applyNumberFormat="1" applyFont="1" applyFill="1" applyAlignment="1">
      <alignment horizontal="center"/>
    </xf>
    <xf numFmtId="9" fontId="2" fillId="4" borderId="0" xfId="42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Border="1" applyAlignment="1">
      <alignment/>
    </xf>
    <xf numFmtId="174" fontId="2" fillId="0" borderId="0" xfId="0" applyNumberFormat="1" applyFont="1" applyAlignment="1">
      <alignment horizontal="center"/>
    </xf>
    <xf numFmtId="173" fontId="2" fillId="0" borderId="12" xfId="0" applyNumberFormat="1" applyFont="1" applyBorder="1" applyAlignment="1">
      <alignment/>
    </xf>
    <xf numFmtId="173" fontId="2" fillId="0" borderId="12" xfId="44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9" fontId="2" fillId="0" borderId="0" xfId="64" applyFont="1" applyBorder="1" applyAlignment="1">
      <alignment horizontal="center"/>
    </xf>
    <xf numFmtId="9" fontId="2" fillId="0" borderId="0" xfId="64" applyFont="1" applyAlignment="1">
      <alignment horizontal="center"/>
    </xf>
    <xf numFmtId="44" fontId="2" fillId="0" borderId="0" xfId="44" applyNumberFormat="1" applyFont="1" applyBorder="1" applyAlignment="1">
      <alignment/>
    </xf>
    <xf numFmtId="44" fontId="2" fillId="0" borderId="0" xfId="44" applyNumberFormat="1" applyFont="1" applyAlignment="1">
      <alignment/>
    </xf>
    <xf numFmtId="10" fontId="2" fillId="4" borderId="0" xfId="42" applyNumberFormat="1" applyFont="1" applyFill="1" applyBorder="1" applyAlignment="1" applyProtection="1">
      <alignment horizontal="center"/>
      <protection/>
    </xf>
    <xf numFmtId="10" fontId="2" fillId="0" borderId="0" xfId="64" applyNumberFormat="1" applyFont="1" applyAlignment="1">
      <alignment horizontal="center"/>
    </xf>
    <xf numFmtId="0" fontId="3" fillId="0" borderId="0" xfId="0" applyFont="1" applyAlignment="1">
      <alignment horizontal="right"/>
    </xf>
    <xf numFmtId="17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44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/>
    </xf>
    <xf numFmtId="175" fontId="2" fillId="33" borderId="0" xfId="42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44" fontId="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14" fillId="0" borderId="0" xfId="60" applyFont="1" applyFill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60" applyFont="1" applyFill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73" fontId="2" fillId="0" borderId="0" xfId="44" applyNumberFormat="1" applyFont="1" applyFill="1" applyBorder="1" applyAlignment="1" applyProtection="1">
      <alignment horizontal="center"/>
      <protection/>
    </xf>
    <xf numFmtId="173" fontId="2" fillId="0" borderId="0" xfId="60" applyNumberFormat="1" applyFont="1" applyFill="1" applyBorder="1" applyAlignment="1" applyProtection="1">
      <alignment horizontal="center"/>
      <protection/>
    </xf>
    <xf numFmtId="173" fontId="2" fillId="0" borderId="0" xfId="44" applyNumberFormat="1" applyFont="1" applyFill="1" applyBorder="1" applyAlignment="1" applyProtection="1">
      <alignment/>
      <protection/>
    </xf>
    <xf numFmtId="173" fontId="2" fillId="0" borderId="0" xfId="44" applyNumberFormat="1" applyFont="1" applyFill="1" applyAlignment="1" applyProtection="1">
      <alignment/>
      <protection/>
    </xf>
    <xf numFmtId="173" fontId="2" fillId="0" borderId="13" xfId="44" applyNumberFormat="1" applyFont="1" applyFill="1" applyBorder="1" applyAlignment="1" applyProtection="1">
      <alignment/>
      <protection/>
    </xf>
    <xf numFmtId="10" fontId="15" fillId="0" borderId="0" xfId="60" applyNumberFormat="1" applyFont="1" applyFill="1" applyBorder="1" applyAlignment="1" applyProtection="1">
      <alignment horizontal="center"/>
      <protection/>
    </xf>
    <xf numFmtId="10" fontId="2" fillId="4" borderId="0" xfId="64" applyNumberFormat="1" applyFont="1" applyFill="1" applyAlignment="1" applyProtection="1">
      <alignment horizontal="center"/>
      <protection/>
    </xf>
    <xf numFmtId="10" fontId="2" fillId="0" borderId="0" xfId="64" applyNumberFormat="1" applyFont="1" applyFill="1" applyAlignment="1" applyProtection="1">
      <alignment horizontal="center"/>
      <protection/>
    </xf>
    <xf numFmtId="44" fontId="2" fillId="0" borderId="13" xfId="44" applyNumberFormat="1" applyFont="1" applyFill="1" applyBorder="1" applyAlignment="1" applyProtection="1">
      <alignment/>
      <protection/>
    </xf>
    <xf numFmtId="0" fontId="3" fillId="0" borderId="0" xfId="60" applyFont="1" applyFill="1" applyAlignment="1" applyProtection="1">
      <alignment horizontal="left"/>
      <protection/>
    </xf>
    <xf numFmtId="0" fontId="2" fillId="0" borderId="0" xfId="60" applyFont="1" applyFill="1" applyBorder="1" applyProtection="1">
      <alignment/>
      <protection/>
    </xf>
    <xf numFmtId="44" fontId="2" fillId="0" borderId="0" xfId="44" applyNumberFormat="1" applyFont="1" applyFill="1" applyBorder="1" applyAlignment="1" applyProtection="1">
      <alignment/>
      <protection/>
    </xf>
    <xf numFmtId="44" fontId="2" fillId="0" borderId="0" xfId="44" applyNumberFormat="1" applyFont="1" applyFill="1" applyAlignment="1" applyProtection="1">
      <alignment/>
      <protection/>
    </xf>
    <xf numFmtId="44" fontId="16" fillId="0" borderId="0" xfId="44" applyNumberFormat="1" applyFont="1" applyFill="1" applyBorder="1" applyAlignment="1" applyProtection="1">
      <alignment/>
      <protection/>
    </xf>
    <xf numFmtId="173" fontId="16" fillId="0" borderId="13" xfId="44" applyNumberFormat="1" applyFont="1" applyFill="1" applyBorder="1" applyAlignment="1" applyProtection="1">
      <alignment/>
      <protection/>
    </xf>
    <xf numFmtId="177" fontId="12" fillId="0" borderId="0" xfId="0" applyNumberFormat="1" applyFont="1" applyBorder="1" applyAlignment="1">
      <alignment horizontal="right"/>
    </xf>
    <xf numFmtId="0" fontId="8" fillId="0" borderId="0" xfId="61" applyFont="1" applyFill="1" applyProtection="1">
      <alignment/>
      <protection/>
    </xf>
    <xf numFmtId="0" fontId="2" fillId="0" borderId="0" xfId="61" applyFont="1" applyFill="1" applyProtection="1">
      <alignment/>
      <protection/>
    </xf>
    <xf numFmtId="0" fontId="2" fillId="0" borderId="0" xfId="44" applyNumberFormat="1" applyFont="1" applyFill="1" applyAlignment="1" applyProtection="1">
      <alignment horizontal="center"/>
      <protection/>
    </xf>
    <xf numFmtId="0" fontId="3" fillId="0" borderId="15" xfId="44" applyNumberFormat="1" applyFont="1" applyFill="1" applyBorder="1" applyAlignment="1" applyProtection="1">
      <alignment horizontal="center"/>
      <protection/>
    </xf>
    <xf numFmtId="0" fontId="3" fillId="0" borderId="16" xfId="44" applyNumberFormat="1" applyFont="1" applyFill="1" applyBorder="1" applyAlignment="1" applyProtection="1">
      <alignment horizontal="center"/>
      <protection/>
    </xf>
    <xf numFmtId="0" fontId="3" fillId="0" borderId="17" xfId="44" applyNumberFormat="1" applyFont="1" applyFill="1" applyBorder="1" applyAlignment="1" applyProtection="1">
      <alignment horizontal="center"/>
      <protection/>
    </xf>
    <xf numFmtId="9" fontId="2" fillId="33" borderId="0" xfId="64" applyFont="1" applyFill="1" applyBorder="1" applyAlignment="1" applyProtection="1">
      <alignment horizontal="right"/>
      <protection/>
    </xf>
    <xf numFmtId="0" fontId="2" fillId="4" borderId="0" xfId="64" applyNumberFormat="1" applyFont="1" applyFill="1" applyAlignment="1" applyProtection="1">
      <alignment horizontal="center"/>
      <protection/>
    </xf>
    <xf numFmtId="173" fontId="15" fillId="0" borderId="0" xfId="44" applyNumberFormat="1" applyFont="1" applyFill="1" applyBorder="1" applyAlignment="1" applyProtection="1">
      <alignment/>
      <protection/>
    </xf>
    <xf numFmtId="173" fontId="2" fillId="0" borderId="0" xfId="44" applyNumberFormat="1" applyFont="1" applyFill="1" applyAlignment="1" applyProtection="1">
      <alignment horizontal="center"/>
      <protection/>
    </xf>
    <xf numFmtId="6" fontId="2" fillId="0" borderId="0" xfId="0" applyNumberFormat="1" applyFont="1" applyFill="1" applyAlignment="1">
      <alignment/>
    </xf>
    <xf numFmtId="178" fontId="2" fillId="0" borderId="0" xfId="44" applyNumberFormat="1" applyFont="1" applyFill="1" applyBorder="1" applyAlignment="1" applyProtection="1">
      <alignment horizontal="center"/>
      <protection/>
    </xf>
    <xf numFmtId="0" fontId="3" fillId="0" borderId="0" xfId="61" applyFont="1" applyFill="1" applyProtection="1">
      <alignment/>
      <protection/>
    </xf>
    <xf numFmtId="173" fontId="2" fillId="0" borderId="14" xfId="44" applyNumberFormat="1" applyFont="1" applyFill="1" applyBorder="1" applyAlignment="1" applyProtection="1">
      <alignment/>
      <protection/>
    </xf>
    <xf numFmtId="0" fontId="2" fillId="4" borderId="0" xfId="44" applyNumberFormat="1" applyFont="1" applyFill="1" applyAlignment="1" applyProtection="1">
      <alignment horizontal="center"/>
      <protection/>
    </xf>
    <xf numFmtId="9" fontId="2" fillId="4" borderId="0" xfId="64" applyFont="1" applyFill="1" applyAlignment="1" applyProtection="1">
      <alignment horizontal="center"/>
      <protection/>
    </xf>
    <xf numFmtId="0" fontId="1" fillId="0" borderId="0" xfId="59" applyFont="1">
      <alignment/>
      <protection/>
    </xf>
    <xf numFmtId="9" fontId="2" fillId="0" borderId="0" xfId="42" applyNumberFormat="1" applyFont="1" applyFill="1" applyBorder="1" applyAlignment="1" applyProtection="1">
      <alignment horizontal="left" vertical="top"/>
      <protection/>
    </xf>
    <xf numFmtId="0" fontId="0" fillId="0" borderId="0" xfId="58" applyBorder="1">
      <alignment/>
      <protection/>
    </xf>
    <xf numFmtId="0" fontId="2" fillId="0" borderId="0" xfId="0" applyFont="1" applyAlignment="1">
      <alignment horizontal="right"/>
    </xf>
    <xf numFmtId="0" fontId="2" fillId="33" borderId="0" xfId="0" applyFont="1" applyFill="1" applyBorder="1" applyAlignment="1">
      <alignment/>
    </xf>
    <xf numFmtId="15" fontId="4" fillId="4" borderId="0" xfId="0" applyNumberFormat="1" applyFont="1" applyFill="1" applyAlignment="1">
      <alignment horizontal="right" vertical="top"/>
    </xf>
    <xf numFmtId="172" fontId="2" fillId="35" borderId="0" xfId="42" applyNumberFormat="1" applyFont="1" applyFill="1" applyBorder="1" applyAlignment="1" applyProtection="1">
      <alignment horizontal="center"/>
      <protection/>
    </xf>
    <xf numFmtId="0" fontId="2" fillId="35" borderId="0" xfId="64" applyNumberFormat="1" applyFont="1" applyFill="1" applyAlignment="1" applyProtection="1">
      <alignment horizontal="center"/>
      <protection/>
    </xf>
    <xf numFmtId="173" fontId="2" fillId="35" borderId="0" xfId="44" applyNumberFormat="1" applyFont="1" applyFill="1" applyAlignment="1" applyProtection="1">
      <alignment/>
      <protection/>
    </xf>
    <xf numFmtId="0" fontId="2" fillId="0" borderId="0" xfId="0" applyFont="1" applyAlignment="1">
      <alignment horizontal="left"/>
    </xf>
    <xf numFmtId="172" fontId="2" fillId="36" borderId="0" xfId="42" applyNumberFormat="1" applyFont="1" applyFill="1" applyBorder="1" applyAlignment="1" applyProtection="1">
      <alignment horizontal="center"/>
      <protection/>
    </xf>
    <xf numFmtId="44" fontId="2" fillId="0" borderId="13" xfId="0" applyNumberFormat="1" applyFont="1" applyFill="1" applyBorder="1" applyAlignment="1">
      <alignment/>
    </xf>
    <xf numFmtId="44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44" fontId="2" fillId="0" borderId="0" xfId="44" applyNumberFormat="1" applyFont="1" applyAlignment="1">
      <alignment horizontal="center"/>
    </xf>
    <xf numFmtId="0" fontId="57" fillId="0" borderId="12" xfId="0" applyFont="1" applyBorder="1" applyAlignment="1">
      <alignment horizontal="center"/>
    </xf>
    <xf numFmtId="178" fontId="0" fillId="0" borderId="18" xfId="0" applyNumberFormat="1" applyBorder="1" applyAlignment="1">
      <alignment/>
    </xf>
    <xf numFmtId="0" fontId="57" fillId="0" borderId="0" xfId="0" applyFont="1" applyAlignment="1">
      <alignment/>
    </xf>
    <xf numFmtId="0" fontId="3" fillId="0" borderId="19" xfId="44" applyNumberFormat="1" applyFont="1" applyFill="1" applyBorder="1" applyAlignment="1" applyProtection="1">
      <alignment horizontal="center"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9" fontId="2" fillId="0" borderId="0" xfId="64" applyFont="1" applyFill="1" applyBorder="1" applyAlignment="1" applyProtection="1">
      <alignment horizontal="center"/>
      <protection/>
    </xf>
    <xf numFmtId="173" fontId="0" fillId="0" borderId="0" xfId="58" applyNumberFormat="1">
      <alignment/>
      <protection/>
    </xf>
    <xf numFmtId="0" fontId="57" fillId="0" borderId="0" xfId="58" applyFont="1">
      <alignment/>
      <protection/>
    </xf>
    <xf numFmtId="9" fontId="57" fillId="0" borderId="0" xfId="64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8" applyFont="1">
      <alignment/>
      <protection/>
    </xf>
    <xf numFmtId="0" fontId="2" fillId="4" borderId="0" xfId="44" applyNumberFormat="1" applyFont="1" applyFill="1" applyBorder="1" applyAlignment="1" applyProtection="1">
      <alignment horizontal="center"/>
      <protection/>
    </xf>
    <xf numFmtId="9" fontId="2" fillId="4" borderId="0" xfId="64" applyFont="1" applyFill="1" applyBorder="1" applyAlignment="1" applyProtection="1">
      <alignment horizontal="center"/>
      <protection/>
    </xf>
    <xf numFmtId="0" fontId="3" fillId="0" borderId="20" xfId="44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/>
    </xf>
    <xf numFmtId="173" fontId="2" fillId="0" borderId="22" xfId="44" applyNumberFormat="1" applyFont="1" applyFill="1" applyBorder="1" applyAlignment="1" applyProtection="1">
      <alignment/>
      <protection/>
    </xf>
    <xf numFmtId="173" fontId="2" fillId="0" borderId="21" xfId="44" applyNumberFormat="1" applyFont="1" applyFill="1" applyBorder="1" applyAlignment="1" applyProtection="1">
      <alignment horizontal="center"/>
      <protection/>
    </xf>
    <xf numFmtId="173" fontId="2" fillId="0" borderId="21" xfId="44" applyNumberFormat="1" applyFont="1" applyFill="1" applyBorder="1" applyAlignment="1" applyProtection="1">
      <alignment/>
      <protection/>
    </xf>
    <xf numFmtId="173" fontId="2" fillId="0" borderId="23" xfId="44" applyNumberFormat="1" applyFont="1" applyFill="1" applyBorder="1" applyAlignment="1" applyProtection="1">
      <alignment/>
      <protection/>
    </xf>
    <xf numFmtId="0" fontId="2" fillId="4" borderId="21" xfId="44" applyNumberFormat="1" applyFont="1" applyFill="1" applyBorder="1" applyAlignment="1" applyProtection="1">
      <alignment horizontal="center"/>
      <protection/>
    </xf>
    <xf numFmtId="9" fontId="2" fillId="4" borderId="21" xfId="64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57" fillId="0" borderId="11" xfId="0" applyFont="1" applyBorder="1" applyAlignment="1">
      <alignment horizontal="center"/>
    </xf>
    <xf numFmtId="178" fontId="57" fillId="0" borderId="11" xfId="0" applyNumberFormat="1" applyFont="1" applyFill="1" applyBorder="1" applyAlignment="1">
      <alignment/>
    </xf>
    <xf numFmtId="178" fontId="57" fillId="0" borderId="11" xfId="0" applyNumberFormat="1" applyFont="1" applyBorder="1" applyAlignment="1">
      <alignment/>
    </xf>
    <xf numFmtId="0" fontId="2" fillId="36" borderId="0" xfId="44" applyNumberFormat="1" applyFont="1" applyFill="1" applyAlignment="1" applyProtection="1">
      <alignment horizontal="center"/>
      <protection/>
    </xf>
    <xf numFmtId="178" fontId="57" fillId="0" borderId="0" xfId="0" applyNumberFormat="1" applyFont="1" applyAlignment="1">
      <alignment/>
    </xf>
    <xf numFmtId="0" fontId="57" fillId="37" borderId="11" xfId="0" applyFont="1" applyFill="1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8" fontId="57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0" fontId="3" fillId="0" borderId="24" xfId="44" applyNumberFormat="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>
      <alignment/>
    </xf>
    <xf numFmtId="173" fontId="2" fillId="0" borderId="24" xfId="44" applyNumberFormat="1" applyFont="1" applyFill="1" applyBorder="1" applyAlignment="1" applyProtection="1">
      <alignment/>
      <protection/>
    </xf>
    <xf numFmtId="173" fontId="2" fillId="0" borderId="24" xfId="44" applyNumberFormat="1" applyFont="1" applyFill="1" applyBorder="1" applyAlignment="1" applyProtection="1">
      <alignment horizontal="center"/>
      <protection/>
    </xf>
    <xf numFmtId="0" fontId="2" fillId="4" borderId="24" xfId="44" applyNumberFormat="1" applyFont="1" applyFill="1" applyBorder="1" applyAlignment="1" applyProtection="1">
      <alignment horizontal="center"/>
      <protection/>
    </xf>
    <xf numFmtId="9" fontId="2" fillId="4" borderId="24" xfId="64" applyFont="1" applyFill="1" applyBorder="1" applyAlignment="1" applyProtection="1">
      <alignment horizontal="center"/>
      <protection/>
    </xf>
    <xf numFmtId="42" fontId="2" fillId="0" borderId="0" xfId="0" applyNumberFormat="1" applyFont="1" applyFill="1" applyBorder="1" applyAlignment="1">
      <alignment horizontal="center"/>
    </xf>
    <xf numFmtId="173" fontId="16" fillId="0" borderId="0" xfId="44" applyNumberFormat="1" applyFont="1" applyFill="1" applyBorder="1" applyAlignment="1" applyProtection="1">
      <alignment/>
      <protection/>
    </xf>
    <xf numFmtId="0" fontId="3" fillId="0" borderId="24" xfId="60" applyFont="1" applyFill="1" applyBorder="1" applyAlignment="1" applyProtection="1">
      <alignment horizontal="center"/>
      <protection/>
    </xf>
    <xf numFmtId="173" fontId="2" fillId="0" borderId="24" xfId="44" applyNumberFormat="1" applyFont="1" applyFill="1" applyBorder="1" applyAlignment="1">
      <alignment/>
    </xf>
    <xf numFmtId="172" fontId="2" fillId="0" borderId="24" xfId="42" applyNumberFormat="1" applyFont="1" applyFill="1" applyBorder="1" applyAlignment="1" applyProtection="1">
      <alignment horizontal="center"/>
      <protection/>
    </xf>
    <xf numFmtId="0" fontId="2" fillId="0" borderId="24" xfId="60" applyFont="1" applyFill="1" applyBorder="1" applyProtection="1">
      <alignment/>
      <protection/>
    </xf>
    <xf numFmtId="44" fontId="2" fillId="0" borderId="24" xfId="44" applyNumberFormat="1" applyFont="1" applyFill="1" applyBorder="1" applyAlignment="1" applyProtection="1">
      <alignment/>
      <protection/>
    </xf>
    <xf numFmtId="44" fontId="16" fillId="0" borderId="24" xfId="44" applyNumberFormat="1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4" fontId="2" fillId="0" borderId="0" xfId="44" applyNumberFormat="1" applyFont="1" applyFill="1" applyBorder="1" applyAlignment="1">
      <alignment/>
    </xf>
    <xf numFmtId="44" fontId="2" fillId="0" borderId="0" xfId="44" applyNumberFormat="1" applyFont="1" applyFill="1" applyBorder="1" applyAlignment="1">
      <alignment horizontal="center"/>
    </xf>
    <xf numFmtId="174" fontId="2" fillId="0" borderId="24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9" fontId="2" fillId="0" borderId="24" xfId="64" applyFont="1" applyFill="1" applyBorder="1" applyAlignment="1">
      <alignment horizontal="center"/>
    </xf>
    <xf numFmtId="10" fontId="2" fillId="0" borderId="24" xfId="64" applyNumberFormat="1" applyFont="1" applyFill="1" applyBorder="1" applyAlignment="1">
      <alignment horizontal="center"/>
    </xf>
    <xf numFmtId="10" fontId="2" fillId="0" borderId="0" xfId="64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0" fontId="2" fillId="0" borderId="0" xfId="64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170" fontId="2" fillId="0" borderId="0" xfId="44" applyNumberFormat="1" applyFont="1" applyFill="1" applyAlignment="1" applyProtection="1">
      <alignment/>
      <protection/>
    </xf>
    <xf numFmtId="170" fontId="57" fillId="0" borderId="0" xfId="44" applyFont="1" applyAlignment="1">
      <alignment/>
    </xf>
    <xf numFmtId="0" fontId="57" fillId="0" borderId="0" xfId="0" applyFont="1" applyBorder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57" applyFont="1" applyAlignment="1">
      <alignment horizontal="center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2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57" applyFont="1" applyAlignment="1">
      <alignment horizontal="center" vertical="center" wrapText="1"/>
      <protection/>
    </xf>
    <xf numFmtId="9" fontId="2" fillId="0" borderId="0" xfId="42" applyNumberFormat="1" applyFont="1" applyFill="1" applyBorder="1" applyAlignment="1" applyProtection="1">
      <alignment horizontal="left" vertical="top"/>
      <protection/>
    </xf>
    <xf numFmtId="0" fontId="1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2" fillId="0" borderId="0" xfId="42" applyNumberFormat="1" applyFont="1" applyFill="1" applyBorder="1" applyAlignment="1" applyProtection="1">
      <alignment horizontal="left"/>
      <protection/>
    </xf>
    <xf numFmtId="9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PE Deferral Account Schedule for 2013 MIFRS CoS applications (2)" xfId="59"/>
    <cellStyle name="Normal_Sheet2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%20Planning\2014%20COS%20Application\Minimum%20Filing%20Requirements\Filing_Requirements_Chapter2_Appendices_for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Qualifying%20Generation%20Facilities\Index%20Energy\Copy%20of%20ACA%2012%200012%20Index%20Energy%20summary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Qualifying%20Generation%20Facilities\2015%20Projects\Summary%20-%202015%20Qualifying%20Generation%20Project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Qualifying%20Generation%20Facilities\2015%20Projects\Index%20Energy%202015%20costs%20and%20depreciation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Corporate%20Planning\Qualifying%20Generation%20Facilities\Qualifying%20Generation%20-%20Actual%20Depreciation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ade\AppData\Local\Microsoft\Windows\INetCache\Content.Outlook\808ACQ3Y\Qualifying%20Generation%20-%20Actual%20Depreciation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40">
        <row r="31">
          <cell r="D31">
            <v>0</v>
          </cell>
          <cell r="F31">
            <v>0</v>
          </cell>
          <cell r="G3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C24">
            <v>338897.9700000001</v>
          </cell>
          <cell r="G24">
            <v>4491.549568470918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2015"/>
      <sheetName val="All Projects"/>
    </sheetNames>
    <sheetDataSet>
      <sheetData sheetId="0">
        <row r="5">
          <cell r="B5">
            <v>7441.75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E5">
            <v>93.021875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preciation Calculations"/>
    </sheetNames>
    <sheetDataSet>
      <sheetData sheetId="0">
        <row r="29">
          <cell r="B29">
            <v>27000</v>
          </cell>
          <cell r="C29">
            <v>237193.09</v>
          </cell>
          <cell r="D29">
            <v>215038</v>
          </cell>
        </row>
      </sheetData>
      <sheetData sheetId="1">
        <row r="18">
          <cell r="H18">
            <v>8915.956666666669</v>
          </cell>
          <cell r="I18">
            <v>8915.956666666669</v>
          </cell>
        </row>
        <row r="21">
          <cell r="I21">
            <v>186.04375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preciation Calculations"/>
      <sheetName val="Micro Grid - depr adj 2016"/>
      <sheetName val="Micro Grid - depr adj 2019"/>
    </sheetNames>
    <sheetDataSet>
      <sheetData sheetId="2">
        <row r="10">
          <cell r="I10">
            <v>14433.932333333334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00"/>
  <sheetViews>
    <sheetView zoomScalePageLayoutView="0" workbookViewId="0" topLeftCell="E20">
      <selection activeCell="E21" sqref="E21"/>
    </sheetView>
  </sheetViews>
  <sheetFormatPr defaultColWidth="8.8515625" defaultRowHeight="15"/>
  <cols>
    <col min="1" max="1" width="30.421875" style="12" customWidth="1"/>
    <col min="2" max="2" width="13.140625" style="12" customWidth="1"/>
    <col min="3" max="9" width="16.7109375" style="12" customWidth="1"/>
    <col min="10" max="16384" width="8.8515625" style="12" customWidth="1"/>
  </cols>
  <sheetData>
    <row r="1" spans="1:7" s="2" customFormat="1" ht="14.25" hidden="1">
      <c r="A1" s="1"/>
      <c r="B1" s="1"/>
      <c r="C1" s="1"/>
      <c r="D1" s="1"/>
      <c r="F1" s="3" t="s">
        <v>0</v>
      </c>
      <c r="G1" s="4" t="e">
        <f>EBNUMBER</f>
        <v>#REF!</v>
      </c>
    </row>
    <row r="2" spans="1:7" s="2" customFormat="1" ht="14.25" hidden="1">
      <c r="A2" s="1"/>
      <c r="B2" s="1"/>
      <c r="C2" s="1"/>
      <c r="D2" s="1"/>
      <c r="F2" s="3" t="s">
        <v>1</v>
      </c>
      <c r="G2" s="5">
        <v>2</v>
      </c>
    </row>
    <row r="3" spans="1:7" s="2" customFormat="1" ht="14.25" hidden="1">
      <c r="A3" s="1"/>
      <c r="B3" s="1"/>
      <c r="C3" s="1"/>
      <c r="D3" s="1"/>
      <c r="F3" s="3" t="s">
        <v>2</v>
      </c>
      <c r="G3" s="5">
        <v>3</v>
      </c>
    </row>
    <row r="4" spans="1:7" s="2" customFormat="1" ht="14.25" hidden="1">
      <c r="A4" s="6"/>
      <c r="B4" s="1"/>
      <c r="C4" s="1"/>
      <c r="D4" s="1"/>
      <c r="F4" s="3" t="s">
        <v>3</v>
      </c>
      <c r="G4" s="5">
        <v>10</v>
      </c>
    </row>
    <row r="5" spans="1:7" s="2" customFormat="1" ht="14.25" hidden="1">
      <c r="A5" s="1"/>
      <c r="B5" s="1"/>
      <c r="C5" s="1"/>
      <c r="D5" s="1"/>
      <c r="F5" s="3" t="s">
        <v>4</v>
      </c>
      <c r="G5" s="7">
        <v>3</v>
      </c>
    </row>
    <row r="6" spans="1:7" s="2" customFormat="1" ht="14.25" hidden="1">
      <c r="A6" s="1"/>
      <c r="B6" s="1"/>
      <c r="C6" s="1"/>
      <c r="D6" s="1"/>
      <c r="F6" s="3"/>
      <c r="G6" s="8"/>
    </row>
    <row r="7" spans="1:7" s="2" customFormat="1" ht="14.25" hidden="1">
      <c r="A7" s="1"/>
      <c r="B7" s="1"/>
      <c r="C7" s="1"/>
      <c r="D7" s="1"/>
      <c r="F7" s="3" t="s">
        <v>5</v>
      </c>
      <c r="G7" s="137"/>
    </row>
    <row r="8" spans="1:15" s="2" customFormat="1" ht="14.25" hidden="1">
      <c r="A8" s="9"/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</row>
    <row r="9" spans="1:15" s="2" customFormat="1" ht="18">
      <c r="A9" s="219" t="s">
        <v>6</v>
      </c>
      <c r="B9" s="219"/>
      <c r="C9" s="219"/>
      <c r="D9" s="219"/>
      <c r="E9" s="219"/>
      <c r="F9" s="219"/>
      <c r="G9" s="219"/>
      <c r="H9" s="11"/>
      <c r="I9" s="11"/>
      <c r="J9" s="11"/>
      <c r="K9" s="11"/>
      <c r="L9" s="10"/>
      <c r="M9" s="10"/>
      <c r="N9" s="10"/>
      <c r="O9" s="10"/>
    </row>
    <row r="10" spans="1:15" s="2" customFormat="1" ht="18">
      <c r="A10" s="219" t="s">
        <v>7</v>
      </c>
      <c r="B10" s="219"/>
      <c r="C10" s="219"/>
      <c r="D10" s="219"/>
      <c r="E10" s="219"/>
      <c r="F10" s="219"/>
      <c r="G10" s="219"/>
      <c r="H10" s="11"/>
      <c r="I10" s="11"/>
      <c r="J10" s="11"/>
      <c r="K10" s="11"/>
      <c r="L10" s="10"/>
      <c r="M10" s="10"/>
      <c r="N10" s="10"/>
      <c r="O10" s="10"/>
    </row>
    <row r="11" spans="1:15" s="2" customFormat="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0"/>
      <c r="M11" s="10"/>
      <c r="N11" s="10"/>
      <c r="O11" s="10"/>
    </row>
    <row r="12" spans="1:9" ht="15">
      <c r="A12" s="220" t="s">
        <v>8</v>
      </c>
      <c r="B12" s="220"/>
      <c r="C12" s="220"/>
      <c r="D12" s="220"/>
      <c r="E12" s="220"/>
      <c r="F12" s="220"/>
      <c r="G12" s="220"/>
      <c r="H12"/>
      <c r="I12"/>
    </row>
    <row r="13" spans="1:9" ht="15">
      <c r="A13" s="220" t="s">
        <v>9</v>
      </c>
      <c r="B13" s="220"/>
      <c r="C13" s="220"/>
      <c r="D13" s="220"/>
      <c r="E13" s="220"/>
      <c r="F13" s="220"/>
      <c r="G13" s="220"/>
      <c r="H13"/>
      <c r="I13"/>
    </row>
    <row r="14" spans="1:9" ht="15">
      <c r="A14" s="221" t="s">
        <v>10</v>
      </c>
      <c r="B14" s="221"/>
      <c r="C14" s="221"/>
      <c r="D14" s="221"/>
      <c r="E14" s="221"/>
      <c r="F14" s="221"/>
      <c r="G14"/>
      <c r="H14"/>
      <c r="I14"/>
    </row>
    <row r="15" spans="1:9" ht="15">
      <c r="A15" s="221" t="s">
        <v>11</v>
      </c>
      <c r="B15" s="221"/>
      <c r="C15" s="221"/>
      <c r="D15" s="221"/>
      <c r="E15" s="221"/>
      <c r="F15" s="221"/>
      <c r="G15"/>
      <c r="H15"/>
      <c r="I15"/>
    </row>
    <row r="16" spans="1:9" ht="15.75">
      <c r="A16" s="13"/>
      <c r="B16"/>
      <c r="C16"/>
      <c r="D16"/>
      <c r="E16"/>
      <c r="F16"/>
      <c r="G16"/>
      <c r="H16"/>
      <c r="I16"/>
    </row>
    <row r="17" spans="1:9" ht="26.25" customHeight="1">
      <c r="A17" s="218" t="s">
        <v>12</v>
      </c>
      <c r="B17" s="218"/>
      <c r="C17" s="218"/>
      <c r="D17" s="218"/>
      <c r="E17" s="218"/>
      <c r="F17" s="218"/>
      <c r="G17" s="218"/>
      <c r="H17"/>
      <c r="I17"/>
    </row>
    <row r="18" spans="1:9" ht="29.25" customHeight="1">
      <c r="A18" s="218" t="s">
        <v>13</v>
      </c>
      <c r="B18" s="218"/>
      <c r="C18" s="218"/>
      <c r="D18" s="218"/>
      <c r="E18" s="218"/>
      <c r="F18" s="218"/>
      <c r="G18" s="218"/>
      <c r="H18"/>
      <c r="I18"/>
    </row>
    <row r="19" spans="7:9" ht="15">
      <c r="G19"/>
      <c r="H19"/>
      <c r="I19"/>
    </row>
    <row r="20" spans="1:9" ht="15.75">
      <c r="A20" s="14"/>
      <c r="B20"/>
      <c r="C20"/>
      <c r="D20"/>
      <c r="E20"/>
      <c r="F20"/>
      <c r="G20"/>
      <c r="H20"/>
      <c r="I20"/>
    </row>
    <row r="21" spans="1:9" ht="18">
      <c r="A21" s="15" t="s">
        <v>14</v>
      </c>
      <c r="B21" s="16"/>
      <c r="C21" s="16"/>
      <c r="D21" s="16"/>
      <c r="E21" s="16"/>
      <c r="F21" s="16"/>
      <c r="G21" s="16"/>
      <c r="H21" s="16"/>
      <c r="I21" s="16"/>
    </row>
    <row r="22" spans="1:19" ht="15">
      <c r="A22" s="17" t="s">
        <v>15</v>
      </c>
      <c r="B22" s="16"/>
      <c r="C22" s="18">
        <v>2014</v>
      </c>
      <c r="D22" s="18">
        <v>2015</v>
      </c>
      <c r="E22" s="18">
        <v>2016</v>
      </c>
      <c r="F22" s="18">
        <v>2017</v>
      </c>
      <c r="G22" s="18">
        <v>2018</v>
      </c>
      <c r="H22" s="18">
        <v>2019</v>
      </c>
      <c r="I22" s="18">
        <v>2020</v>
      </c>
      <c r="J22" s="18">
        <v>2021</v>
      </c>
      <c r="K22" s="18">
        <v>2022</v>
      </c>
      <c r="L22" s="18">
        <v>2023</v>
      </c>
      <c r="M22" s="18">
        <v>2024</v>
      </c>
      <c r="N22" s="18">
        <v>2025</v>
      </c>
      <c r="O22" s="18">
        <v>2026</v>
      </c>
      <c r="P22" s="18">
        <v>2027</v>
      </c>
      <c r="Q22" s="18">
        <v>2028</v>
      </c>
      <c r="R22" s="18">
        <v>2029</v>
      </c>
      <c r="S22" s="18">
        <v>2030</v>
      </c>
    </row>
    <row r="23" spans="1:7" ht="15">
      <c r="A23" s="3" t="s">
        <v>16</v>
      </c>
      <c r="B23" s="16"/>
      <c r="C23" s="16"/>
      <c r="D23" s="16"/>
      <c r="E23" s="16"/>
      <c r="F23" s="16"/>
      <c r="G23" s="16"/>
    </row>
    <row r="24" spans="1:7" ht="15">
      <c r="A24" s="19" t="s">
        <v>100</v>
      </c>
      <c r="B24" s="16"/>
      <c r="C24" s="16"/>
      <c r="D24" s="16"/>
      <c r="E24" s="16"/>
      <c r="F24" s="16"/>
      <c r="G24" s="16"/>
    </row>
    <row r="25" spans="1:19" ht="15">
      <c r="A25" s="16" t="s">
        <v>18</v>
      </c>
      <c r="B25" s="16"/>
      <c r="C25" s="20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</row>
    <row r="26" spans="1:19" ht="15">
      <c r="A26" s="16" t="s">
        <v>19</v>
      </c>
      <c r="B26" s="16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5">
      <c r="A27" s="16" t="s">
        <v>20</v>
      </c>
      <c r="B27" s="16"/>
      <c r="C27" s="20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</row>
    <row r="28" spans="1:7" ht="15">
      <c r="A28" s="16"/>
      <c r="B28" s="16"/>
      <c r="C28" s="16"/>
      <c r="D28" s="16"/>
      <c r="E28" s="16"/>
      <c r="F28" s="16"/>
      <c r="G28" s="16"/>
    </row>
    <row r="29" spans="1:7" ht="15">
      <c r="A29" s="3" t="s">
        <v>21</v>
      </c>
      <c r="B29" s="16"/>
      <c r="C29" s="16"/>
      <c r="D29" s="16"/>
      <c r="E29" s="16"/>
      <c r="F29" s="16"/>
      <c r="G29" s="16"/>
    </row>
    <row r="30" spans="1:7" ht="15">
      <c r="A30" s="19" t="s">
        <v>102</v>
      </c>
      <c r="B30" s="16"/>
      <c r="C30" s="16"/>
      <c r="D30" s="16"/>
      <c r="E30" s="16"/>
      <c r="F30" s="16"/>
      <c r="G30" s="16"/>
    </row>
    <row r="31" spans="1:19" ht="15">
      <c r="A31" s="16" t="s">
        <v>18</v>
      </c>
      <c r="B31" s="16"/>
      <c r="C31" s="20">
        <v>0</v>
      </c>
      <c r="D31" s="138">
        <v>0</v>
      </c>
      <c r="E31" s="138">
        <f>'[5]Summary'!$B$29+'[5]Summary'!$C$29+'[5]Summary'!$D$29+112.47-88815.2+38815.2</f>
        <v>429343.55999999994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</row>
    <row r="32" spans="1:19" ht="15">
      <c r="A32" s="16" t="s">
        <v>19</v>
      </c>
      <c r="B32" s="16"/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5">
      <c r="A33" s="16" t="s">
        <v>20</v>
      </c>
      <c r="B33" s="16"/>
      <c r="C33" s="20">
        <v>0</v>
      </c>
      <c r="D33" s="20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</row>
    <row r="34" spans="1:7" ht="15">
      <c r="A34" s="16"/>
      <c r="B34" s="16"/>
      <c r="C34" s="16"/>
      <c r="D34" s="16"/>
      <c r="E34" s="16"/>
      <c r="F34" s="16"/>
      <c r="G34" s="16"/>
    </row>
    <row r="35" spans="1:7" ht="14.25">
      <c r="A35" s="3" t="s">
        <v>22</v>
      </c>
      <c r="B35" s="16"/>
      <c r="C35" s="16"/>
      <c r="D35" s="16"/>
      <c r="E35" s="16"/>
      <c r="F35" s="16"/>
      <c r="G35" s="16"/>
    </row>
    <row r="36" spans="1:7" ht="14.25">
      <c r="A36" s="19" t="s">
        <v>17</v>
      </c>
      <c r="B36" s="16"/>
      <c r="C36" s="16"/>
      <c r="D36" s="16"/>
      <c r="E36" s="16"/>
      <c r="F36" s="16"/>
      <c r="G36" s="16"/>
    </row>
    <row r="37" spans="1:19" ht="14.25">
      <c r="A37" s="16" t="s">
        <v>18</v>
      </c>
      <c r="B37" s="16"/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</row>
    <row r="38" spans="1:19" ht="14.25">
      <c r="A38" s="16" t="s">
        <v>19</v>
      </c>
      <c r="B38" s="16"/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ht="14.25">
      <c r="A39" s="16" t="s">
        <v>20</v>
      </c>
      <c r="B39" s="16"/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</row>
    <row r="40" spans="1:19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4.25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4.25">
      <c r="A42" s="19" t="s">
        <v>17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4.25">
      <c r="A43" s="16" t="s">
        <v>18</v>
      </c>
      <c r="B43" s="16"/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</row>
    <row r="44" spans="1:19" ht="14.25">
      <c r="A44" s="16" t="s">
        <v>19</v>
      </c>
      <c r="B44" s="16"/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</row>
    <row r="45" spans="1:19" ht="14.25">
      <c r="A45" s="16" t="s">
        <v>20</v>
      </c>
      <c r="B45" s="16"/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</row>
    <row r="46" spans="1:19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4.25">
      <c r="A47" s="3" t="s">
        <v>24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4.25">
      <c r="A48" s="19" t="s">
        <v>17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4.25">
      <c r="A49" s="16" t="s">
        <v>18</v>
      </c>
      <c r="B49" s="16"/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</row>
    <row r="50" spans="1:19" ht="14.25">
      <c r="A50" s="16" t="s">
        <v>19</v>
      </c>
      <c r="B50" s="16"/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</row>
    <row r="51" spans="1:19" ht="14.25">
      <c r="A51" s="16" t="s">
        <v>20</v>
      </c>
      <c r="B51" s="16"/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</row>
    <row r="52" spans="1:19" ht="14.25">
      <c r="A52" s="16"/>
      <c r="B52" s="1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4.25">
      <c r="A53" s="3" t="s">
        <v>25</v>
      </c>
      <c r="B53" s="3"/>
      <c r="C53" s="60">
        <f>SUM(C49,C43,C37,C31,C25)</f>
        <v>0</v>
      </c>
      <c r="D53" s="60">
        <f aca="true" t="shared" si="0" ref="D53:G55">SUM(D49,D43,D37,D31,D25)</f>
        <v>0</v>
      </c>
      <c r="E53" s="60">
        <f t="shared" si="0"/>
        <v>429343.55999999994</v>
      </c>
      <c r="F53" s="60">
        <f t="shared" si="0"/>
        <v>0</v>
      </c>
      <c r="G53" s="60">
        <f t="shared" si="0"/>
        <v>0</v>
      </c>
      <c r="H53" s="60">
        <f aca="true" t="shared" si="1" ref="H53:I55">SUM(H49,H43,H37,H31,H25)</f>
        <v>0</v>
      </c>
      <c r="I53" s="60">
        <f t="shared" si="1"/>
        <v>0</v>
      </c>
      <c r="J53" s="60">
        <f aca="true" t="shared" si="2" ref="J53:S53">SUM(J49,J43,J37,J31,J25)</f>
        <v>0</v>
      </c>
      <c r="K53" s="60">
        <f t="shared" si="2"/>
        <v>0</v>
      </c>
      <c r="L53" s="60">
        <f t="shared" si="2"/>
        <v>0</v>
      </c>
      <c r="M53" s="60">
        <f t="shared" si="2"/>
        <v>0</v>
      </c>
      <c r="N53" s="60">
        <f t="shared" si="2"/>
        <v>0</v>
      </c>
      <c r="O53" s="60">
        <f t="shared" si="2"/>
        <v>0</v>
      </c>
      <c r="P53" s="60">
        <f t="shared" si="2"/>
        <v>0</v>
      </c>
      <c r="Q53" s="60">
        <f t="shared" si="2"/>
        <v>0</v>
      </c>
      <c r="R53" s="60">
        <f t="shared" si="2"/>
        <v>0</v>
      </c>
      <c r="S53" s="60">
        <f t="shared" si="2"/>
        <v>0</v>
      </c>
    </row>
    <row r="54" spans="1:19" ht="14.25">
      <c r="A54" s="3" t="s">
        <v>26</v>
      </c>
      <c r="B54" s="3"/>
      <c r="C54" s="60">
        <f>SUM(C50,C44,C38,C32,C26)</f>
        <v>0</v>
      </c>
      <c r="D54" s="60">
        <f t="shared" si="0"/>
        <v>0</v>
      </c>
      <c r="E54" s="60">
        <f>SUM(E50,E44,E38,E32,E26)</f>
        <v>0</v>
      </c>
      <c r="F54" s="60">
        <f t="shared" si="0"/>
        <v>0</v>
      </c>
      <c r="G54" s="60">
        <f t="shared" si="0"/>
        <v>0</v>
      </c>
      <c r="H54" s="60">
        <f t="shared" si="1"/>
        <v>0</v>
      </c>
      <c r="I54" s="60">
        <f t="shared" si="1"/>
        <v>0</v>
      </c>
      <c r="J54" s="60">
        <f aca="true" t="shared" si="3" ref="J54:S54">SUM(J50,J44,J38,J32,J26)</f>
        <v>0</v>
      </c>
      <c r="K54" s="60">
        <f t="shared" si="3"/>
        <v>0</v>
      </c>
      <c r="L54" s="60">
        <f t="shared" si="3"/>
        <v>0</v>
      </c>
      <c r="M54" s="60">
        <f t="shared" si="3"/>
        <v>0</v>
      </c>
      <c r="N54" s="60">
        <f t="shared" si="3"/>
        <v>0</v>
      </c>
      <c r="O54" s="60">
        <f t="shared" si="3"/>
        <v>0</v>
      </c>
      <c r="P54" s="60">
        <f t="shared" si="3"/>
        <v>0</v>
      </c>
      <c r="Q54" s="60">
        <f t="shared" si="3"/>
        <v>0</v>
      </c>
      <c r="R54" s="60">
        <f t="shared" si="3"/>
        <v>0</v>
      </c>
      <c r="S54" s="60">
        <f t="shared" si="3"/>
        <v>0</v>
      </c>
    </row>
    <row r="55" spans="1:19" ht="14.25">
      <c r="A55" s="3" t="s">
        <v>27</v>
      </c>
      <c r="B55" s="23"/>
      <c r="C55" s="60">
        <f>SUM(C51,C45,C39,C33,C27)</f>
        <v>0</v>
      </c>
      <c r="D55" s="60">
        <f t="shared" si="0"/>
        <v>0</v>
      </c>
      <c r="E55" s="60">
        <f t="shared" si="0"/>
        <v>0</v>
      </c>
      <c r="F55" s="60">
        <f t="shared" si="0"/>
        <v>0</v>
      </c>
      <c r="G55" s="60">
        <f t="shared" si="0"/>
        <v>0</v>
      </c>
      <c r="H55" s="60">
        <f t="shared" si="1"/>
        <v>0</v>
      </c>
      <c r="I55" s="60">
        <f t="shared" si="1"/>
        <v>0</v>
      </c>
      <c r="J55" s="60">
        <f aca="true" t="shared" si="4" ref="J55:S55">SUM(J51,J45,J39,J33,J27)</f>
        <v>0</v>
      </c>
      <c r="K55" s="60">
        <f t="shared" si="4"/>
        <v>0</v>
      </c>
      <c r="L55" s="60">
        <f t="shared" si="4"/>
        <v>0</v>
      </c>
      <c r="M55" s="60">
        <f t="shared" si="4"/>
        <v>0</v>
      </c>
      <c r="N55" s="60">
        <f t="shared" si="4"/>
        <v>0</v>
      </c>
      <c r="O55" s="60">
        <f t="shared" si="4"/>
        <v>0</v>
      </c>
      <c r="P55" s="60">
        <f t="shared" si="4"/>
        <v>0</v>
      </c>
      <c r="Q55" s="60">
        <f t="shared" si="4"/>
        <v>0</v>
      </c>
      <c r="R55" s="60">
        <f t="shared" si="4"/>
        <v>0</v>
      </c>
      <c r="S55" s="60">
        <f t="shared" si="4"/>
        <v>0</v>
      </c>
    </row>
    <row r="56" spans="1:19" ht="6" customHeight="1">
      <c r="A56" s="25"/>
      <c r="B56" s="26"/>
      <c r="C56" s="27"/>
      <c r="D56" s="27"/>
      <c r="E56" s="25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9" ht="14.25">
      <c r="A57" s="29"/>
      <c r="B57" s="30"/>
      <c r="C57" s="31"/>
      <c r="D57" s="31"/>
      <c r="E57" s="29"/>
      <c r="F57" s="30"/>
      <c r="G57" s="31"/>
      <c r="H57" s="31"/>
      <c r="I57" s="31"/>
    </row>
    <row r="58" spans="1:9" ht="17.25">
      <c r="A58" s="15" t="s">
        <v>28</v>
      </c>
      <c r="B58" s="16"/>
      <c r="C58" s="16"/>
      <c r="D58" s="16"/>
      <c r="E58" s="16"/>
      <c r="F58" s="16"/>
      <c r="G58" s="16"/>
      <c r="H58" s="16"/>
      <c r="I58" s="16"/>
    </row>
    <row r="59" spans="1:19" ht="14.25">
      <c r="A59" s="17" t="s">
        <v>29</v>
      </c>
      <c r="B59" s="16"/>
      <c r="C59" s="18">
        <v>2014</v>
      </c>
      <c r="D59" s="18">
        <v>2015</v>
      </c>
      <c r="E59" s="18">
        <v>2016</v>
      </c>
      <c r="F59" s="18">
        <v>2017</v>
      </c>
      <c r="G59" s="18">
        <v>2018</v>
      </c>
      <c r="H59" s="18">
        <v>2019</v>
      </c>
      <c r="I59" s="18">
        <v>2020</v>
      </c>
      <c r="J59" s="18">
        <v>2021</v>
      </c>
      <c r="K59" s="18">
        <v>2022</v>
      </c>
      <c r="L59" s="18">
        <v>2023</v>
      </c>
      <c r="M59" s="18">
        <v>2024</v>
      </c>
      <c r="N59" s="18">
        <v>2025</v>
      </c>
      <c r="O59" s="18">
        <v>2026</v>
      </c>
      <c r="P59" s="18">
        <v>2027</v>
      </c>
      <c r="Q59" s="18">
        <v>2028</v>
      </c>
      <c r="R59" s="18">
        <v>2029</v>
      </c>
      <c r="S59" s="18">
        <v>2030</v>
      </c>
    </row>
    <row r="60" spans="1:19" ht="14.25">
      <c r="A60" s="3" t="s">
        <v>16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4.25">
      <c r="A61" s="19" t="s">
        <v>101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4.25">
      <c r="A62" s="16" t="s">
        <v>18</v>
      </c>
      <c r="B62" s="16"/>
      <c r="C62" s="138">
        <f>'[2]Sheet1'!$C$24</f>
        <v>338897.9700000001</v>
      </c>
      <c r="D62" s="138">
        <f>'[3]Summary 2015'!$B$5</f>
        <v>7441.75</v>
      </c>
      <c r="E62" s="138">
        <v>0</v>
      </c>
      <c r="F62" s="138" t="s">
        <v>114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</row>
    <row r="63" spans="1:19" ht="14.25">
      <c r="A63" s="16" t="s">
        <v>19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</row>
    <row r="64" spans="1:19" ht="14.25">
      <c r="A64" s="16" t="s">
        <v>20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4.25">
      <c r="A66" s="3" t="s">
        <v>21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4.25">
      <c r="A67" s="19" t="s">
        <v>30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4.25">
      <c r="A68" s="16" t="s">
        <v>18</v>
      </c>
      <c r="B68" s="16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</row>
    <row r="69" spans="1:19" ht="14.25">
      <c r="A69" s="16" t="s">
        <v>19</v>
      </c>
      <c r="B69" s="16"/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</row>
    <row r="70" spans="1:19" ht="14.25">
      <c r="A70" s="16" t="s">
        <v>20</v>
      </c>
      <c r="B70" s="16"/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</row>
    <row r="71" spans="1:19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4.25">
      <c r="A72" s="3" t="s">
        <v>22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4.25">
      <c r="A73" s="19" t="s">
        <v>30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4.25">
      <c r="A74" s="16" t="s">
        <v>18</v>
      </c>
      <c r="B74" s="16"/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</row>
    <row r="75" spans="1:19" ht="14.25">
      <c r="A75" s="16" t="s">
        <v>19</v>
      </c>
      <c r="B75" s="16"/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</row>
    <row r="76" spans="1:19" ht="14.25">
      <c r="A76" s="16" t="s">
        <v>20</v>
      </c>
      <c r="B76" s="16"/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</row>
    <row r="77" spans="1:19" ht="14.25">
      <c r="A77" s="32"/>
      <c r="B77" s="33"/>
      <c r="C77" s="34"/>
      <c r="D77" s="35"/>
      <c r="E77" s="3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ht="14.25">
      <c r="A78" s="3" t="s">
        <v>23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4.25">
      <c r="A79" s="19" t="s">
        <v>30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4.25">
      <c r="A80" s="16" t="s">
        <v>18</v>
      </c>
      <c r="B80" s="16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</row>
    <row r="81" spans="1:19" ht="14.25">
      <c r="A81" s="16" t="s">
        <v>19</v>
      </c>
      <c r="B81" s="16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</row>
    <row r="82" spans="1:19" ht="14.25">
      <c r="A82" s="16" t="s">
        <v>20</v>
      </c>
      <c r="B82" s="16"/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</row>
    <row r="83" spans="1:19" ht="14.25">
      <c r="A83" s="32"/>
      <c r="B83" s="36"/>
      <c r="C83" s="37"/>
      <c r="D83" s="37"/>
      <c r="E83" s="38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4.25">
      <c r="A84" s="3" t="s">
        <v>24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4.25">
      <c r="A85" s="19" t="s">
        <v>30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4.25">
      <c r="A86" s="16" t="s">
        <v>18</v>
      </c>
      <c r="B86" s="16"/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</row>
    <row r="87" spans="1:19" ht="14.25">
      <c r="A87" s="16" t="s">
        <v>19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</row>
    <row r="88" spans="1:19" ht="14.25">
      <c r="A88" s="16" t="s">
        <v>20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</row>
    <row r="89" spans="1:19" ht="14.25">
      <c r="A89" s="32"/>
      <c r="B89" s="39"/>
      <c r="C89" s="37"/>
      <c r="D89" s="37"/>
      <c r="E89" s="32"/>
      <c r="F89" s="40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14.25">
      <c r="A90" s="3" t="s">
        <v>25</v>
      </c>
      <c r="B90" s="3"/>
      <c r="C90" s="60">
        <f>SUM(C86,C80,C74,C68,C62)</f>
        <v>338897.9700000001</v>
      </c>
      <c r="D90" s="60">
        <f aca="true" t="shared" si="5" ref="D90:G92">SUM(D86,D80,D74,D68,D62)</f>
        <v>7441.75</v>
      </c>
      <c r="E90" s="60">
        <f t="shared" si="5"/>
        <v>0</v>
      </c>
      <c r="F90" s="60">
        <f t="shared" si="5"/>
        <v>0</v>
      </c>
      <c r="G90" s="60">
        <f t="shared" si="5"/>
        <v>0</v>
      </c>
      <c r="H90" s="60">
        <f aca="true" t="shared" si="6" ref="H90:I92">SUM(H86,H80,H74,H68,H62)</f>
        <v>0</v>
      </c>
      <c r="I90" s="60">
        <f t="shared" si="6"/>
        <v>0</v>
      </c>
      <c r="J90" s="60">
        <f aca="true" t="shared" si="7" ref="J90:S90">SUM(J86,J80,J74,J68,J62)</f>
        <v>0</v>
      </c>
      <c r="K90" s="60">
        <f t="shared" si="7"/>
        <v>0</v>
      </c>
      <c r="L90" s="60">
        <f t="shared" si="7"/>
        <v>0</v>
      </c>
      <c r="M90" s="60">
        <f t="shared" si="7"/>
        <v>0</v>
      </c>
      <c r="N90" s="60">
        <f t="shared" si="7"/>
        <v>0</v>
      </c>
      <c r="O90" s="60">
        <f t="shared" si="7"/>
        <v>0</v>
      </c>
      <c r="P90" s="60">
        <f t="shared" si="7"/>
        <v>0</v>
      </c>
      <c r="Q90" s="60">
        <f t="shared" si="7"/>
        <v>0</v>
      </c>
      <c r="R90" s="60">
        <f t="shared" si="7"/>
        <v>0</v>
      </c>
      <c r="S90" s="60">
        <f t="shared" si="7"/>
        <v>0</v>
      </c>
    </row>
    <row r="91" spans="1:19" ht="14.25">
      <c r="A91" s="3" t="s">
        <v>26</v>
      </c>
      <c r="B91" s="3"/>
      <c r="C91" s="22">
        <f>SUM(C87,C81,C75,C69,C63)</f>
        <v>0</v>
      </c>
      <c r="D91" s="22">
        <f t="shared" si="5"/>
        <v>0</v>
      </c>
      <c r="E91" s="22">
        <f t="shared" si="5"/>
        <v>0</v>
      </c>
      <c r="F91" s="22">
        <f t="shared" si="5"/>
        <v>0</v>
      </c>
      <c r="G91" s="22">
        <f t="shared" si="5"/>
        <v>0</v>
      </c>
      <c r="H91" s="22">
        <f t="shared" si="6"/>
        <v>0</v>
      </c>
      <c r="I91" s="22">
        <f t="shared" si="6"/>
        <v>0</v>
      </c>
      <c r="J91" s="22">
        <f aca="true" t="shared" si="8" ref="J91:S91">SUM(J87,J81,J75,J69,J63)</f>
        <v>0</v>
      </c>
      <c r="K91" s="22">
        <f t="shared" si="8"/>
        <v>0</v>
      </c>
      <c r="L91" s="22">
        <f t="shared" si="8"/>
        <v>0</v>
      </c>
      <c r="M91" s="22">
        <f t="shared" si="8"/>
        <v>0</v>
      </c>
      <c r="N91" s="22">
        <f t="shared" si="8"/>
        <v>0</v>
      </c>
      <c r="O91" s="22">
        <f t="shared" si="8"/>
        <v>0</v>
      </c>
      <c r="P91" s="22">
        <f t="shared" si="8"/>
        <v>0</v>
      </c>
      <c r="Q91" s="22">
        <f t="shared" si="8"/>
        <v>0</v>
      </c>
      <c r="R91" s="22">
        <f t="shared" si="8"/>
        <v>0</v>
      </c>
      <c r="S91" s="22">
        <f t="shared" si="8"/>
        <v>0</v>
      </c>
    </row>
    <row r="92" spans="1:19" ht="14.25">
      <c r="A92" s="3" t="s">
        <v>27</v>
      </c>
      <c r="B92" s="23"/>
      <c r="C92" s="24">
        <f>SUM(C88,C82,C76,C70,C64)</f>
        <v>0</v>
      </c>
      <c r="D92" s="24">
        <f t="shared" si="5"/>
        <v>0</v>
      </c>
      <c r="E92" s="24">
        <f t="shared" si="5"/>
        <v>0</v>
      </c>
      <c r="F92" s="24">
        <f t="shared" si="5"/>
        <v>0</v>
      </c>
      <c r="G92" s="24">
        <f t="shared" si="5"/>
        <v>0</v>
      </c>
      <c r="H92" s="24">
        <f t="shared" si="6"/>
        <v>0</v>
      </c>
      <c r="I92" s="24">
        <f t="shared" si="6"/>
        <v>0</v>
      </c>
      <c r="J92" s="24">
        <f aca="true" t="shared" si="9" ref="J92:S92">SUM(J88,J82,J76,J70,J64)</f>
        <v>0</v>
      </c>
      <c r="K92" s="24">
        <f t="shared" si="9"/>
        <v>0</v>
      </c>
      <c r="L92" s="24">
        <f t="shared" si="9"/>
        <v>0</v>
      </c>
      <c r="M92" s="24">
        <f t="shared" si="9"/>
        <v>0</v>
      </c>
      <c r="N92" s="24">
        <f t="shared" si="9"/>
        <v>0</v>
      </c>
      <c r="O92" s="24">
        <f t="shared" si="9"/>
        <v>0</v>
      </c>
      <c r="P92" s="24">
        <f t="shared" si="9"/>
        <v>0</v>
      </c>
      <c r="Q92" s="24">
        <f t="shared" si="9"/>
        <v>0</v>
      </c>
      <c r="R92" s="24">
        <f t="shared" si="9"/>
        <v>0</v>
      </c>
      <c r="S92" s="24">
        <f t="shared" si="9"/>
        <v>0</v>
      </c>
    </row>
    <row r="93" spans="1:9" ht="5.25" customHeight="1">
      <c r="A93" s="41"/>
      <c r="B93" s="42"/>
      <c r="C93" s="43"/>
      <c r="D93" s="43"/>
      <c r="E93" s="41"/>
      <c r="F93" s="44"/>
      <c r="G93" s="43"/>
      <c r="H93" s="43"/>
      <c r="I93" s="43"/>
    </row>
    <row r="100" ht="14.25">
      <c r="G100" s="159" t="s">
        <v>113</v>
      </c>
    </row>
  </sheetData>
  <sheetProtection/>
  <mergeCells count="8">
    <mergeCell ref="A17:G17"/>
    <mergeCell ref="A18:G18"/>
    <mergeCell ref="A9:G9"/>
    <mergeCell ref="A10:G10"/>
    <mergeCell ref="A12:G12"/>
    <mergeCell ref="A13:G13"/>
    <mergeCell ref="A14:F14"/>
    <mergeCell ref="A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B96"/>
  <sheetViews>
    <sheetView zoomScale="75" zoomScaleNormal="75" zoomScalePageLayoutView="0" workbookViewId="0" topLeftCell="F65">
      <selection activeCell="T77" sqref="T77"/>
    </sheetView>
  </sheetViews>
  <sheetFormatPr defaultColWidth="8.8515625" defaultRowHeight="15"/>
  <cols>
    <col min="1" max="1" width="34.7109375" style="12" customWidth="1"/>
    <col min="2" max="2" width="14.7109375" style="12" customWidth="1"/>
    <col min="3" max="3" width="12.7109375" style="12" customWidth="1"/>
    <col min="4" max="4" width="14.7109375" style="12" customWidth="1"/>
    <col min="5" max="5" width="16.28125" style="12" bestFit="1" customWidth="1"/>
    <col min="6" max="27" width="14.7109375" style="12" customWidth="1"/>
    <col min="28" max="28" width="10.8515625" style="12" bestFit="1" customWidth="1"/>
    <col min="29" max="29" width="16.00390625" style="12" bestFit="1" customWidth="1"/>
    <col min="30" max="55" width="12.57421875" style="12" customWidth="1"/>
    <col min="56" max="16384" width="8.8515625" style="12" customWidth="1"/>
  </cols>
  <sheetData>
    <row r="1" spans="1:7" s="132" customFormat="1" ht="15" customHeight="1" hidden="1">
      <c r="A1" s="1"/>
      <c r="B1" s="1"/>
      <c r="C1" s="1"/>
      <c r="D1" s="1"/>
      <c r="F1" s="3" t="s">
        <v>0</v>
      </c>
      <c r="G1" s="4" t="e">
        <f>EBNUMBER</f>
        <v>#REF!</v>
      </c>
    </row>
    <row r="2" spans="1:7" s="132" customFormat="1" ht="15" customHeight="1" hidden="1">
      <c r="A2" s="1"/>
      <c r="B2" s="1"/>
      <c r="C2" s="1"/>
      <c r="D2" s="1"/>
      <c r="F2" s="3" t="s">
        <v>1</v>
      </c>
      <c r="G2" s="5">
        <v>2</v>
      </c>
    </row>
    <row r="3" spans="1:7" s="132" customFormat="1" ht="15" customHeight="1" hidden="1">
      <c r="A3" s="1"/>
      <c r="B3" s="1"/>
      <c r="C3" s="1"/>
      <c r="D3" s="1"/>
      <c r="F3" s="3" t="s">
        <v>2</v>
      </c>
      <c r="G3" s="5">
        <v>3</v>
      </c>
    </row>
    <row r="4" spans="1:7" s="132" customFormat="1" ht="15" customHeight="1" hidden="1">
      <c r="A4" s="1"/>
      <c r="B4" s="1"/>
      <c r="C4" s="1"/>
      <c r="D4" s="1"/>
      <c r="F4" s="3" t="s">
        <v>3</v>
      </c>
      <c r="G4" s="5">
        <v>10</v>
      </c>
    </row>
    <row r="5" spans="1:7" s="132" customFormat="1" ht="15" customHeight="1" hidden="1">
      <c r="A5" s="1"/>
      <c r="B5" s="1"/>
      <c r="C5" s="1"/>
      <c r="D5" s="1"/>
      <c r="F5" s="3" t="s">
        <v>4</v>
      </c>
      <c r="G5" s="7">
        <v>3</v>
      </c>
    </row>
    <row r="6" spans="1:7" s="132" customFormat="1" ht="15" customHeight="1" hidden="1">
      <c r="A6" s="1"/>
      <c r="B6" s="1"/>
      <c r="C6" s="1"/>
      <c r="D6" s="1"/>
      <c r="F6" s="3"/>
      <c r="G6" s="8"/>
    </row>
    <row r="7" spans="1:7" s="132" customFormat="1" ht="15" customHeight="1" hidden="1">
      <c r="A7" s="1"/>
      <c r="B7" s="1"/>
      <c r="C7" s="1"/>
      <c r="D7" s="1"/>
      <c r="F7" s="3" t="s">
        <v>5</v>
      </c>
      <c r="G7" s="137"/>
    </row>
    <row r="8" spans="1:13" s="132" customFormat="1" ht="15">
      <c r="A8" s="9"/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</row>
    <row r="9" spans="1:13" s="132" customFormat="1" ht="18">
      <c r="A9" s="219" t="s">
        <v>93</v>
      </c>
      <c r="B9" s="219"/>
      <c r="C9" s="219"/>
      <c r="D9" s="219"/>
      <c r="E9" s="219"/>
      <c r="F9" s="219"/>
      <c r="G9" s="219"/>
      <c r="H9" s="11"/>
      <c r="I9" s="11"/>
      <c r="J9" s="11"/>
      <c r="K9" s="10"/>
      <c r="L9" s="10"/>
      <c r="M9" s="10"/>
    </row>
    <row r="10" spans="1:13" s="132" customFormat="1" ht="39.75" customHeight="1">
      <c r="A10" s="227" t="s">
        <v>94</v>
      </c>
      <c r="B10" s="227"/>
      <c r="C10" s="227"/>
      <c r="D10" s="227"/>
      <c r="E10" s="227"/>
      <c r="F10" s="227"/>
      <c r="G10" s="227"/>
      <c r="H10" s="11"/>
      <c r="I10" s="11"/>
      <c r="J10" s="11"/>
      <c r="K10" s="10"/>
      <c r="L10" s="10"/>
      <c r="M10" s="10"/>
    </row>
    <row r="11" spans="1:13" s="132" customFormat="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0"/>
      <c r="L11" s="10"/>
      <c r="M11" s="10"/>
    </row>
    <row r="12" spans="1:7" ht="15">
      <c r="A12" s="228" t="s">
        <v>95</v>
      </c>
      <c r="B12" s="228"/>
      <c r="C12" s="228"/>
      <c r="D12" s="228"/>
      <c r="E12" s="228"/>
      <c r="F12" s="228"/>
      <c r="G12" s="228"/>
    </row>
    <row r="13" spans="1:7" ht="15">
      <c r="A13" s="228" t="s">
        <v>34</v>
      </c>
      <c r="B13" s="228"/>
      <c r="C13" s="228"/>
      <c r="D13" s="228"/>
      <c r="E13" s="228"/>
      <c r="F13" s="228"/>
      <c r="G13" s="228"/>
    </row>
    <row r="14" spans="1:7" ht="15">
      <c r="A14" s="228" t="s">
        <v>96</v>
      </c>
      <c r="B14" s="228"/>
      <c r="C14" s="228"/>
      <c r="D14" s="228"/>
      <c r="E14" s="228"/>
      <c r="F14" s="228"/>
      <c r="G14" s="228"/>
    </row>
    <row r="15" spans="1:49" ht="15">
      <c r="A15" s="133"/>
      <c r="B15" s="133"/>
      <c r="C15" s="133"/>
      <c r="D15" s="133"/>
      <c r="E15" s="133"/>
      <c r="F15" s="133"/>
      <c r="G15" s="133"/>
      <c r="AW15" s="134"/>
    </row>
    <row r="16" spans="49:54" ht="15.75" thickBot="1">
      <c r="AW16" s="197"/>
      <c r="AX16" s="197"/>
      <c r="AY16" s="197"/>
      <c r="AZ16" s="197"/>
      <c r="BA16" s="197"/>
      <c r="BB16" s="197"/>
    </row>
    <row r="17" spans="1:54" s="134" customFormat="1" ht="15.75" thickBot="1">
      <c r="A17" s="46"/>
      <c r="B17" s="46"/>
      <c r="C17" s="46"/>
      <c r="D17" s="224" t="s">
        <v>36</v>
      </c>
      <c r="E17" s="225"/>
      <c r="F17" s="226"/>
      <c r="G17" s="224">
        <v>2015</v>
      </c>
      <c r="H17" s="225"/>
      <c r="I17" s="226"/>
      <c r="J17" s="224">
        <v>2016</v>
      </c>
      <c r="K17" s="225">
        <v>2016</v>
      </c>
      <c r="L17" s="226"/>
      <c r="M17" s="224">
        <v>2017</v>
      </c>
      <c r="N17" s="225"/>
      <c r="O17" s="226"/>
      <c r="P17" s="224">
        <v>2018</v>
      </c>
      <c r="Q17" s="225"/>
      <c r="R17" s="226"/>
      <c r="S17" s="224">
        <v>2019</v>
      </c>
      <c r="T17" s="225"/>
      <c r="U17" s="226"/>
      <c r="V17" s="224">
        <v>2020</v>
      </c>
      <c r="W17" s="225"/>
      <c r="X17" s="226"/>
      <c r="Y17" s="224">
        <v>2021</v>
      </c>
      <c r="Z17" s="225"/>
      <c r="AA17" s="226"/>
      <c r="AB17" s="224">
        <v>2022</v>
      </c>
      <c r="AC17" s="225"/>
      <c r="AD17" s="226"/>
      <c r="AE17" s="224">
        <v>2023</v>
      </c>
      <c r="AF17" s="225"/>
      <c r="AG17" s="226"/>
      <c r="AH17" s="224">
        <v>2024</v>
      </c>
      <c r="AI17" s="225"/>
      <c r="AJ17" s="226"/>
      <c r="AK17" s="224">
        <v>2025</v>
      </c>
      <c r="AL17" s="225"/>
      <c r="AM17" s="226"/>
      <c r="AN17" s="224">
        <v>2026</v>
      </c>
      <c r="AO17" s="225"/>
      <c r="AP17" s="226"/>
      <c r="AQ17" s="224">
        <v>2027</v>
      </c>
      <c r="AR17" s="225"/>
      <c r="AS17" s="226"/>
      <c r="AT17" s="224">
        <v>2028</v>
      </c>
      <c r="AU17" s="225"/>
      <c r="AV17" s="225"/>
      <c r="AW17" s="231"/>
      <c r="AX17" s="232"/>
      <c r="AY17" s="232"/>
      <c r="AZ17" s="232"/>
      <c r="BA17" s="232"/>
      <c r="BB17" s="232"/>
    </row>
    <row r="18" spans="1:54" ht="15">
      <c r="A18" s="16"/>
      <c r="B18" s="16"/>
      <c r="C18" s="16"/>
      <c r="D18" s="16"/>
      <c r="E18" s="3" t="s">
        <v>37</v>
      </c>
      <c r="F18" s="50" t="s">
        <v>38</v>
      </c>
      <c r="G18" s="16"/>
      <c r="H18" s="3" t="s">
        <v>37</v>
      </c>
      <c r="I18" s="50" t="s">
        <v>38</v>
      </c>
      <c r="J18" s="16"/>
      <c r="K18" s="3" t="s">
        <v>37</v>
      </c>
      <c r="L18" s="50" t="s">
        <v>38</v>
      </c>
      <c r="M18" s="16"/>
      <c r="N18" s="3" t="s">
        <v>37</v>
      </c>
      <c r="O18" s="50" t="s">
        <v>38</v>
      </c>
      <c r="P18" s="16"/>
      <c r="Q18" s="3" t="s">
        <v>37</v>
      </c>
      <c r="R18" s="50" t="s">
        <v>38</v>
      </c>
      <c r="S18" s="16"/>
      <c r="T18" s="3" t="s">
        <v>37</v>
      </c>
      <c r="U18" s="50" t="s">
        <v>38</v>
      </c>
      <c r="V18" s="16"/>
      <c r="W18" s="3" t="s">
        <v>37</v>
      </c>
      <c r="X18" s="50" t="s">
        <v>38</v>
      </c>
      <c r="Y18" s="16"/>
      <c r="Z18" s="3" t="s">
        <v>37</v>
      </c>
      <c r="AA18" s="50" t="s">
        <v>38</v>
      </c>
      <c r="AC18" s="155" t="s">
        <v>37</v>
      </c>
      <c r="AD18" s="155" t="s">
        <v>38</v>
      </c>
      <c r="AE18" s="16"/>
      <c r="AF18" s="3" t="s">
        <v>37</v>
      </c>
      <c r="AG18" s="50" t="s">
        <v>38</v>
      </c>
      <c r="AH18" s="16"/>
      <c r="AI18" s="3" t="s">
        <v>37</v>
      </c>
      <c r="AJ18" s="50" t="s">
        <v>38</v>
      </c>
      <c r="AK18" s="16"/>
      <c r="AL18" s="3" t="s">
        <v>37</v>
      </c>
      <c r="AM18" s="50" t="s">
        <v>38</v>
      </c>
      <c r="AN18" s="16"/>
      <c r="AO18" s="3" t="s">
        <v>37</v>
      </c>
      <c r="AP18" s="50" t="s">
        <v>38</v>
      </c>
      <c r="AQ18" s="16"/>
      <c r="AR18" s="3" t="s">
        <v>37</v>
      </c>
      <c r="AS18" s="50" t="s">
        <v>38</v>
      </c>
      <c r="AT18" s="16"/>
      <c r="AU18" s="3" t="s">
        <v>37</v>
      </c>
      <c r="AV18" s="50" t="s">
        <v>38</v>
      </c>
      <c r="AW18" s="184"/>
      <c r="AX18" s="23"/>
      <c r="AY18" s="199"/>
      <c r="AZ18" s="32"/>
      <c r="BA18" s="23"/>
      <c r="BB18" s="199"/>
    </row>
    <row r="19" spans="1:54" ht="15">
      <c r="A19" s="135"/>
      <c r="B19" s="52"/>
      <c r="C19" s="52"/>
      <c r="D19" s="52" t="s">
        <v>39</v>
      </c>
      <c r="E19" s="53">
        <v>0.06</v>
      </c>
      <c r="F19" s="53">
        <v>0.94</v>
      </c>
      <c r="G19" s="52" t="s">
        <v>39</v>
      </c>
      <c r="H19" s="53">
        <v>0.06</v>
      </c>
      <c r="I19" s="53">
        <v>0.94</v>
      </c>
      <c r="J19" s="52" t="s">
        <v>39</v>
      </c>
      <c r="K19" s="53">
        <v>0.06</v>
      </c>
      <c r="L19" s="53">
        <v>0.94</v>
      </c>
      <c r="M19" s="52" t="s">
        <v>39</v>
      </c>
      <c r="N19" s="53">
        <v>0.06</v>
      </c>
      <c r="O19" s="53">
        <v>0.94</v>
      </c>
      <c r="P19" s="52" t="s">
        <v>39</v>
      </c>
      <c r="Q19" s="53">
        <v>0.06</v>
      </c>
      <c r="R19" s="53">
        <v>0.94</v>
      </c>
      <c r="S19" s="52" t="s">
        <v>39</v>
      </c>
      <c r="T19" s="53">
        <v>0.06</v>
      </c>
      <c r="U19" s="53">
        <v>0.94</v>
      </c>
      <c r="V19" s="52" t="s">
        <v>39</v>
      </c>
      <c r="W19" s="53">
        <v>0.06</v>
      </c>
      <c r="X19" s="53">
        <v>0.94</v>
      </c>
      <c r="Y19" s="52" t="s">
        <v>39</v>
      </c>
      <c r="Z19" s="53">
        <v>0.06</v>
      </c>
      <c r="AA19" s="53">
        <v>0.94</v>
      </c>
      <c r="AB19" s="12" t="s">
        <v>39</v>
      </c>
      <c r="AC19" s="156">
        <v>0.06</v>
      </c>
      <c r="AD19" s="156">
        <v>0.94</v>
      </c>
      <c r="AE19" s="52" t="s">
        <v>39</v>
      </c>
      <c r="AF19" s="53">
        <v>0.06</v>
      </c>
      <c r="AG19" s="53">
        <v>0.94</v>
      </c>
      <c r="AH19" s="52" t="s">
        <v>39</v>
      </c>
      <c r="AI19" s="53">
        <v>0.06</v>
      </c>
      <c r="AJ19" s="53">
        <v>0.94</v>
      </c>
      <c r="AK19" s="52" t="s">
        <v>39</v>
      </c>
      <c r="AL19" s="53">
        <v>0.06</v>
      </c>
      <c r="AM19" s="53">
        <v>0.94</v>
      </c>
      <c r="AN19" s="52" t="s">
        <v>39</v>
      </c>
      <c r="AO19" s="53">
        <v>0.06</v>
      </c>
      <c r="AP19" s="53">
        <v>0.94</v>
      </c>
      <c r="AQ19" s="52" t="s">
        <v>39</v>
      </c>
      <c r="AR19" s="53">
        <v>0.06</v>
      </c>
      <c r="AS19" s="53">
        <v>0.94</v>
      </c>
      <c r="AT19" s="52" t="s">
        <v>39</v>
      </c>
      <c r="AU19" s="53">
        <v>0.06</v>
      </c>
      <c r="AV19" s="53">
        <v>0.94</v>
      </c>
      <c r="AW19" s="191"/>
      <c r="AX19" s="53"/>
      <c r="AY19" s="53"/>
      <c r="AZ19" s="52"/>
      <c r="BA19" s="53"/>
      <c r="BB19" s="53"/>
    </row>
    <row r="20" spans="1:54" ht="15">
      <c r="A20" s="3" t="s">
        <v>40</v>
      </c>
      <c r="B20" s="55"/>
      <c r="C20" s="16"/>
      <c r="D20" s="56">
        <f>D83</f>
        <v>0</v>
      </c>
      <c r="E20" s="21">
        <f>D20*E19</f>
        <v>0</v>
      </c>
      <c r="F20" s="57">
        <f>D20*F19</f>
        <v>0</v>
      </c>
      <c r="G20" s="56">
        <f>E83</f>
        <v>0</v>
      </c>
      <c r="H20" s="21">
        <f>G20*H19</f>
        <v>0</v>
      </c>
      <c r="I20" s="57">
        <f>G20*I19</f>
        <v>0</v>
      </c>
      <c r="J20" s="58">
        <f>F83</f>
        <v>207454.8138333333</v>
      </c>
      <c r="K20" s="21">
        <f>J20*K19</f>
        <v>12447.288829999998</v>
      </c>
      <c r="L20" s="57">
        <f>J20*L19</f>
        <v>195007.52500333328</v>
      </c>
      <c r="M20" s="58">
        <f>G83</f>
        <v>400598.1756666666</v>
      </c>
      <c r="N20" s="21">
        <f>M20*N19</f>
        <v>24035.890539999993</v>
      </c>
      <c r="O20" s="57">
        <f>M20*O19</f>
        <v>376562.2851266666</v>
      </c>
      <c r="P20" s="58">
        <f>H83</f>
        <v>371975.2716666666</v>
      </c>
      <c r="Q20" s="72">
        <f>P20*Q19</f>
        <v>22318.516299999996</v>
      </c>
      <c r="R20" s="57">
        <f>P20*R19</f>
        <v>349656.7553666666</v>
      </c>
      <c r="S20" s="58">
        <f>I83</f>
        <v>343352.3676666666</v>
      </c>
      <c r="T20" s="72">
        <f>S20*T19</f>
        <v>20601.14206</v>
      </c>
      <c r="U20" s="146">
        <f>S20*U19</f>
        <v>322751.2256066666</v>
      </c>
      <c r="V20" s="58">
        <f>J83</f>
        <v>314729.46366666665</v>
      </c>
      <c r="W20" s="72">
        <f>V20*W19</f>
        <v>18883.767819999997</v>
      </c>
      <c r="X20" s="146">
        <f>V20*X19</f>
        <v>295845.69584666664</v>
      </c>
      <c r="Y20" s="58">
        <f>K83</f>
        <v>286106.5596666666</v>
      </c>
      <c r="Z20" s="72">
        <f>Y20*Z19</f>
        <v>17166.393579999996</v>
      </c>
      <c r="AA20" s="146">
        <f>Y20*AA19</f>
        <v>268940.1660866666</v>
      </c>
      <c r="AB20" s="154">
        <f>L83</f>
        <v>257483.65566666663</v>
      </c>
      <c r="AC20" s="72">
        <f>AB20*AC19</f>
        <v>15449.019339999997</v>
      </c>
      <c r="AD20" s="146">
        <f>AB20*AD19</f>
        <v>242034.63632666663</v>
      </c>
      <c r="AE20" s="58">
        <f>M83</f>
        <v>228860.75166666665</v>
      </c>
      <c r="AF20" s="72">
        <f>AE20*AF19</f>
        <v>13731.645099999998</v>
      </c>
      <c r="AG20" s="146">
        <f>AE20*AG19</f>
        <v>215129.10656666663</v>
      </c>
      <c r="AH20" s="58">
        <f>N83</f>
        <v>200237.84766666667</v>
      </c>
      <c r="AI20" s="72">
        <f>AH20*AI19</f>
        <v>12014.27086</v>
      </c>
      <c r="AJ20" s="146">
        <f>AH20*AJ19</f>
        <v>188223.57680666665</v>
      </c>
      <c r="AK20" s="58">
        <f>O83</f>
        <v>171614.9436666667</v>
      </c>
      <c r="AL20" s="72">
        <f>AK20*AL19</f>
        <v>10296.896620000001</v>
      </c>
      <c r="AM20" s="146">
        <f>AK20*AM19</f>
        <v>161318.04704666667</v>
      </c>
      <c r="AN20" s="58">
        <f>P83</f>
        <v>142992.0396666667</v>
      </c>
      <c r="AO20" s="72">
        <f>AN20*AO19</f>
        <v>8579.522380000002</v>
      </c>
      <c r="AP20" s="146">
        <f>AN20*AP19</f>
        <v>134412.5172866667</v>
      </c>
      <c r="AQ20" s="58">
        <f>Q83</f>
        <v>114369.13566666673</v>
      </c>
      <c r="AR20" s="72">
        <f>AQ20*AR19</f>
        <v>6862.148140000003</v>
      </c>
      <c r="AS20" s="146">
        <f>AQ20*AS19</f>
        <v>107506.98752666672</v>
      </c>
      <c r="AT20" s="58">
        <f>R83</f>
        <v>85746.23166666675</v>
      </c>
      <c r="AU20" s="72">
        <f>AT20*AU19</f>
        <v>5144.773900000005</v>
      </c>
      <c r="AV20" s="146">
        <f>AT20*AV19</f>
        <v>80601.45776666673</v>
      </c>
      <c r="AW20" s="192"/>
      <c r="AX20" s="200"/>
      <c r="AY20" s="201"/>
      <c r="AZ20" s="34"/>
      <c r="BA20" s="200"/>
      <c r="BB20" s="201"/>
    </row>
    <row r="21" spans="1:54" ht="15">
      <c r="A21" s="16" t="s">
        <v>41</v>
      </c>
      <c r="B21" s="59"/>
      <c r="C21" s="16"/>
      <c r="D21" s="60">
        <f>'Projects Listings'!C55</f>
        <v>0</v>
      </c>
      <c r="E21" s="61">
        <f>D21</f>
        <v>0</v>
      </c>
      <c r="F21" s="62"/>
      <c r="G21" s="60">
        <f>'Projects Listings'!D55</f>
        <v>0</v>
      </c>
      <c r="H21" s="61">
        <f>G21</f>
        <v>0</v>
      </c>
      <c r="I21" s="62"/>
      <c r="J21" s="60">
        <f>'Projects Listings'!E55</f>
        <v>0</v>
      </c>
      <c r="K21" s="61">
        <f>J21</f>
        <v>0</v>
      </c>
      <c r="L21" s="62"/>
      <c r="M21" s="60">
        <f>'Projects Listings'!F55</f>
        <v>0</v>
      </c>
      <c r="N21" s="61">
        <f>M21</f>
        <v>0</v>
      </c>
      <c r="O21" s="62"/>
      <c r="P21" s="142">
        <f>'Projects Listings'!G55</f>
        <v>0</v>
      </c>
      <c r="Q21" s="61">
        <f>P21</f>
        <v>0</v>
      </c>
      <c r="R21" s="62"/>
      <c r="S21" s="142">
        <f>'Projects Listings'!H55</f>
        <v>0</v>
      </c>
      <c r="T21" s="61">
        <f>S21</f>
        <v>0</v>
      </c>
      <c r="U21" s="62"/>
      <c r="V21" s="142">
        <f>'Projects Listings'!I55</f>
        <v>0</v>
      </c>
      <c r="W21" s="61">
        <f>V21</f>
        <v>0</v>
      </c>
      <c r="X21" s="62"/>
      <c r="Y21" s="142">
        <f>'Projects Listings'!J55</f>
        <v>0</v>
      </c>
      <c r="Z21" s="61">
        <f>Y21</f>
        <v>0</v>
      </c>
      <c r="AA21" s="62"/>
      <c r="AB21" s="142">
        <f>'Projects Listings'!K55</f>
        <v>0</v>
      </c>
      <c r="AC21" s="61">
        <f>AB21</f>
        <v>0</v>
      </c>
      <c r="AD21" s="62"/>
      <c r="AE21" s="142">
        <f>'Projects Listings'!L55</f>
        <v>0</v>
      </c>
      <c r="AF21" s="61">
        <f>AE21</f>
        <v>0</v>
      </c>
      <c r="AG21" s="62"/>
      <c r="AH21" s="142">
        <f>'Projects Listings'!M55</f>
        <v>0</v>
      </c>
      <c r="AI21" s="61">
        <f>AH21</f>
        <v>0</v>
      </c>
      <c r="AJ21" s="62"/>
      <c r="AK21" s="142">
        <f>'Projects Listings'!N55</f>
        <v>0</v>
      </c>
      <c r="AL21" s="61">
        <f>AK21</f>
        <v>0</v>
      </c>
      <c r="AM21" s="62"/>
      <c r="AN21" s="142">
        <f>'Projects Listings'!O55</f>
        <v>0</v>
      </c>
      <c r="AO21" s="61">
        <f>AN21</f>
        <v>0</v>
      </c>
      <c r="AP21" s="62"/>
      <c r="AQ21" s="142">
        <f>'Projects Listings'!P55</f>
        <v>0</v>
      </c>
      <c r="AR21" s="61">
        <f>AQ21</f>
        <v>0</v>
      </c>
      <c r="AS21" s="62"/>
      <c r="AT21" s="142">
        <f>'Projects Listings'!Q55</f>
        <v>0</v>
      </c>
      <c r="AU21" s="61">
        <f>AT21</f>
        <v>0</v>
      </c>
      <c r="AV21" s="62"/>
      <c r="AW21" s="193"/>
      <c r="AX21" s="37"/>
      <c r="AY21" s="189"/>
      <c r="AZ21" s="60"/>
      <c r="BA21" s="37"/>
      <c r="BB21" s="189"/>
    </row>
    <row r="22" spans="1:54" ht="15">
      <c r="A22" s="16" t="s">
        <v>42</v>
      </c>
      <c r="B22" s="59"/>
      <c r="C22" s="16"/>
      <c r="D22" s="60">
        <f>'Projects Listings'!C54</f>
        <v>0</v>
      </c>
      <c r="E22" s="61">
        <f>D22*E19</f>
        <v>0</v>
      </c>
      <c r="F22" s="61">
        <f>D22*F19</f>
        <v>0</v>
      </c>
      <c r="G22" s="60">
        <f>'Projects Listings'!D54</f>
        <v>0</v>
      </c>
      <c r="H22" s="61">
        <f>G22*H19</f>
        <v>0</v>
      </c>
      <c r="I22" s="61">
        <f>G22*I19</f>
        <v>0</v>
      </c>
      <c r="J22" s="60">
        <f>'Projects Listings'!E54</f>
        <v>0</v>
      </c>
      <c r="K22" s="61">
        <f>J22*K19</f>
        <v>0</v>
      </c>
      <c r="L22" s="61">
        <f>J22*L19</f>
        <v>0</v>
      </c>
      <c r="M22" s="60">
        <f>'Projects Listings'!F54</f>
        <v>0</v>
      </c>
      <c r="N22" s="61">
        <f>M22*N19</f>
        <v>0</v>
      </c>
      <c r="O22" s="61">
        <f>M22*O19</f>
        <v>0</v>
      </c>
      <c r="P22" s="60">
        <f>'Projects Listings'!G54</f>
        <v>0</v>
      </c>
      <c r="Q22" s="61">
        <f>P22*Q19</f>
        <v>0</v>
      </c>
      <c r="R22" s="61">
        <f>P22*R19</f>
        <v>0</v>
      </c>
      <c r="S22" s="60">
        <f>'Projects Listings'!H54</f>
        <v>0</v>
      </c>
      <c r="T22" s="61">
        <f>S22*T19</f>
        <v>0</v>
      </c>
      <c r="U22" s="61">
        <f>S22*U19</f>
        <v>0</v>
      </c>
      <c r="V22" s="60">
        <f>'Projects Listings'!I54</f>
        <v>0</v>
      </c>
      <c r="W22" s="61">
        <f>V22*W19</f>
        <v>0</v>
      </c>
      <c r="X22" s="61">
        <f>V22*X19</f>
        <v>0</v>
      </c>
      <c r="Y22" s="60">
        <f>'Projects Listings'!J54</f>
        <v>0</v>
      </c>
      <c r="Z22" s="61">
        <f>Y22*Z19</f>
        <v>0</v>
      </c>
      <c r="AA22" s="61">
        <f>Y22*AA19</f>
        <v>0</v>
      </c>
      <c r="AB22" s="60">
        <f>'Projects Listings'!K54</f>
        <v>0</v>
      </c>
      <c r="AC22" s="61">
        <f>AB22*AC19</f>
        <v>0</v>
      </c>
      <c r="AD22" s="61">
        <f>AB22*AD19</f>
        <v>0</v>
      </c>
      <c r="AE22" s="60">
        <f>'Projects Listings'!L54</f>
        <v>0</v>
      </c>
      <c r="AF22" s="61">
        <f>AE22*AF19</f>
        <v>0</v>
      </c>
      <c r="AG22" s="61">
        <f>AE22*AG19</f>
        <v>0</v>
      </c>
      <c r="AH22" s="60">
        <f>'Projects Listings'!M54</f>
        <v>0</v>
      </c>
      <c r="AI22" s="61">
        <f>AH22*AI19</f>
        <v>0</v>
      </c>
      <c r="AJ22" s="61">
        <f>AH22*AJ19</f>
        <v>0</v>
      </c>
      <c r="AK22" s="60">
        <f>'Projects Listings'!N54</f>
        <v>0</v>
      </c>
      <c r="AL22" s="61">
        <f>AK22*AL19</f>
        <v>0</v>
      </c>
      <c r="AM22" s="61">
        <f>AK22*AM19</f>
        <v>0</v>
      </c>
      <c r="AN22" s="60">
        <f>'Projects Listings'!O54</f>
        <v>0</v>
      </c>
      <c r="AO22" s="61">
        <f>AN22*AO19</f>
        <v>0</v>
      </c>
      <c r="AP22" s="61">
        <f>AN22*AP19</f>
        <v>0</v>
      </c>
      <c r="AQ22" s="60">
        <f>'Projects Listings'!P54</f>
        <v>0</v>
      </c>
      <c r="AR22" s="61">
        <f>AQ22*AR19</f>
        <v>0</v>
      </c>
      <c r="AS22" s="61">
        <f>AQ22*AS19</f>
        <v>0</v>
      </c>
      <c r="AT22" s="60">
        <f>'Projects Listings'!Q54</f>
        <v>0</v>
      </c>
      <c r="AU22" s="61">
        <f>AT22*AU19</f>
        <v>0</v>
      </c>
      <c r="AV22" s="61">
        <f>AT22*AV19</f>
        <v>0</v>
      </c>
      <c r="AW22" s="193"/>
      <c r="AX22" s="37"/>
      <c r="AY22" s="37"/>
      <c r="AZ22" s="60"/>
      <c r="BA22" s="37"/>
      <c r="BB22" s="37"/>
    </row>
    <row r="23" spans="1:54" ht="15">
      <c r="A23" s="16" t="s">
        <v>43</v>
      </c>
      <c r="B23" s="73">
        <v>0.1342</v>
      </c>
      <c r="C23" s="64"/>
      <c r="D23" s="65"/>
      <c r="E23" s="66">
        <f>(E21+E22)*$B$23</f>
        <v>0</v>
      </c>
      <c r="F23" s="67">
        <f>F22*$B$23</f>
        <v>0</v>
      </c>
      <c r="G23" s="65"/>
      <c r="H23" s="66">
        <f>(H21+H22)*$B$23</f>
        <v>0</v>
      </c>
      <c r="I23" s="67">
        <f>I22*$B$23</f>
        <v>0</v>
      </c>
      <c r="J23" s="65"/>
      <c r="K23" s="66">
        <f>(K21+K22)*$B$23</f>
        <v>0</v>
      </c>
      <c r="L23" s="67">
        <f>L22*$B$23</f>
        <v>0</v>
      </c>
      <c r="M23" s="65"/>
      <c r="N23" s="66">
        <f>(N21+N22)*$B$23</f>
        <v>0</v>
      </c>
      <c r="O23" s="67">
        <f>O22*$B$23</f>
        <v>0</v>
      </c>
      <c r="P23" s="65"/>
      <c r="Q23" s="66">
        <f>(Q21+Q22)*$B$23</f>
        <v>0</v>
      </c>
      <c r="R23" s="67">
        <f>R22*$B$23</f>
        <v>0</v>
      </c>
      <c r="S23" s="65"/>
      <c r="T23" s="66">
        <f>(T21+T22)*$B$23</f>
        <v>0</v>
      </c>
      <c r="U23" s="67">
        <f>U22*$B$23</f>
        <v>0</v>
      </c>
      <c r="V23" s="65"/>
      <c r="W23" s="66">
        <f>(W21+W22)*$B$23</f>
        <v>0</v>
      </c>
      <c r="X23" s="67">
        <f>X22*$B$23</f>
        <v>0</v>
      </c>
      <c r="Y23" s="65"/>
      <c r="Z23" s="66">
        <f>(Z21+Z22)*$B$23</f>
        <v>0</v>
      </c>
      <c r="AA23" s="67">
        <f>AA22*$B$23</f>
        <v>0</v>
      </c>
      <c r="AC23" s="66">
        <f>(AC21+AC22)*$B$23</f>
        <v>0</v>
      </c>
      <c r="AD23" s="67">
        <f>AD22*$B$23</f>
        <v>0</v>
      </c>
      <c r="AE23" s="65"/>
      <c r="AF23" s="66">
        <f>(AF21+AF22)*$B$23</f>
        <v>0</v>
      </c>
      <c r="AG23" s="67">
        <f>AG22*$B$23</f>
        <v>0</v>
      </c>
      <c r="AH23" s="65"/>
      <c r="AI23" s="66">
        <f>(AI21+AI22)*$B$23</f>
        <v>0</v>
      </c>
      <c r="AJ23" s="67">
        <f>AJ22*$B$23</f>
        <v>0</v>
      </c>
      <c r="AK23" s="65"/>
      <c r="AL23" s="66">
        <f>(AL21+AL22)*$B$23</f>
        <v>0</v>
      </c>
      <c r="AM23" s="67">
        <f>AM22*$B$23</f>
        <v>0</v>
      </c>
      <c r="AN23" s="65"/>
      <c r="AO23" s="66">
        <f>(AO21+AO22)*$B$23</f>
        <v>0</v>
      </c>
      <c r="AP23" s="67">
        <f>AP22*$B$23</f>
        <v>0</v>
      </c>
      <c r="AQ23" s="65"/>
      <c r="AR23" s="66">
        <f>(AR21+AR22)*$B$23</f>
        <v>0</v>
      </c>
      <c r="AS23" s="67">
        <f>AS22*$B$23</f>
        <v>0</v>
      </c>
      <c r="AT23" s="65"/>
      <c r="AU23" s="66">
        <f>(AU21+AU22)*$B$23</f>
        <v>0</v>
      </c>
      <c r="AV23" s="67">
        <f>AV22*$B$23</f>
        <v>0</v>
      </c>
      <c r="AW23" s="202"/>
      <c r="AX23" s="37"/>
      <c r="AY23" s="35"/>
      <c r="AZ23" s="203"/>
      <c r="BA23" s="37"/>
      <c r="BB23" s="35"/>
    </row>
    <row r="24" spans="1:54" ht="15">
      <c r="A24" s="3" t="s">
        <v>44</v>
      </c>
      <c r="B24" s="16"/>
      <c r="C24" s="64"/>
      <c r="D24" s="16"/>
      <c r="E24" s="68">
        <f>SUM(E20+E23)</f>
        <v>0</v>
      </c>
      <c r="F24" s="68">
        <f>SUM(F20+F23)</f>
        <v>0</v>
      </c>
      <c r="G24" s="16"/>
      <c r="H24" s="68">
        <f>SUM(H20+H23)</f>
        <v>0</v>
      </c>
      <c r="I24" s="68">
        <f>SUM(I20+I23)</f>
        <v>0</v>
      </c>
      <c r="J24" s="16"/>
      <c r="K24" s="68">
        <f>SUM(K20+K23)</f>
        <v>12447.288829999998</v>
      </c>
      <c r="L24" s="68">
        <f>SUM(L20+L23)</f>
        <v>195007.52500333328</v>
      </c>
      <c r="M24" s="16"/>
      <c r="N24" s="68">
        <f>SUM(N20+N23)</f>
        <v>24035.890539999993</v>
      </c>
      <c r="O24" s="68">
        <f>SUM(O20+O23)</f>
        <v>376562.2851266666</v>
      </c>
      <c r="P24" s="16"/>
      <c r="Q24" s="68">
        <f>SUM(Q20+Q23)</f>
        <v>22318.516299999996</v>
      </c>
      <c r="R24" s="68">
        <f>SUM(R20+R23)</f>
        <v>349656.7553666666</v>
      </c>
      <c r="S24" s="16"/>
      <c r="T24" s="68">
        <f>SUM(T20+T23)</f>
        <v>20601.14206</v>
      </c>
      <c r="U24" s="68">
        <f>SUM(U20+U23)</f>
        <v>322751.2256066666</v>
      </c>
      <c r="V24" s="16"/>
      <c r="W24" s="68">
        <f>SUM(W20+W23)</f>
        <v>18883.767819999997</v>
      </c>
      <c r="X24" s="68">
        <f>SUM(X20+X23)</f>
        <v>295845.69584666664</v>
      </c>
      <c r="Y24" s="16"/>
      <c r="Z24" s="68">
        <f>SUM(Z20+Z23)</f>
        <v>17166.393579999996</v>
      </c>
      <c r="AA24" s="68">
        <f>SUM(AA20+AA23)</f>
        <v>268940.1660866666</v>
      </c>
      <c r="AC24" s="68">
        <f>SUM(AC20+AC23)</f>
        <v>15449.019339999997</v>
      </c>
      <c r="AD24" s="68">
        <f>SUM(AD20+AD23)</f>
        <v>242034.63632666663</v>
      </c>
      <c r="AE24" s="16"/>
      <c r="AF24" s="68">
        <f>SUM(AF20+AF23)</f>
        <v>13731.645099999998</v>
      </c>
      <c r="AG24" s="68">
        <f>SUM(AG20+AG23)</f>
        <v>215129.10656666663</v>
      </c>
      <c r="AH24" s="16"/>
      <c r="AI24" s="68">
        <f>SUM(AI20+AI23)</f>
        <v>12014.27086</v>
      </c>
      <c r="AJ24" s="68">
        <f>SUM(AJ20+AJ23)</f>
        <v>188223.57680666665</v>
      </c>
      <c r="AK24" s="16"/>
      <c r="AL24" s="68">
        <f>SUM(AL20+AL23)</f>
        <v>10296.896620000001</v>
      </c>
      <c r="AM24" s="68">
        <f>SUM(AM20+AM23)</f>
        <v>161318.04704666667</v>
      </c>
      <c r="AN24" s="16"/>
      <c r="AO24" s="68">
        <f>SUM(AO20+AO23)</f>
        <v>8579.522380000002</v>
      </c>
      <c r="AP24" s="68">
        <f>SUM(AP20+AP23)</f>
        <v>134412.5172866667</v>
      </c>
      <c r="AQ24" s="16"/>
      <c r="AR24" s="68">
        <f>SUM(AR20+AR23)</f>
        <v>6862.148140000003</v>
      </c>
      <c r="AS24" s="68">
        <f>SUM(AS20+AS23)</f>
        <v>107506.98752666672</v>
      </c>
      <c r="AT24" s="16"/>
      <c r="AU24" s="68">
        <f>SUM(AU20+AU23)</f>
        <v>5144.773900000005</v>
      </c>
      <c r="AV24" s="68">
        <f>SUM(AV20+AV23)</f>
        <v>80601.45776666673</v>
      </c>
      <c r="AW24" s="184"/>
      <c r="AX24" s="37"/>
      <c r="AY24" s="37"/>
      <c r="AZ24" s="32"/>
      <c r="BA24" s="37"/>
      <c r="BB24" s="37"/>
    </row>
    <row r="25" spans="1:54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84"/>
      <c r="AX25" s="32"/>
      <c r="AY25" s="32"/>
      <c r="AZ25" s="32"/>
      <c r="BA25" s="32"/>
      <c r="BB25" s="32"/>
    </row>
    <row r="26" spans="1:5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84"/>
      <c r="AX26" s="32"/>
      <c r="AY26" s="32"/>
      <c r="AZ26" s="32"/>
      <c r="BA26" s="32"/>
      <c r="BB26" s="32"/>
    </row>
    <row r="27" spans="1:54" ht="15">
      <c r="A27" s="16" t="s">
        <v>45</v>
      </c>
      <c r="B27" s="63">
        <v>0.04</v>
      </c>
      <c r="C27" s="64"/>
      <c r="D27" s="55"/>
      <c r="E27" s="68">
        <f>E24*$B$27</f>
        <v>0</v>
      </c>
      <c r="F27" s="68">
        <f>F24*$B$27</f>
        <v>0</v>
      </c>
      <c r="G27" s="55"/>
      <c r="H27" s="68">
        <f>H24*$B$27</f>
        <v>0</v>
      </c>
      <c r="I27" s="68">
        <f>I24*$B$27</f>
        <v>0</v>
      </c>
      <c r="J27" s="55"/>
      <c r="K27" s="68">
        <f>K24*$B$27</f>
        <v>497.8915531999999</v>
      </c>
      <c r="L27" s="68">
        <f>L24*$B$27</f>
        <v>7800.301000133331</v>
      </c>
      <c r="M27" s="55"/>
      <c r="N27" s="68">
        <f>N24*$B$27</f>
        <v>961.4356215999998</v>
      </c>
      <c r="O27" s="68">
        <f>O24*$B$27</f>
        <v>15062.491405066665</v>
      </c>
      <c r="P27" s="55"/>
      <c r="Q27" s="68">
        <f>Q24*$B$27</f>
        <v>892.7406519999998</v>
      </c>
      <c r="R27" s="68">
        <f>R24*$B$27</f>
        <v>13986.270214666663</v>
      </c>
      <c r="S27" s="55"/>
      <c r="T27" s="68">
        <f>T24*$B$27</f>
        <v>824.0456823999999</v>
      </c>
      <c r="U27" s="68">
        <f>U24*$B$27</f>
        <v>12910.049024266664</v>
      </c>
      <c r="V27" s="55"/>
      <c r="W27" s="144">
        <f>W24*$B$27</f>
        <v>755.3507127999999</v>
      </c>
      <c r="X27" s="68">
        <f>X24*$B$27</f>
        <v>11833.827833866666</v>
      </c>
      <c r="Y27" s="55"/>
      <c r="Z27" s="144">
        <f>Z24*$B$27</f>
        <v>686.6557431999998</v>
      </c>
      <c r="AA27" s="68">
        <f>AA24*$B$27</f>
        <v>10757.606643466663</v>
      </c>
      <c r="AC27" s="144">
        <f>AC24*$B$27</f>
        <v>617.9607735999999</v>
      </c>
      <c r="AD27" s="68">
        <f>AD24*$B$27</f>
        <v>9681.385453066665</v>
      </c>
      <c r="AE27" s="55"/>
      <c r="AF27" s="144">
        <f>AF24*$B$27</f>
        <v>549.2658039999999</v>
      </c>
      <c r="AG27" s="68">
        <f>AG24*$B$27</f>
        <v>8605.164262666665</v>
      </c>
      <c r="AH27" s="55"/>
      <c r="AI27" s="144">
        <f>AI24*$B$27</f>
        <v>480.5708344</v>
      </c>
      <c r="AJ27" s="68">
        <f>AJ24*$B$27</f>
        <v>7528.943072266666</v>
      </c>
      <c r="AK27" s="55"/>
      <c r="AL27" s="144">
        <f>AL24*$B$27</f>
        <v>411.87586480000004</v>
      </c>
      <c r="AM27" s="68">
        <f>AM24*$B$27</f>
        <v>6452.721881866667</v>
      </c>
      <c r="AN27" s="55"/>
      <c r="AO27" s="144">
        <f>AO24*$B$27</f>
        <v>343.18089520000007</v>
      </c>
      <c r="AP27" s="68">
        <f>AP24*$B$27</f>
        <v>5376.500691466668</v>
      </c>
      <c r="AQ27" s="55"/>
      <c r="AR27" s="144">
        <f>AR24*$B$27</f>
        <v>274.48592560000014</v>
      </c>
      <c r="AS27" s="68">
        <f>AS24*$B$27</f>
        <v>4300.279501066669</v>
      </c>
      <c r="AT27" s="55"/>
      <c r="AU27" s="144">
        <f>AU24*$B$27</f>
        <v>205.7909560000002</v>
      </c>
      <c r="AV27" s="68">
        <f>AV24*$B$27</f>
        <v>3224.0583106666695</v>
      </c>
      <c r="AW27" s="204"/>
      <c r="AX27" s="89"/>
      <c r="AY27" s="37"/>
      <c r="AZ27" s="33"/>
      <c r="BA27" s="89"/>
      <c r="BB27" s="37"/>
    </row>
    <row r="28" spans="1:54" ht="15">
      <c r="A28" s="16" t="s">
        <v>46</v>
      </c>
      <c r="B28" s="63">
        <v>0.56</v>
      </c>
      <c r="C28" s="64"/>
      <c r="D28" s="69"/>
      <c r="E28" s="68">
        <f>E24*$B$28</f>
        <v>0</v>
      </c>
      <c r="F28" s="68">
        <f>F24*$B$28</f>
        <v>0</v>
      </c>
      <c r="G28" s="69"/>
      <c r="H28" s="68">
        <f>H24*$B$28</f>
        <v>0</v>
      </c>
      <c r="I28" s="68">
        <f>I24*$B$28</f>
        <v>0</v>
      </c>
      <c r="J28" s="69"/>
      <c r="K28" s="68">
        <f>K24*$B$28</f>
        <v>6970.481744799999</v>
      </c>
      <c r="L28" s="68">
        <f>L24*$B$28</f>
        <v>109204.21400186665</v>
      </c>
      <c r="M28" s="69"/>
      <c r="N28" s="68">
        <f>N24*$B$28</f>
        <v>13460.098702399997</v>
      </c>
      <c r="O28" s="68">
        <f>O24*$B$28</f>
        <v>210874.87967093333</v>
      </c>
      <c r="P28" s="69"/>
      <c r="Q28" s="68">
        <f>Q24*$B$28</f>
        <v>12498.369127999998</v>
      </c>
      <c r="R28" s="68">
        <f>R24*$B$28</f>
        <v>195807.7830053333</v>
      </c>
      <c r="S28" s="69"/>
      <c r="T28" s="68">
        <f>T24*$B$28</f>
        <v>11536.6395536</v>
      </c>
      <c r="U28" s="68">
        <f>U24*$B$28</f>
        <v>180740.6863397333</v>
      </c>
      <c r="V28" s="69"/>
      <c r="W28" s="68">
        <f>W24*$B$28</f>
        <v>10574.9099792</v>
      </c>
      <c r="X28" s="68">
        <f>X24*$B$28</f>
        <v>165673.58967413334</v>
      </c>
      <c r="Y28" s="69"/>
      <c r="Z28" s="68">
        <f>Z24*$B$28</f>
        <v>9613.1804048</v>
      </c>
      <c r="AA28" s="68">
        <f>AA24*$B$28</f>
        <v>150606.4930085333</v>
      </c>
      <c r="AC28" s="68">
        <f>AC24*$B$28</f>
        <v>8651.4508304</v>
      </c>
      <c r="AD28" s="68">
        <f>AD24*$B$28</f>
        <v>135539.39634293332</v>
      </c>
      <c r="AE28" s="69"/>
      <c r="AF28" s="68">
        <f>AF24*$B$28</f>
        <v>7689.721256</v>
      </c>
      <c r="AG28" s="68">
        <f>AG24*$B$28</f>
        <v>120472.29967733333</v>
      </c>
      <c r="AH28" s="69"/>
      <c r="AI28" s="68">
        <f>AI24*$B$28</f>
        <v>6727.991681600001</v>
      </c>
      <c r="AJ28" s="68">
        <f>AJ24*$B$28</f>
        <v>105405.20301173333</v>
      </c>
      <c r="AK28" s="69"/>
      <c r="AL28" s="68">
        <f>AL24*$B$28</f>
        <v>5766.262107200001</v>
      </c>
      <c r="AM28" s="68">
        <f>AM24*$B$28</f>
        <v>90338.10634613334</v>
      </c>
      <c r="AN28" s="69"/>
      <c r="AO28" s="68">
        <f>AO24*$B$28</f>
        <v>4804.532532800002</v>
      </c>
      <c r="AP28" s="68">
        <f>AP24*$B$28</f>
        <v>75271.00968053336</v>
      </c>
      <c r="AQ28" s="69"/>
      <c r="AR28" s="68">
        <f>AR24*$B$28</f>
        <v>3842.802958400002</v>
      </c>
      <c r="AS28" s="68">
        <f>AS24*$B$28</f>
        <v>60203.91301493337</v>
      </c>
      <c r="AT28" s="69"/>
      <c r="AU28" s="68">
        <f>AU24*$B$28</f>
        <v>2881.073384000003</v>
      </c>
      <c r="AV28" s="68">
        <f>AV24*$B$28</f>
        <v>45136.81634933338</v>
      </c>
      <c r="AW28" s="205"/>
      <c r="AX28" s="37"/>
      <c r="AY28" s="37"/>
      <c r="AZ28" s="38"/>
      <c r="BA28" s="37"/>
      <c r="BB28" s="37"/>
    </row>
    <row r="29" spans="1:54" ht="15">
      <c r="A29" s="16" t="s">
        <v>47</v>
      </c>
      <c r="B29" s="63">
        <v>0.4</v>
      </c>
      <c r="C29" s="64"/>
      <c r="D29" s="70"/>
      <c r="E29" s="68">
        <f>E24*$B$29</f>
        <v>0</v>
      </c>
      <c r="F29" s="68">
        <f>F24*$B$29</f>
        <v>0</v>
      </c>
      <c r="G29" s="70"/>
      <c r="H29" s="68">
        <f>H24*$B$29</f>
        <v>0</v>
      </c>
      <c r="I29" s="68">
        <f>I24*$B$29</f>
        <v>0</v>
      </c>
      <c r="J29" s="70"/>
      <c r="K29" s="68">
        <f>K24*$B$29</f>
        <v>4978.915531999999</v>
      </c>
      <c r="L29" s="68">
        <f>L24*$B$29</f>
        <v>78003.01000133331</v>
      </c>
      <c r="M29" s="70"/>
      <c r="N29" s="68">
        <f>N24*$B$29</f>
        <v>9614.356215999998</v>
      </c>
      <c r="O29" s="68">
        <f>O24*$B$29</f>
        <v>150624.91405066664</v>
      </c>
      <c r="P29" s="70"/>
      <c r="Q29" s="68">
        <f>Q24*$B$29</f>
        <v>8927.406519999999</v>
      </c>
      <c r="R29" s="68">
        <f>R24*$B$29</f>
        <v>139862.70214666665</v>
      </c>
      <c r="S29" s="70"/>
      <c r="T29" s="68">
        <f>T24*$B$29</f>
        <v>8240.456823999999</v>
      </c>
      <c r="U29" s="68">
        <f>U24*$B$29</f>
        <v>129100.49024266664</v>
      </c>
      <c r="V29" s="70"/>
      <c r="W29" s="68">
        <f>W24*$B$29</f>
        <v>7553.507127999999</v>
      </c>
      <c r="X29" s="68">
        <f>X24*$B$29</f>
        <v>118338.27833866666</v>
      </c>
      <c r="Y29" s="70"/>
      <c r="Z29" s="68">
        <f>Z24*$B$29</f>
        <v>6866.557431999999</v>
      </c>
      <c r="AA29" s="68">
        <f>AA24*$B$29</f>
        <v>107576.06643466663</v>
      </c>
      <c r="AC29" s="68">
        <f>AC24*$B$29</f>
        <v>6179.607735999999</v>
      </c>
      <c r="AD29" s="68">
        <f>AD24*$B$29</f>
        <v>96813.85453066666</v>
      </c>
      <c r="AE29" s="70"/>
      <c r="AF29" s="68">
        <f>AF24*$B$29</f>
        <v>5492.658039999999</v>
      </c>
      <c r="AG29" s="68">
        <f>AG24*$B$29</f>
        <v>86051.64262666665</v>
      </c>
      <c r="AH29" s="70"/>
      <c r="AI29" s="68">
        <f>AI24*$B$29</f>
        <v>4805.708344000001</v>
      </c>
      <c r="AJ29" s="68">
        <f>AJ24*$B$29</f>
        <v>75289.43072266666</v>
      </c>
      <c r="AK29" s="70"/>
      <c r="AL29" s="68">
        <f>AL24*$B$29</f>
        <v>4118.758648000001</v>
      </c>
      <c r="AM29" s="68">
        <f>AM24*$B$29</f>
        <v>64527.218818666675</v>
      </c>
      <c r="AN29" s="70"/>
      <c r="AO29" s="68">
        <f>AO24*$B$29</f>
        <v>3431.808952000001</v>
      </c>
      <c r="AP29" s="68">
        <f>AP24*$B$29</f>
        <v>53765.00691466668</v>
      </c>
      <c r="AQ29" s="70"/>
      <c r="AR29" s="68">
        <f>AR24*$B$29</f>
        <v>2744.8592560000016</v>
      </c>
      <c r="AS29" s="68">
        <f>AS24*$B$29</f>
        <v>43002.79501066669</v>
      </c>
      <c r="AT29" s="70"/>
      <c r="AU29" s="68">
        <f>AU24*$B$29</f>
        <v>2057.909560000002</v>
      </c>
      <c r="AV29" s="68">
        <f>AV24*$B$29</f>
        <v>32240.583106666694</v>
      </c>
      <c r="AW29" s="205"/>
      <c r="AX29" s="37"/>
      <c r="AY29" s="37"/>
      <c r="AZ29" s="38"/>
      <c r="BA29" s="37"/>
      <c r="BB29" s="37"/>
    </row>
    <row r="30" spans="1:54" ht="15">
      <c r="A30" s="16"/>
      <c r="B30" s="16"/>
      <c r="C30" s="71"/>
      <c r="D30" s="16"/>
      <c r="E30" s="72"/>
      <c r="F30" s="16"/>
      <c r="G30" s="16"/>
      <c r="H30" s="72"/>
      <c r="I30" s="16"/>
      <c r="J30" s="16"/>
      <c r="K30" s="72"/>
      <c r="L30" s="16"/>
      <c r="M30" s="16"/>
      <c r="N30" s="72"/>
      <c r="O30" s="16"/>
      <c r="P30" s="16"/>
      <c r="Q30" s="72"/>
      <c r="R30" s="16"/>
      <c r="S30" s="16"/>
      <c r="T30" s="72"/>
      <c r="U30" s="16"/>
      <c r="V30" s="16"/>
      <c r="W30" s="72"/>
      <c r="X30" s="16"/>
      <c r="Y30" s="16"/>
      <c r="Z30" s="72"/>
      <c r="AA30" s="16"/>
      <c r="AC30" s="72"/>
      <c r="AD30" s="16"/>
      <c r="AE30" s="16"/>
      <c r="AF30" s="72"/>
      <c r="AG30" s="16"/>
      <c r="AH30" s="16"/>
      <c r="AI30" s="72"/>
      <c r="AJ30" s="16"/>
      <c r="AK30" s="16"/>
      <c r="AL30" s="72"/>
      <c r="AM30" s="16"/>
      <c r="AN30" s="16"/>
      <c r="AO30" s="72"/>
      <c r="AP30" s="16"/>
      <c r="AQ30" s="16"/>
      <c r="AR30" s="72"/>
      <c r="AS30" s="16"/>
      <c r="AT30" s="16"/>
      <c r="AU30" s="72"/>
      <c r="AV30" s="16"/>
      <c r="AW30" s="184"/>
      <c r="AX30" s="200"/>
      <c r="AY30" s="32"/>
      <c r="AZ30" s="32"/>
      <c r="BA30" s="200"/>
      <c r="BB30" s="32"/>
    </row>
    <row r="31" spans="1:54" ht="15">
      <c r="A31" s="16" t="s">
        <v>48</v>
      </c>
      <c r="B31" s="73">
        <v>0.0211</v>
      </c>
      <c r="C31" s="64"/>
      <c r="D31" s="74"/>
      <c r="E31" s="68">
        <f aca="true" t="shared" si="0" ref="E31:F33">E27*$B31</f>
        <v>0</v>
      </c>
      <c r="F31" s="68">
        <f t="shared" si="0"/>
        <v>0</v>
      </c>
      <c r="G31" s="74"/>
      <c r="H31" s="68">
        <f aca="true" t="shared" si="1" ref="H31:I33">H27*$B31</f>
        <v>0</v>
      </c>
      <c r="I31" s="68">
        <f t="shared" si="1"/>
        <v>0</v>
      </c>
      <c r="J31" s="74"/>
      <c r="K31" s="68">
        <f aca="true" t="shared" si="2" ref="K31:L33">K27*$B31</f>
        <v>10.505511772519998</v>
      </c>
      <c r="L31" s="68">
        <f t="shared" si="2"/>
        <v>164.5863511028133</v>
      </c>
      <c r="M31" s="74"/>
      <c r="N31" s="68">
        <f aca="true" t="shared" si="3" ref="N31:O33">N27*$B31</f>
        <v>20.286291615759996</v>
      </c>
      <c r="O31" s="68">
        <f t="shared" si="3"/>
        <v>317.8185686469066</v>
      </c>
      <c r="P31" s="74"/>
      <c r="Q31" s="68">
        <f aca="true" t="shared" si="4" ref="Q31:R33">Q27*$B31</f>
        <v>18.8368277572</v>
      </c>
      <c r="R31" s="68">
        <f t="shared" si="4"/>
        <v>295.1103015294666</v>
      </c>
      <c r="S31" s="74"/>
      <c r="T31" s="68">
        <f aca="true" t="shared" si="5" ref="T31:U33">T27*$B31</f>
        <v>17.38736389864</v>
      </c>
      <c r="U31" s="68">
        <f t="shared" si="5"/>
        <v>272.40203441202664</v>
      </c>
      <c r="V31" s="74"/>
      <c r="W31" s="68">
        <f aca="true" t="shared" si="6" ref="W31:X33">W27*$B31</f>
        <v>15.937900040079999</v>
      </c>
      <c r="X31" s="68">
        <f t="shared" si="6"/>
        <v>249.69376729458665</v>
      </c>
      <c r="Y31" s="74"/>
      <c r="Z31" s="68">
        <f aca="true" t="shared" si="7" ref="Z31:AA33">Z27*$B31</f>
        <v>14.488436181519997</v>
      </c>
      <c r="AA31" s="68">
        <f t="shared" si="7"/>
        <v>226.9855001771466</v>
      </c>
      <c r="AC31" s="68">
        <f aca="true" t="shared" si="8" ref="AC31:AD33">AC27*$B31</f>
        <v>13.03897232296</v>
      </c>
      <c r="AD31" s="68">
        <f t="shared" si="8"/>
        <v>204.27723305970665</v>
      </c>
      <c r="AE31" s="74"/>
      <c r="AF31" s="68">
        <f aca="true" t="shared" si="9" ref="AF31:AG33">AF27*$B31</f>
        <v>11.589508464399998</v>
      </c>
      <c r="AG31" s="68">
        <f t="shared" si="9"/>
        <v>181.56896594226666</v>
      </c>
      <c r="AH31" s="74"/>
      <c r="AI31" s="68">
        <f aca="true" t="shared" si="10" ref="AI31:AJ33">AI27*$B31</f>
        <v>10.14004460584</v>
      </c>
      <c r="AJ31" s="68">
        <f t="shared" si="10"/>
        <v>158.86069882482664</v>
      </c>
      <c r="AK31" s="74"/>
      <c r="AL31" s="68">
        <f aca="true" t="shared" si="11" ref="AL31:AM33">AL27*$B31</f>
        <v>8.690580747280002</v>
      </c>
      <c r="AM31" s="68">
        <f t="shared" si="11"/>
        <v>136.15243170738668</v>
      </c>
      <c r="AN31" s="74"/>
      <c r="AO31" s="68">
        <f aca="true" t="shared" si="12" ref="AO31:AP33">AO27*$B31</f>
        <v>7.2411168887200015</v>
      </c>
      <c r="AP31" s="68">
        <f t="shared" si="12"/>
        <v>113.44416458994671</v>
      </c>
      <c r="AQ31" s="74"/>
      <c r="AR31" s="68">
        <f aca="true" t="shared" si="13" ref="AR31:AS33">AR27*$B31</f>
        <v>5.7916530301600035</v>
      </c>
      <c r="AS31" s="68">
        <f t="shared" si="13"/>
        <v>90.73589747250671</v>
      </c>
      <c r="AT31" s="74"/>
      <c r="AU31" s="68">
        <f aca="true" t="shared" si="14" ref="AU31:AV33">AU27*$B31</f>
        <v>4.342189171600004</v>
      </c>
      <c r="AV31" s="68">
        <f t="shared" si="14"/>
        <v>68.02763035506673</v>
      </c>
      <c r="AW31" s="206"/>
      <c r="AX31" s="37"/>
      <c r="AY31" s="37"/>
      <c r="AZ31" s="207"/>
      <c r="BA31" s="37"/>
      <c r="BB31" s="37"/>
    </row>
    <row r="32" spans="1:54" ht="15">
      <c r="A32" s="16" t="s">
        <v>49</v>
      </c>
      <c r="B32" s="73">
        <v>0.0494</v>
      </c>
      <c r="C32" s="64"/>
      <c r="D32" s="74"/>
      <c r="E32" s="68">
        <f t="shared" si="0"/>
        <v>0</v>
      </c>
      <c r="F32" s="68">
        <f t="shared" si="0"/>
        <v>0</v>
      </c>
      <c r="G32" s="74"/>
      <c r="H32" s="68">
        <f t="shared" si="1"/>
        <v>0</v>
      </c>
      <c r="I32" s="68">
        <f t="shared" si="1"/>
        <v>0</v>
      </c>
      <c r="J32" s="74"/>
      <c r="K32" s="68">
        <f t="shared" si="2"/>
        <v>344.34179819312</v>
      </c>
      <c r="L32" s="68">
        <f t="shared" si="2"/>
        <v>5394.688171692213</v>
      </c>
      <c r="M32" s="74"/>
      <c r="N32" s="68">
        <f t="shared" si="3"/>
        <v>664.9288758985598</v>
      </c>
      <c r="O32" s="68">
        <f t="shared" si="3"/>
        <v>10417.219055744106</v>
      </c>
      <c r="P32" s="74"/>
      <c r="Q32" s="68">
        <f t="shared" si="4"/>
        <v>617.4194349231999</v>
      </c>
      <c r="R32" s="68">
        <f t="shared" si="4"/>
        <v>9672.904480463465</v>
      </c>
      <c r="S32" s="74"/>
      <c r="T32" s="68">
        <f t="shared" si="5"/>
        <v>569.90999394784</v>
      </c>
      <c r="U32" s="68">
        <f t="shared" si="5"/>
        <v>8928.589905182826</v>
      </c>
      <c r="V32" s="74"/>
      <c r="W32" s="68">
        <f t="shared" si="6"/>
        <v>522.40055297248</v>
      </c>
      <c r="X32" s="68">
        <f t="shared" si="6"/>
        <v>8184.275329902187</v>
      </c>
      <c r="Y32" s="74"/>
      <c r="Z32" s="68">
        <f t="shared" si="7"/>
        <v>474.89111199712</v>
      </c>
      <c r="AA32" s="68">
        <f t="shared" si="7"/>
        <v>7439.960754621545</v>
      </c>
      <c r="AC32" s="68">
        <f t="shared" si="8"/>
        <v>427.3816710217599</v>
      </c>
      <c r="AD32" s="68">
        <f t="shared" si="8"/>
        <v>6695.646179340906</v>
      </c>
      <c r="AE32" s="74"/>
      <c r="AF32" s="68">
        <f t="shared" si="9"/>
        <v>379.8722300464</v>
      </c>
      <c r="AG32" s="68">
        <f t="shared" si="9"/>
        <v>5951.331604060267</v>
      </c>
      <c r="AH32" s="74"/>
      <c r="AI32" s="68">
        <f t="shared" si="10"/>
        <v>332.3627890710401</v>
      </c>
      <c r="AJ32" s="68">
        <f t="shared" si="10"/>
        <v>5207.017028779626</v>
      </c>
      <c r="AK32" s="74"/>
      <c r="AL32" s="68">
        <f t="shared" si="11"/>
        <v>284.8533480956801</v>
      </c>
      <c r="AM32" s="68">
        <f t="shared" si="11"/>
        <v>4462.702453498987</v>
      </c>
      <c r="AN32" s="74"/>
      <c r="AO32" s="68">
        <f t="shared" si="12"/>
        <v>237.34390712032007</v>
      </c>
      <c r="AP32" s="68">
        <f t="shared" si="12"/>
        <v>3718.387878218348</v>
      </c>
      <c r="AQ32" s="74"/>
      <c r="AR32" s="68">
        <f t="shared" si="13"/>
        <v>189.8344661449601</v>
      </c>
      <c r="AS32" s="68">
        <f t="shared" si="13"/>
        <v>2974.0733029377084</v>
      </c>
      <c r="AT32" s="74"/>
      <c r="AU32" s="68">
        <f t="shared" si="14"/>
        <v>142.32502516960014</v>
      </c>
      <c r="AV32" s="68">
        <f t="shared" si="14"/>
        <v>2229.758727657069</v>
      </c>
      <c r="AW32" s="206"/>
      <c r="AX32" s="37"/>
      <c r="AY32" s="37"/>
      <c r="AZ32" s="207"/>
      <c r="BA32" s="37"/>
      <c r="BB32" s="37"/>
    </row>
    <row r="33" spans="1:54" ht="15">
      <c r="A33" s="16" t="s">
        <v>50</v>
      </c>
      <c r="B33" s="73">
        <v>0.0936</v>
      </c>
      <c r="C33" s="64"/>
      <c r="D33" s="74"/>
      <c r="E33" s="68">
        <f t="shared" si="0"/>
        <v>0</v>
      </c>
      <c r="F33" s="68">
        <f t="shared" si="0"/>
        <v>0</v>
      </c>
      <c r="G33" s="74"/>
      <c r="H33" s="68">
        <f t="shared" si="1"/>
        <v>0</v>
      </c>
      <c r="I33" s="68">
        <f t="shared" si="1"/>
        <v>0</v>
      </c>
      <c r="J33" s="74"/>
      <c r="K33" s="68">
        <f t="shared" si="2"/>
        <v>466.02649379519994</v>
      </c>
      <c r="L33" s="68">
        <f t="shared" si="2"/>
        <v>7301.081736124798</v>
      </c>
      <c r="M33" s="74"/>
      <c r="N33" s="68">
        <f t="shared" si="3"/>
        <v>899.9037418175999</v>
      </c>
      <c r="O33" s="68">
        <f t="shared" si="3"/>
        <v>14098.4919551424</v>
      </c>
      <c r="P33" s="74"/>
      <c r="Q33" s="68">
        <f t="shared" si="4"/>
        <v>835.6052502719999</v>
      </c>
      <c r="R33" s="68">
        <f t="shared" si="4"/>
        <v>13091.148920927999</v>
      </c>
      <c r="S33" s="74"/>
      <c r="T33" s="68">
        <f t="shared" si="5"/>
        <v>771.3067587264</v>
      </c>
      <c r="U33" s="68">
        <f t="shared" si="5"/>
        <v>12083.805886713597</v>
      </c>
      <c r="V33" s="74"/>
      <c r="W33" s="68">
        <f t="shared" si="6"/>
        <v>707.0082671808</v>
      </c>
      <c r="X33" s="68">
        <f t="shared" si="6"/>
        <v>11076.462852499199</v>
      </c>
      <c r="Y33" s="74"/>
      <c r="Z33" s="68">
        <f t="shared" si="7"/>
        <v>642.7097756351999</v>
      </c>
      <c r="AA33" s="68">
        <f t="shared" si="7"/>
        <v>10069.119818284797</v>
      </c>
      <c r="AC33" s="68">
        <f t="shared" si="8"/>
        <v>578.4112840895999</v>
      </c>
      <c r="AD33" s="68">
        <f t="shared" si="8"/>
        <v>9061.7767840704</v>
      </c>
      <c r="AE33" s="74"/>
      <c r="AF33" s="68">
        <f t="shared" si="9"/>
        <v>514.112792544</v>
      </c>
      <c r="AG33" s="68">
        <f t="shared" si="9"/>
        <v>8054.433749855999</v>
      </c>
      <c r="AH33" s="74"/>
      <c r="AI33" s="68">
        <f t="shared" si="10"/>
        <v>449.8143009984001</v>
      </c>
      <c r="AJ33" s="68">
        <f t="shared" si="10"/>
        <v>7047.0907156416</v>
      </c>
      <c r="AK33" s="74"/>
      <c r="AL33" s="68">
        <f t="shared" si="11"/>
        <v>385.5158094528001</v>
      </c>
      <c r="AM33" s="68">
        <f t="shared" si="11"/>
        <v>6039.747681427201</v>
      </c>
      <c r="AN33" s="74"/>
      <c r="AO33" s="68">
        <f t="shared" si="12"/>
        <v>321.21731790720014</v>
      </c>
      <c r="AP33" s="68">
        <f t="shared" si="12"/>
        <v>5032.404647212801</v>
      </c>
      <c r="AQ33" s="74"/>
      <c r="AR33" s="68">
        <f t="shared" si="13"/>
        <v>256.91882636160017</v>
      </c>
      <c r="AS33" s="68">
        <f t="shared" si="13"/>
        <v>4025.0616129984023</v>
      </c>
      <c r="AT33" s="74"/>
      <c r="AU33" s="68">
        <f t="shared" si="14"/>
        <v>192.6203348160002</v>
      </c>
      <c r="AV33" s="68">
        <f t="shared" si="14"/>
        <v>3017.7185787840026</v>
      </c>
      <c r="AW33" s="206"/>
      <c r="AX33" s="37"/>
      <c r="AY33" s="37"/>
      <c r="AZ33" s="207"/>
      <c r="BA33" s="37"/>
      <c r="BB33" s="37"/>
    </row>
    <row r="34" spans="1:54" ht="15">
      <c r="A34" s="75" t="s">
        <v>51</v>
      </c>
      <c r="B34" s="16"/>
      <c r="C34" s="64"/>
      <c r="D34" s="16"/>
      <c r="E34" s="76">
        <f>SUM(E31:E33)</f>
        <v>0</v>
      </c>
      <c r="F34" s="76">
        <f>SUM(F31:F33)</f>
        <v>0</v>
      </c>
      <c r="G34" s="16"/>
      <c r="H34" s="76">
        <f>SUM(H31:H33)</f>
        <v>0</v>
      </c>
      <c r="I34" s="76">
        <f>SUM(I31:I33)</f>
        <v>0</v>
      </c>
      <c r="J34" s="16"/>
      <c r="K34" s="76">
        <f>SUM(K31:K33)</f>
        <v>820.8738037608399</v>
      </c>
      <c r="L34" s="76">
        <f>SUM(L31:L33)</f>
        <v>12860.356258919823</v>
      </c>
      <c r="M34" s="16"/>
      <c r="N34" s="76">
        <f>SUM(N31:N33)</f>
        <v>1585.1189093319197</v>
      </c>
      <c r="O34" s="76">
        <f>SUM(O31:O33)</f>
        <v>24833.52957953341</v>
      </c>
      <c r="P34" s="16"/>
      <c r="Q34" s="76">
        <f>SUM(Q31:Q33)</f>
        <v>1471.8615129523998</v>
      </c>
      <c r="R34" s="76">
        <f>SUM(R31:R33)</f>
        <v>23059.16370292093</v>
      </c>
      <c r="S34" s="16"/>
      <c r="T34" s="76">
        <f>SUM(T31:T33)</f>
        <v>1358.60411657288</v>
      </c>
      <c r="U34" s="76">
        <f>SUM(U31:U33)</f>
        <v>21284.79782630845</v>
      </c>
      <c r="V34" s="16"/>
      <c r="W34" s="76">
        <f>SUM(W31:W33)</f>
        <v>1245.34672019336</v>
      </c>
      <c r="X34" s="76">
        <f>SUM(X31:X33)</f>
        <v>19510.431949695972</v>
      </c>
      <c r="Y34" s="16"/>
      <c r="Z34" s="76">
        <f>SUM(Z31:Z33)</f>
        <v>1132.0893238138399</v>
      </c>
      <c r="AA34" s="76">
        <f>SUM(AA31:AA33)</f>
        <v>17736.066073083486</v>
      </c>
      <c r="AC34" s="76">
        <f>SUM(AC31:AC33)</f>
        <v>1018.8319274343198</v>
      </c>
      <c r="AD34" s="76">
        <f>SUM(AD31:AD33)</f>
        <v>15961.700196471013</v>
      </c>
      <c r="AE34" s="16"/>
      <c r="AF34" s="76">
        <f>SUM(AF31:AF33)</f>
        <v>905.5745310548</v>
      </c>
      <c r="AG34" s="76">
        <f>SUM(AG31:AG33)</f>
        <v>14187.334319858532</v>
      </c>
      <c r="AH34" s="16"/>
      <c r="AI34" s="76">
        <f>SUM(AI31:AI33)</f>
        <v>792.3171346752802</v>
      </c>
      <c r="AJ34" s="76">
        <f>SUM(AJ31:AJ33)</f>
        <v>12412.968443246053</v>
      </c>
      <c r="AK34" s="16"/>
      <c r="AL34" s="76">
        <f>SUM(AL31:AL33)</f>
        <v>679.0597382957602</v>
      </c>
      <c r="AM34" s="76">
        <f>SUM(AM31:AM33)</f>
        <v>10638.602566633574</v>
      </c>
      <c r="AN34" s="16"/>
      <c r="AO34" s="76">
        <f>SUM(AO31:AO33)</f>
        <v>565.8023419162403</v>
      </c>
      <c r="AP34" s="76">
        <f>SUM(AP31:AP33)</f>
        <v>8864.236690021096</v>
      </c>
      <c r="AQ34" s="16"/>
      <c r="AR34" s="76">
        <f>SUM(AR31:AR33)</f>
        <v>452.54494553672026</v>
      </c>
      <c r="AS34" s="76">
        <f>SUM(AS31:AS33)</f>
        <v>7089.870813408617</v>
      </c>
      <c r="AT34" s="16"/>
      <c r="AU34" s="76">
        <f>SUM(AU31:AU33)</f>
        <v>339.2875491572004</v>
      </c>
      <c r="AV34" s="76">
        <f>SUM(AV31:AV33)</f>
        <v>5315.504936796138</v>
      </c>
      <c r="AW34" s="184"/>
      <c r="AX34" s="37"/>
      <c r="AY34" s="37"/>
      <c r="AZ34" s="32"/>
      <c r="BA34" s="37"/>
      <c r="BB34" s="37"/>
    </row>
    <row r="35" spans="1:54" ht="15">
      <c r="A35" s="16"/>
      <c r="B35" s="16"/>
      <c r="C35" s="7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84"/>
      <c r="AX35" s="32"/>
      <c r="AY35" s="32"/>
      <c r="AZ35" s="32"/>
      <c r="BA35" s="32"/>
      <c r="BB35" s="32"/>
    </row>
    <row r="36" spans="1:54" ht="15">
      <c r="A36" s="16" t="s">
        <v>52</v>
      </c>
      <c r="B36" s="16"/>
      <c r="C36" s="78"/>
      <c r="D36" s="16"/>
      <c r="E36" s="79">
        <f>E21+E22</f>
        <v>0</v>
      </c>
      <c r="F36" s="68">
        <f>F22</f>
        <v>0</v>
      </c>
      <c r="G36" s="16"/>
      <c r="H36" s="79">
        <f>H21+H22</f>
        <v>0</v>
      </c>
      <c r="I36" s="68">
        <f>I22</f>
        <v>0</v>
      </c>
      <c r="J36" s="16"/>
      <c r="K36" s="79">
        <f>K21+K22</f>
        <v>0</v>
      </c>
      <c r="L36" s="68">
        <f>L22</f>
        <v>0</v>
      </c>
      <c r="M36" s="48"/>
      <c r="N36" s="79">
        <f>N21+N22</f>
        <v>0</v>
      </c>
      <c r="O36" s="68">
        <f>O22</f>
        <v>0</v>
      </c>
      <c r="P36" s="16"/>
      <c r="Q36" s="79">
        <f>Q21+Q22</f>
        <v>0</v>
      </c>
      <c r="R36" s="68">
        <f>R22</f>
        <v>0</v>
      </c>
      <c r="S36" s="16"/>
      <c r="T36" s="79">
        <f>T21+T22</f>
        <v>0</v>
      </c>
      <c r="U36" s="68">
        <f>U22</f>
        <v>0</v>
      </c>
      <c r="V36" s="16"/>
      <c r="W36" s="79">
        <f>W21+W22</f>
        <v>0</v>
      </c>
      <c r="X36" s="68">
        <f>X22</f>
        <v>0</v>
      </c>
      <c r="Y36" s="16"/>
      <c r="Z36" s="79">
        <f>Z21+Z22</f>
        <v>0</v>
      </c>
      <c r="AA36" s="68">
        <f>AA22</f>
        <v>0</v>
      </c>
      <c r="AC36" s="79">
        <f>AC21+AC22</f>
        <v>0</v>
      </c>
      <c r="AD36" s="68">
        <f>AD22</f>
        <v>0</v>
      </c>
      <c r="AE36" s="16"/>
      <c r="AF36" s="79">
        <f>AF21+AF22</f>
        <v>0</v>
      </c>
      <c r="AG36" s="68">
        <f>AG22</f>
        <v>0</v>
      </c>
      <c r="AH36" s="16"/>
      <c r="AI36" s="79">
        <f>AI21+AI22</f>
        <v>0</v>
      </c>
      <c r="AJ36" s="68">
        <f>AJ22</f>
        <v>0</v>
      </c>
      <c r="AK36" s="16"/>
      <c r="AL36" s="79">
        <f>AL21+AL22</f>
        <v>0</v>
      </c>
      <c r="AM36" s="68">
        <f>AM22</f>
        <v>0</v>
      </c>
      <c r="AN36" s="16"/>
      <c r="AO36" s="79">
        <f>AO21+AO22</f>
        <v>0</v>
      </c>
      <c r="AP36" s="68">
        <f>AP22</f>
        <v>0</v>
      </c>
      <c r="AQ36" s="16"/>
      <c r="AR36" s="79">
        <f>AR21+AR22</f>
        <v>0</v>
      </c>
      <c r="AS36" s="68">
        <f>AS22</f>
        <v>0</v>
      </c>
      <c r="AT36" s="16"/>
      <c r="AU36" s="79">
        <f>AU21+AU22</f>
        <v>0</v>
      </c>
      <c r="AV36" s="68">
        <f>AV22</f>
        <v>0</v>
      </c>
      <c r="AW36" s="184"/>
      <c r="AX36" s="37"/>
      <c r="AY36" s="37"/>
      <c r="AZ36" s="32"/>
      <c r="BA36" s="37"/>
      <c r="BB36" s="37"/>
    </row>
    <row r="37" spans="1:54" ht="15">
      <c r="A37" s="16" t="s">
        <v>53</v>
      </c>
      <c r="B37" s="80"/>
      <c r="C37" s="64"/>
      <c r="D37" s="21">
        <f>D78</f>
        <v>0</v>
      </c>
      <c r="E37" s="68">
        <f>D37*E$19</f>
        <v>0</v>
      </c>
      <c r="F37" s="68">
        <f>D37*F$19</f>
        <v>0</v>
      </c>
      <c r="G37" s="81">
        <f>E76+E78</f>
        <v>0</v>
      </c>
      <c r="H37" s="68">
        <f>G37*H$19</f>
        <v>0</v>
      </c>
      <c r="I37" s="68">
        <f>G37*I$19</f>
        <v>0</v>
      </c>
      <c r="J37" s="81">
        <f>F76+F78</f>
        <v>14433.932333333334</v>
      </c>
      <c r="K37" s="68">
        <f>J37*K$19</f>
        <v>866.03594</v>
      </c>
      <c r="L37" s="68">
        <f>J37*L$19</f>
        <v>13567.896393333333</v>
      </c>
      <c r="M37" s="81">
        <f>G76+G78</f>
        <v>28622.903999999995</v>
      </c>
      <c r="N37" s="68">
        <f>M37*N$19</f>
        <v>1717.3742399999996</v>
      </c>
      <c r="O37" s="68">
        <f>M37*O$19</f>
        <v>26905.529759999994</v>
      </c>
      <c r="P37" s="81">
        <f>H76+H78</f>
        <v>28622.903999999995</v>
      </c>
      <c r="Q37" s="68">
        <f>P37*Q$19</f>
        <v>1717.3742399999996</v>
      </c>
      <c r="R37" s="144">
        <f>P37*R$19</f>
        <v>26905.529759999994</v>
      </c>
      <c r="S37" s="81">
        <f>I76+I78</f>
        <v>28622.903999999995</v>
      </c>
      <c r="T37" s="68">
        <f>S37*T$19</f>
        <v>1717.3742399999996</v>
      </c>
      <c r="U37" s="144">
        <f>S37*U$19</f>
        <v>26905.529759999994</v>
      </c>
      <c r="V37" s="81">
        <f>J76+J78</f>
        <v>28622.903999999995</v>
      </c>
      <c r="W37" s="144">
        <f>V37*W$19</f>
        <v>1717.3742399999996</v>
      </c>
      <c r="X37" s="144">
        <f>V37*X$19</f>
        <v>26905.529759999994</v>
      </c>
      <c r="Y37" s="81">
        <f>K76+K78</f>
        <v>28622.903999999995</v>
      </c>
      <c r="Z37" s="144">
        <f>Y37*Z$19</f>
        <v>1717.3742399999996</v>
      </c>
      <c r="AA37" s="144">
        <f>Y37*AA$19</f>
        <v>26905.529759999994</v>
      </c>
      <c r="AB37" s="81">
        <f>L76+L78</f>
        <v>28622.903999999995</v>
      </c>
      <c r="AC37" s="144">
        <f>AB37*AC$19</f>
        <v>1717.3742399999996</v>
      </c>
      <c r="AD37" s="144">
        <f>AB37*AD$19</f>
        <v>26905.529759999994</v>
      </c>
      <c r="AE37" s="81">
        <f>M76+M78</f>
        <v>28622.903999999995</v>
      </c>
      <c r="AF37" s="144">
        <f>AE37*AF$19</f>
        <v>1717.3742399999996</v>
      </c>
      <c r="AG37" s="144">
        <f>AE37*AG$19</f>
        <v>26905.529759999994</v>
      </c>
      <c r="AH37" s="81">
        <f>N76+N78</f>
        <v>28622.903999999995</v>
      </c>
      <c r="AI37" s="144">
        <f>AH37*AI$19</f>
        <v>1717.3742399999996</v>
      </c>
      <c r="AJ37" s="144">
        <f>AH37*AJ$19</f>
        <v>26905.529759999994</v>
      </c>
      <c r="AK37" s="81">
        <f>O76+O78</f>
        <v>28622.903999999995</v>
      </c>
      <c r="AL37" s="144">
        <f>AK37*AL$19</f>
        <v>1717.3742399999996</v>
      </c>
      <c r="AM37" s="144">
        <f>AK37*AM$19</f>
        <v>26905.529759999994</v>
      </c>
      <c r="AN37" s="81">
        <f>P76+P78</f>
        <v>28622.903999999995</v>
      </c>
      <c r="AO37" s="144">
        <f>AN37*AO$19</f>
        <v>1717.3742399999996</v>
      </c>
      <c r="AP37" s="144">
        <f>AN37*AP$19</f>
        <v>26905.529759999994</v>
      </c>
      <c r="AQ37" s="81">
        <f>Q76+Q78</f>
        <v>28622.903999999995</v>
      </c>
      <c r="AR37" s="144">
        <f>AQ37*AR$19</f>
        <v>1717.3742399999996</v>
      </c>
      <c r="AS37" s="144">
        <f>AQ37*AS$19</f>
        <v>26905.529759999994</v>
      </c>
      <c r="AT37" s="81">
        <f>R76+R78</f>
        <v>28622.903999999995</v>
      </c>
      <c r="AU37" s="144">
        <f>AT37*AU$19</f>
        <v>1717.3742399999996</v>
      </c>
      <c r="AV37" s="144">
        <f>AT37*AV$19</f>
        <v>26905.529759999994</v>
      </c>
      <c r="AW37" s="208"/>
      <c r="AX37" s="89"/>
      <c r="AY37" s="89"/>
      <c r="AZ37" s="40"/>
      <c r="BA37" s="89"/>
      <c r="BB37" s="89"/>
    </row>
    <row r="38" spans="1:54" ht="15">
      <c r="A38" s="16" t="s">
        <v>54</v>
      </c>
      <c r="B38" s="80"/>
      <c r="C38" s="82"/>
      <c r="D38" s="16"/>
      <c r="E38" s="21">
        <f>E65</f>
        <v>0</v>
      </c>
      <c r="F38" s="21">
        <f>F65</f>
        <v>0</v>
      </c>
      <c r="G38" s="80"/>
      <c r="H38" s="21">
        <f>H65</f>
        <v>0</v>
      </c>
      <c r="I38" s="21">
        <f>I65</f>
        <v>0</v>
      </c>
      <c r="J38" s="80"/>
      <c r="K38" s="21">
        <f>K65</f>
        <v>108.75379700099047</v>
      </c>
      <c r="L38" s="21">
        <f>L65</f>
        <v>1703.8094863488504</v>
      </c>
      <c r="M38" s="80"/>
      <c r="N38" s="21">
        <f>N65</f>
        <v>230.3383091081142</v>
      </c>
      <c r="O38" s="21">
        <f>O65</f>
        <v>3608.6335093604557</v>
      </c>
      <c r="P38" s="80"/>
      <c r="Q38" s="21">
        <f>Q65</f>
        <v>264.22035044062034</v>
      </c>
      <c r="R38" s="21">
        <f>R65</f>
        <v>4139.452156903053</v>
      </c>
      <c r="S38" s="80"/>
      <c r="T38" s="21">
        <f>T65</f>
        <v>293.5372325199046</v>
      </c>
      <c r="U38" s="21">
        <f>U65</f>
        <v>4598.749976145169</v>
      </c>
      <c r="V38" s="80"/>
      <c r="W38" s="21">
        <f>W65</f>
        <v>318.65416808622473</v>
      </c>
      <c r="X38" s="21">
        <f>X65</f>
        <v>4992.248633350853</v>
      </c>
      <c r="Y38" s="80"/>
      <c r="Z38" s="21">
        <f>Z65</f>
        <v>339.90715286061794</v>
      </c>
      <c r="AA38" s="21">
        <f>AA65</f>
        <v>5325.212061483014</v>
      </c>
      <c r="AC38" s="21">
        <f>AC65</f>
        <v>429.8167936487754</v>
      </c>
      <c r="AD38" s="21">
        <f>AD65</f>
        <v>6733.796433830815</v>
      </c>
      <c r="AE38" s="80"/>
      <c r="AF38" s="21">
        <f>AF65</f>
        <v>494.69779778809067</v>
      </c>
      <c r="AG38" s="21">
        <f>AG65</f>
        <v>7750.265498680088</v>
      </c>
      <c r="AH38" s="80"/>
      <c r="AI38" s="21">
        <f>AI65</f>
        <v>781.3672970946612</v>
      </c>
      <c r="AJ38" s="21">
        <f>AJ65</f>
        <v>12241.420987816358</v>
      </c>
      <c r="AK38" s="80"/>
      <c r="AL38" s="21">
        <f>AL65</f>
        <v>758.1848477618938</v>
      </c>
      <c r="AM38" s="21">
        <f>AM65</f>
        <v>11878.229281603004</v>
      </c>
      <c r="AN38" s="80"/>
      <c r="AO38" s="21">
        <f>AO65</f>
        <v>735.0023984291265</v>
      </c>
      <c r="AP38" s="21">
        <f>AP65</f>
        <v>11515.037575389648</v>
      </c>
      <c r="AQ38" s="80"/>
      <c r="AR38" s="21">
        <f>AR65</f>
        <v>711.8199490963592</v>
      </c>
      <c r="AS38" s="21">
        <f>AS65</f>
        <v>11151.845869176292</v>
      </c>
      <c r="AT38" s="80"/>
      <c r="AU38" s="21">
        <f>AU65</f>
        <v>688.6374997635918</v>
      </c>
      <c r="AV38" s="21">
        <f>AV65</f>
        <v>10788.65416296294</v>
      </c>
      <c r="AW38" s="209"/>
      <c r="AX38" s="34"/>
      <c r="AY38" s="34"/>
      <c r="AZ38" s="39"/>
      <c r="BA38" s="34"/>
      <c r="BB38" s="34"/>
    </row>
    <row r="39" spans="1:54" ht="15">
      <c r="A39" s="16"/>
      <c r="B39" s="16"/>
      <c r="C39" s="7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84"/>
      <c r="AX39" s="32"/>
      <c r="AY39" s="32"/>
      <c r="AZ39" s="32"/>
      <c r="BA39" s="32"/>
      <c r="BB39" s="32"/>
    </row>
    <row r="40" spans="1:54" ht="15.75" thickBot="1">
      <c r="A40" s="3" t="s">
        <v>55</v>
      </c>
      <c r="B40" s="16"/>
      <c r="C40" s="64"/>
      <c r="D40" s="16"/>
      <c r="E40" s="83">
        <f>SUM(E34:E38)</f>
        <v>0</v>
      </c>
      <c r="F40" s="83">
        <f>SUM(F34:F38)</f>
        <v>0</v>
      </c>
      <c r="G40" s="16"/>
      <c r="H40" s="83">
        <f>SUM(H34:H38)</f>
        <v>0</v>
      </c>
      <c r="I40" s="83">
        <f>SUM(I34:I38)</f>
        <v>0</v>
      </c>
      <c r="J40" s="16"/>
      <c r="K40" s="83">
        <f>SUM(K34:K38)</f>
        <v>1795.6635407618303</v>
      </c>
      <c r="L40" s="83">
        <f>SUM(L34:L38)</f>
        <v>28132.062138602007</v>
      </c>
      <c r="M40" s="16"/>
      <c r="N40" s="83">
        <f>SUM(N34:N38)</f>
        <v>3532.831458440033</v>
      </c>
      <c r="O40" s="83">
        <f>SUM(O34:O38)</f>
        <v>55347.69284889386</v>
      </c>
      <c r="P40" s="16"/>
      <c r="Q40" s="83">
        <f>SUM(Q34:Q38)</f>
        <v>3453.45610339302</v>
      </c>
      <c r="R40" s="83">
        <f>SUM(R34:R38)</f>
        <v>54104.14561982398</v>
      </c>
      <c r="S40" s="16"/>
      <c r="T40" s="83">
        <f>SUM(T34:T38)</f>
        <v>3369.515589092784</v>
      </c>
      <c r="U40" s="83">
        <f>SUM(U34:U38)</f>
        <v>52789.07756245361</v>
      </c>
      <c r="V40" s="16"/>
      <c r="W40" s="83">
        <f>SUM(W34:W38)</f>
        <v>3281.3751282795843</v>
      </c>
      <c r="X40" s="83">
        <f>SUM(X34:X38)</f>
        <v>51408.21034304683</v>
      </c>
      <c r="Y40" s="16"/>
      <c r="Z40" s="83">
        <f>SUM(Z34:Z38)</f>
        <v>3189.3707166744575</v>
      </c>
      <c r="AA40" s="83">
        <f>SUM(AA34:AA38)</f>
        <v>49966.8078945665</v>
      </c>
      <c r="AC40" s="83">
        <f>SUM(AC34:AC38)</f>
        <v>3166.0229610830947</v>
      </c>
      <c r="AD40" s="83">
        <f>SUM(AD34:AD38)</f>
        <v>49601.02639030182</v>
      </c>
      <c r="AE40" s="16"/>
      <c r="AF40" s="83">
        <f>SUM(AF34:AF38)</f>
        <v>3117.6465688428902</v>
      </c>
      <c r="AG40" s="83">
        <f>SUM(AG34:AG38)</f>
        <v>48843.12957853862</v>
      </c>
      <c r="AH40" s="16"/>
      <c r="AI40" s="83">
        <f>SUM(AI34:AI38)</f>
        <v>3291.058671769941</v>
      </c>
      <c r="AJ40" s="83">
        <f>SUM(AJ34:AJ38)</f>
        <v>51559.91919106241</v>
      </c>
      <c r="AK40" s="16"/>
      <c r="AL40" s="83">
        <f>SUM(AL34:AL38)</f>
        <v>3154.6188260576537</v>
      </c>
      <c r="AM40" s="83">
        <f>SUM(AM34:AM38)</f>
        <v>49422.36160823657</v>
      </c>
      <c r="AN40" s="16"/>
      <c r="AO40" s="83">
        <f>SUM(AO34:AO38)</f>
        <v>3018.1789803453667</v>
      </c>
      <c r="AP40" s="83">
        <f>SUM(AP34:AP38)</f>
        <v>47284.80402541073</v>
      </c>
      <c r="AQ40" s="16"/>
      <c r="AR40" s="83">
        <f>SUM(AR34:AR38)</f>
        <v>2881.739134633079</v>
      </c>
      <c r="AS40" s="83">
        <f>SUM(AS34:AS38)</f>
        <v>45147.2464425849</v>
      </c>
      <c r="AT40" s="16"/>
      <c r="AU40" s="83">
        <f>SUM(AU34:AU38)</f>
        <v>2745.2992889207917</v>
      </c>
      <c r="AV40" s="83">
        <f>SUM(AV34:AV38)</f>
        <v>43009.68885975907</v>
      </c>
      <c r="AW40" s="184"/>
      <c r="AX40" s="37"/>
      <c r="AY40" s="37"/>
      <c r="AZ40" s="32"/>
      <c r="BA40" s="37"/>
      <c r="BB40" s="37"/>
    </row>
    <row r="41" spans="1:54" ht="15">
      <c r="A41" s="16"/>
      <c r="B41" s="136"/>
      <c r="C41" s="64"/>
      <c r="D41" s="16"/>
      <c r="E41" s="64"/>
      <c r="F41" s="64"/>
      <c r="G41" s="16"/>
      <c r="H41" s="64"/>
      <c r="I41" s="64"/>
      <c r="J41" s="16"/>
      <c r="K41" s="64"/>
      <c r="L41" s="64"/>
      <c r="M41" s="16"/>
      <c r="N41" s="64"/>
      <c r="O41" s="64"/>
      <c r="P41" s="16"/>
      <c r="Q41" s="64"/>
      <c r="R41" s="64"/>
      <c r="S41" s="16"/>
      <c r="T41" s="64"/>
      <c r="U41" s="64"/>
      <c r="V41" s="16"/>
      <c r="W41" s="64"/>
      <c r="X41" s="64"/>
      <c r="Y41" s="16"/>
      <c r="Z41" s="64"/>
      <c r="AA41" s="64"/>
      <c r="AC41" s="64"/>
      <c r="AD41" s="64"/>
      <c r="AE41" s="16"/>
      <c r="AF41" s="64"/>
      <c r="AG41" s="64"/>
      <c r="AH41" s="16"/>
      <c r="AI41" s="64"/>
      <c r="AJ41" s="64"/>
      <c r="AK41" s="16"/>
      <c r="AL41" s="64"/>
      <c r="AM41" s="64"/>
      <c r="AN41" s="16"/>
      <c r="AO41" s="64"/>
      <c r="AP41" s="64"/>
      <c r="AQ41" s="16"/>
      <c r="AR41" s="64"/>
      <c r="AS41" s="64"/>
      <c r="AT41" s="16"/>
      <c r="AU41" s="64"/>
      <c r="AV41" s="64"/>
      <c r="AW41" s="184"/>
      <c r="AX41" s="37"/>
      <c r="AY41" s="37"/>
      <c r="AZ41" s="32"/>
      <c r="BA41" s="37"/>
      <c r="BB41" s="37"/>
    </row>
    <row r="42" spans="1:54" ht="15">
      <c r="A42" s="16"/>
      <c r="B42" s="84"/>
      <c r="C42" s="68"/>
      <c r="D42" s="16"/>
      <c r="E42" s="68"/>
      <c r="F42" s="32"/>
      <c r="G42" s="68"/>
      <c r="H42" s="16"/>
      <c r="I42" s="68"/>
      <c r="J42" s="68"/>
      <c r="K42" s="16"/>
      <c r="L42" s="68"/>
      <c r="M42" s="68"/>
      <c r="N42" s="16"/>
      <c r="O42" s="68"/>
      <c r="P42" s="68"/>
      <c r="Q42" s="16"/>
      <c r="R42" s="68"/>
      <c r="S42" s="68"/>
      <c r="T42" s="16"/>
      <c r="U42" s="68"/>
      <c r="V42" s="68"/>
      <c r="W42" s="16"/>
      <c r="X42" s="68"/>
      <c r="Y42" s="68"/>
      <c r="Z42" s="16"/>
      <c r="AA42" s="68"/>
      <c r="AC42" s="16"/>
      <c r="AD42" s="68"/>
      <c r="AE42" s="68"/>
      <c r="AF42" s="16"/>
      <c r="AG42" s="68"/>
      <c r="AH42" s="68"/>
      <c r="AI42" s="16"/>
      <c r="AJ42" s="68"/>
      <c r="AK42" s="68"/>
      <c r="AL42" s="16"/>
      <c r="AM42" s="68"/>
      <c r="AN42" s="68"/>
      <c r="AO42" s="16"/>
      <c r="AP42" s="68"/>
      <c r="AQ42" s="68"/>
      <c r="AR42" s="16"/>
      <c r="AS42" s="68"/>
      <c r="AT42" s="68"/>
      <c r="AU42" s="16"/>
      <c r="AV42" s="68"/>
      <c r="AW42" s="210"/>
      <c r="AX42" s="32"/>
      <c r="AY42" s="37"/>
      <c r="AZ42" s="37"/>
      <c r="BA42" s="32"/>
      <c r="BB42" s="37"/>
    </row>
    <row r="43" spans="1:54" ht="15">
      <c r="A43" s="16" t="s">
        <v>56</v>
      </c>
      <c r="B43" s="84"/>
      <c r="C43" s="68"/>
      <c r="D43" s="16"/>
      <c r="E43" s="68"/>
      <c r="F43" s="85">
        <f>F40</f>
        <v>0</v>
      </c>
      <c r="G43" s="68"/>
      <c r="H43" s="16"/>
      <c r="I43" s="85">
        <f>I40</f>
        <v>0</v>
      </c>
      <c r="J43" s="68"/>
      <c r="K43" s="16"/>
      <c r="L43" s="85">
        <f>L40</f>
        <v>28132.062138602007</v>
      </c>
      <c r="M43" s="68"/>
      <c r="N43" s="16"/>
      <c r="O43" s="85">
        <f>O40</f>
        <v>55347.69284889386</v>
      </c>
      <c r="P43" s="68"/>
      <c r="Q43" s="16"/>
      <c r="R43" s="85">
        <f>R40</f>
        <v>54104.14561982398</v>
      </c>
      <c r="S43" s="68"/>
      <c r="T43" s="16"/>
      <c r="U43" s="85">
        <f>U40</f>
        <v>52789.07756245361</v>
      </c>
      <c r="V43" s="68"/>
      <c r="W43" s="16"/>
      <c r="X43" s="85">
        <f>X40</f>
        <v>51408.21034304683</v>
      </c>
      <c r="Y43" s="68"/>
      <c r="Z43" s="16"/>
      <c r="AA43" s="85">
        <f>AA40</f>
        <v>49966.8078945665</v>
      </c>
      <c r="AC43" s="16"/>
      <c r="AD43" s="85">
        <f>AD40</f>
        <v>49601.02639030182</v>
      </c>
      <c r="AE43" s="68"/>
      <c r="AF43" s="16"/>
      <c r="AG43" s="85">
        <f>AG40</f>
        <v>48843.12957853862</v>
      </c>
      <c r="AH43" s="68"/>
      <c r="AI43" s="16"/>
      <c r="AJ43" s="85">
        <f>AJ40</f>
        <v>51559.91919106241</v>
      </c>
      <c r="AK43" s="68"/>
      <c r="AL43" s="16"/>
      <c r="AM43" s="85">
        <f>AM40</f>
        <v>49422.36160823657</v>
      </c>
      <c r="AN43" s="68"/>
      <c r="AO43" s="16"/>
      <c r="AP43" s="85">
        <f>AP40</f>
        <v>47284.80402541073</v>
      </c>
      <c r="AQ43" s="68"/>
      <c r="AR43" s="16"/>
      <c r="AS43" s="85">
        <f>AS40</f>
        <v>45147.2464425849</v>
      </c>
      <c r="AT43" s="68"/>
      <c r="AU43" s="16"/>
      <c r="AV43" s="85">
        <f>AV40</f>
        <v>43009.68885975907</v>
      </c>
      <c r="AW43" s="210"/>
      <c r="AX43" s="32"/>
      <c r="AY43" s="37"/>
      <c r="AZ43" s="37"/>
      <c r="BA43" s="32"/>
      <c r="BB43" s="37"/>
    </row>
    <row r="44" spans="1:54" ht="15">
      <c r="A44" s="16"/>
      <c r="B44" s="86"/>
      <c r="C44" s="16"/>
      <c r="D44" s="16"/>
      <c r="E44" s="87"/>
      <c r="F44" s="32"/>
      <c r="G44" s="16"/>
      <c r="H44" s="88"/>
      <c r="I44" s="32"/>
      <c r="J44" s="16"/>
      <c r="K44" s="88"/>
      <c r="L44" s="32"/>
      <c r="M44" s="16"/>
      <c r="N44" s="88"/>
      <c r="O44" s="32"/>
      <c r="P44" s="16"/>
      <c r="Q44" s="88"/>
      <c r="R44" s="32"/>
      <c r="S44" s="16"/>
      <c r="T44" s="88"/>
      <c r="U44" s="32"/>
      <c r="V44" s="16"/>
      <c r="W44" s="88"/>
      <c r="X44" s="32"/>
      <c r="Y44" s="16"/>
      <c r="Z44" s="88"/>
      <c r="AA44" s="32"/>
      <c r="AC44" s="88"/>
      <c r="AD44" s="32"/>
      <c r="AE44" s="16"/>
      <c r="AF44" s="88"/>
      <c r="AG44" s="32"/>
      <c r="AH44" s="16"/>
      <c r="AI44" s="88"/>
      <c r="AJ44" s="32"/>
      <c r="AK44" s="16"/>
      <c r="AL44" s="88"/>
      <c r="AM44" s="32"/>
      <c r="AN44" s="16"/>
      <c r="AO44" s="88"/>
      <c r="AP44" s="32"/>
      <c r="AQ44" s="16"/>
      <c r="AR44" s="88"/>
      <c r="AS44" s="32"/>
      <c r="AT44" s="16"/>
      <c r="AU44" s="88"/>
      <c r="AV44" s="32"/>
      <c r="AW44" s="184"/>
      <c r="AX44" s="211"/>
      <c r="AY44" s="32"/>
      <c r="AZ44" s="32"/>
      <c r="BA44" s="211"/>
      <c r="BB44" s="32"/>
    </row>
    <row r="45" spans="1:54" ht="15">
      <c r="A45" s="48" t="s">
        <v>57</v>
      </c>
      <c r="B45" s="16"/>
      <c r="C45" s="21"/>
      <c r="D45" s="21"/>
      <c r="E45" s="21"/>
      <c r="F45" s="85">
        <f>F43/12</f>
        <v>0</v>
      </c>
      <c r="G45" s="21"/>
      <c r="H45" s="16"/>
      <c r="I45" s="85">
        <f>I43/12</f>
        <v>0</v>
      </c>
      <c r="J45" s="21"/>
      <c r="K45" s="16"/>
      <c r="L45" s="85">
        <f>L43/12</f>
        <v>2344.3385115501674</v>
      </c>
      <c r="M45" s="21"/>
      <c r="N45" s="16"/>
      <c r="O45" s="85">
        <f>O43/12</f>
        <v>4612.307737407821</v>
      </c>
      <c r="P45" s="21"/>
      <c r="Q45" s="16"/>
      <c r="R45" s="85">
        <f>R43/12</f>
        <v>4508.678801651999</v>
      </c>
      <c r="S45" s="21"/>
      <c r="T45" s="16"/>
      <c r="U45" s="85">
        <f>U43/12</f>
        <v>4399.089796871134</v>
      </c>
      <c r="V45" s="21"/>
      <c r="W45" s="16"/>
      <c r="X45" s="85">
        <f>X43/12</f>
        <v>4284.017528587236</v>
      </c>
      <c r="Y45" s="21"/>
      <c r="Z45" s="16"/>
      <c r="AA45" s="85">
        <f>AA43/12</f>
        <v>4163.900657880541</v>
      </c>
      <c r="AC45" s="16"/>
      <c r="AD45" s="85">
        <f>AD43/12</f>
        <v>4133.418865858485</v>
      </c>
      <c r="AE45" s="21"/>
      <c r="AF45" s="16"/>
      <c r="AG45" s="85">
        <f>AG43/12</f>
        <v>4070.2607982115514</v>
      </c>
      <c r="AH45" s="21"/>
      <c r="AI45" s="16"/>
      <c r="AJ45" s="85">
        <f>AJ43/12</f>
        <v>4296.659932588534</v>
      </c>
      <c r="AK45" s="21"/>
      <c r="AL45" s="16"/>
      <c r="AM45" s="85">
        <f>AM43/12</f>
        <v>4118.530134019714</v>
      </c>
      <c r="AN45" s="21"/>
      <c r="AO45" s="16"/>
      <c r="AP45" s="85">
        <f>AP43/12</f>
        <v>3940.4003354508945</v>
      </c>
      <c r="AQ45" s="21"/>
      <c r="AR45" s="16"/>
      <c r="AS45" s="85">
        <f>AS43/12</f>
        <v>3762.2705368820752</v>
      </c>
      <c r="AT45" s="21"/>
      <c r="AU45" s="16"/>
      <c r="AV45" s="85">
        <f>AV43/12</f>
        <v>3584.140738313256</v>
      </c>
      <c r="AW45" s="192"/>
      <c r="AX45" s="32"/>
      <c r="AY45" s="37"/>
      <c r="AZ45" s="34"/>
      <c r="BA45" s="32"/>
      <c r="BB45" s="37"/>
    </row>
    <row r="46" spans="1:54" ht="15">
      <c r="A46" s="48"/>
      <c r="B46" s="16"/>
      <c r="C46" s="21"/>
      <c r="D46" s="21"/>
      <c r="E46" s="21"/>
      <c r="F46" s="89"/>
      <c r="G46" s="21"/>
      <c r="H46" s="16"/>
      <c r="I46" s="21"/>
      <c r="J46" s="21"/>
      <c r="K46" s="16"/>
      <c r="L46" s="16"/>
      <c r="M46" s="21"/>
      <c r="N46" s="16"/>
      <c r="O46" s="21"/>
      <c r="P46" s="21"/>
      <c r="Q46" s="16"/>
      <c r="R46" s="16"/>
      <c r="S46" s="21"/>
      <c r="T46" s="16"/>
      <c r="U46" s="16"/>
      <c r="V46" s="21"/>
      <c r="W46" s="16"/>
      <c r="X46" s="16"/>
      <c r="Y46" s="21"/>
      <c r="Z46" s="16"/>
      <c r="AA46" s="16"/>
      <c r="AE46" s="21"/>
      <c r="AF46" s="16"/>
      <c r="AG46" s="16"/>
      <c r="AH46" s="21"/>
      <c r="AI46" s="16"/>
      <c r="AJ46" s="16"/>
      <c r="AK46" s="21"/>
      <c r="AL46" s="16"/>
      <c r="AM46" s="16"/>
      <c r="AN46" s="21"/>
      <c r="AO46" s="16"/>
      <c r="AP46" s="16"/>
      <c r="AQ46" s="21"/>
      <c r="AR46" s="16"/>
      <c r="AS46" s="16"/>
      <c r="AT46" s="21"/>
      <c r="AU46" s="16"/>
      <c r="AV46" s="16"/>
      <c r="AW46" s="192"/>
      <c r="AX46" s="32"/>
      <c r="AY46" s="32"/>
      <c r="AZ46" s="34"/>
      <c r="BA46" s="32"/>
      <c r="BB46" s="32"/>
    </row>
    <row r="47" spans="1:54" ht="12.75" customHeight="1">
      <c r="A47" s="229" t="s">
        <v>58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84"/>
      <c r="AX47" s="32"/>
      <c r="AY47" s="32"/>
      <c r="AZ47" s="32"/>
      <c r="BA47" s="32"/>
      <c r="BB47" s="32"/>
    </row>
    <row r="48" spans="1:54" ht="12.75" customHeight="1">
      <c r="A48" s="91" t="s">
        <v>59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84"/>
      <c r="AX48" s="32"/>
      <c r="AY48" s="32"/>
      <c r="AZ48" s="32"/>
      <c r="BA48" s="32"/>
      <c r="BB48" s="32"/>
    </row>
    <row r="49" spans="1:54" ht="15">
      <c r="A49" s="229" t="s">
        <v>97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84"/>
      <c r="AX49" s="32"/>
      <c r="AY49" s="32"/>
      <c r="AZ49" s="32"/>
      <c r="BA49" s="32"/>
      <c r="BB49" s="32"/>
    </row>
    <row r="50" spans="1:54" ht="15">
      <c r="A50" s="230"/>
      <c r="B50" s="230"/>
      <c r="C50" s="97"/>
      <c r="D50" s="97"/>
      <c r="E50" s="97"/>
      <c r="F50" s="97"/>
      <c r="G50" s="3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84"/>
      <c r="AX50" s="32"/>
      <c r="AY50" s="32"/>
      <c r="AZ50" s="32"/>
      <c r="BA50" s="32"/>
      <c r="BB50" s="32"/>
    </row>
    <row r="51" spans="1:54" ht="16.5" thickBot="1">
      <c r="A51" s="93" t="s">
        <v>61</v>
      </c>
      <c r="B51" s="96"/>
      <c r="C51" s="97"/>
      <c r="D51" s="97"/>
      <c r="E51" s="97"/>
      <c r="F51" s="97"/>
      <c r="G51" s="32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84"/>
      <c r="AX51" s="32"/>
      <c r="AY51" s="32"/>
      <c r="AZ51" s="32"/>
      <c r="BA51" s="32"/>
      <c r="BB51" s="32"/>
    </row>
    <row r="52" spans="1:54" s="134" customFormat="1" ht="15.75" thickBot="1">
      <c r="A52" s="110"/>
      <c r="B52" s="96"/>
      <c r="C52" s="97"/>
      <c r="D52" s="77"/>
      <c r="E52" s="222">
        <v>2014</v>
      </c>
      <c r="F52" s="223"/>
      <c r="G52" s="77"/>
      <c r="H52" s="222">
        <v>2015</v>
      </c>
      <c r="I52" s="223"/>
      <c r="J52" s="77"/>
      <c r="K52" s="222">
        <v>2016</v>
      </c>
      <c r="L52" s="223"/>
      <c r="M52" s="77"/>
      <c r="N52" s="222">
        <v>2017</v>
      </c>
      <c r="O52" s="223"/>
      <c r="P52" s="77"/>
      <c r="Q52" s="222">
        <v>2018</v>
      </c>
      <c r="R52" s="223"/>
      <c r="S52" s="77"/>
      <c r="T52" s="222">
        <v>2019</v>
      </c>
      <c r="U52" s="223"/>
      <c r="V52" s="77"/>
      <c r="W52" s="222">
        <v>2020</v>
      </c>
      <c r="X52" s="223"/>
      <c r="Y52" s="77"/>
      <c r="Z52" s="222">
        <v>2021</v>
      </c>
      <c r="AA52" s="223"/>
      <c r="AC52" s="222">
        <v>2022</v>
      </c>
      <c r="AD52" s="223"/>
      <c r="AE52" s="77"/>
      <c r="AF52" s="222">
        <v>2023</v>
      </c>
      <c r="AG52" s="223"/>
      <c r="AH52" s="77"/>
      <c r="AI52" s="222">
        <v>2024</v>
      </c>
      <c r="AJ52" s="223"/>
      <c r="AK52" s="77"/>
      <c r="AL52" s="222">
        <v>2025</v>
      </c>
      <c r="AM52" s="223"/>
      <c r="AN52" s="77"/>
      <c r="AO52" s="222">
        <v>2026</v>
      </c>
      <c r="AP52" s="223"/>
      <c r="AQ52" s="77"/>
      <c r="AR52" s="222">
        <v>2027</v>
      </c>
      <c r="AS52" s="223"/>
      <c r="AT52" s="77"/>
      <c r="AU52" s="222">
        <v>2028</v>
      </c>
      <c r="AV52" s="234"/>
      <c r="AW52" s="184"/>
      <c r="AX52" s="233"/>
      <c r="AY52" s="233"/>
      <c r="AZ52" s="32"/>
      <c r="BA52" s="233"/>
      <c r="BB52" s="233"/>
    </row>
    <row r="53" spans="1:54" ht="15">
      <c r="A53" s="98" t="s">
        <v>62</v>
      </c>
      <c r="B53" s="96"/>
      <c r="C53" s="97"/>
      <c r="D53" s="16"/>
      <c r="E53" s="3" t="s">
        <v>37</v>
      </c>
      <c r="F53" s="50" t="s">
        <v>38</v>
      </c>
      <c r="G53" s="16"/>
      <c r="H53" s="3" t="s">
        <v>37</v>
      </c>
      <c r="I53" s="50" t="s">
        <v>38</v>
      </c>
      <c r="J53" s="16"/>
      <c r="K53" s="3" t="s">
        <v>37</v>
      </c>
      <c r="L53" s="50" t="s">
        <v>38</v>
      </c>
      <c r="M53" s="16"/>
      <c r="N53" s="3" t="s">
        <v>37</v>
      </c>
      <c r="O53" s="50" t="s">
        <v>38</v>
      </c>
      <c r="P53" s="16"/>
      <c r="Q53" s="3" t="s">
        <v>37</v>
      </c>
      <c r="R53" s="50" t="s">
        <v>38</v>
      </c>
      <c r="S53" s="16"/>
      <c r="T53" s="3" t="s">
        <v>37</v>
      </c>
      <c r="U53" s="50" t="s">
        <v>38</v>
      </c>
      <c r="V53" s="16"/>
      <c r="W53" s="3" t="s">
        <v>37</v>
      </c>
      <c r="X53" s="50" t="s">
        <v>38</v>
      </c>
      <c r="Y53" s="16"/>
      <c r="Z53" s="3" t="s">
        <v>37</v>
      </c>
      <c r="AA53" s="50" t="s">
        <v>38</v>
      </c>
      <c r="AC53" s="12" t="s">
        <v>37</v>
      </c>
      <c r="AD53" s="12" t="s">
        <v>38</v>
      </c>
      <c r="AE53" s="16"/>
      <c r="AF53" s="3" t="s">
        <v>37</v>
      </c>
      <c r="AG53" s="50" t="s">
        <v>38</v>
      </c>
      <c r="AH53" s="16"/>
      <c r="AI53" s="3" t="s">
        <v>37</v>
      </c>
      <c r="AJ53" s="50" t="s">
        <v>38</v>
      </c>
      <c r="AK53" s="16"/>
      <c r="AL53" s="3" t="s">
        <v>37</v>
      </c>
      <c r="AM53" s="50" t="s">
        <v>38</v>
      </c>
      <c r="AN53" s="16"/>
      <c r="AO53" s="3" t="s">
        <v>37</v>
      </c>
      <c r="AP53" s="50" t="s">
        <v>38</v>
      </c>
      <c r="AQ53" s="16"/>
      <c r="AR53" s="3" t="s">
        <v>37</v>
      </c>
      <c r="AS53" s="50" t="s">
        <v>38</v>
      </c>
      <c r="AT53" s="16"/>
      <c r="AU53" s="3" t="s">
        <v>37</v>
      </c>
      <c r="AV53" s="50" t="s">
        <v>38</v>
      </c>
      <c r="AW53" s="184"/>
      <c r="AX53" s="23"/>
      <c r="AY53" s="199"/>
      <c r="AZ53" s="32"/>
      <c r="BA53" s="23"/>
      <c r="BB53" s="199"/>
    </row>
    <row r="54" spans="1:54" ht="15">
      <c r="A54" s="99"/>
      <c r="B54" s="96"/>
      <c r="C54" s="97"/>
      <c r="D54" s="52"/>
      <c r="E54" s="3"/>
      <c r="F54" s="50"/>
      <c r="G54" s="52"/>
      <c r="H54" s="3"/>
      <c r="I54" s="50"/>
      <c r="J54" s="52"/>
      <c r="K54" s="3"/>
      <c r="L54" s="50"/>
      <c r="M54" s="52" t="s">
        <v>39</v>
      </c>
      <c r="N54" s="3"/>
      <c r="O54" s="50"/>
      <c r="P54" s="52" t="s">
        <v>39</v>
      </c>
      <c r="Q54" s="3"/>
      <c r="R54" s="50"/>
      <c r="S54" s="52" t="s">
        <v>39</v>
      </c>
      <c r="T54" s="3"/>
      <c r="U54" s="50"/>
      <c r="V54" s="52" t="s">
        <v>39</v>
      </c>
      <c r="W54" s="3"/>
      <c r="X54" s="50"/>
      <c r="Y54" s="52" t="s">
        <v>39</v>
      </c>
      <c r="Z54" s="3"/>
      <c r="AA54" s="50"/>
      <c r="AB54" s="12" t="s">
        <v>39</v>
      </c>
      <c r="AE54" s="52" t="s">
        <v>39</v>
      </c>
      <c r="AF54" s="3"/>
      <c r="AG54" s="50"/>
      <c r="AH54" s="52" t="s">
        <v>39</v>
      </c>
      <c r="AI54" s="3"/>
      <c r="AJ54" s="50"/>
      <c r="AK54" s="52" t="s">
        <v>39</v>
      </c>
      <c r="AL54" s="3"/>
      <c r="AM54" s="50"/>
      <c r="AN54" s="52" t="s">
        <v>39</v>
      </c>
      <c r="AO54" s="3"/>
      <c r="AP54" s="50"/>
      <c r="AQ54" s="52" t="s">
        <v>39</v>
      </c>
      <c r="AR54" s="3"/>
      <c r="AS54" s="50"/>
      <c r="AT54" s="52" t="s">
        <v>39</v>
      </c>
      <c r="AU54" s="3"/>
      <c r="AV54" s="50"/>
      <c r="AW54" s="191"/>
      <c r="AX54" s="23"/>
      <c r="AY54" s="199"/>
      <c r="AZ54" s="52"/>
      <c r="BA54" s="23"/>
      <c r="BB54" s="199"/>
    </row>
    <row r="55" spans="1:54" ht="15">
      <c r="A55" s="95" t="s">
        <v>63</v>
      </c>
      <c r="B55" s="96"/>
      <c r="C55" s="97"/>
      <c r="D55" s="100"/>
      <c r="E55" s="100">
        <f>E33</f>
        <v>0</v>
      </c>
      <c r="F55" s="101">
        <f>F33</f>
        <v>0</v>
      </c>
      <c r="G55" s="100"/>
      <c r="H55" s="100">
        <f>H33</f>
        <v>0</v>
      </c>
      <c r="I55" s="101">
        <f>I33</f>
        <v>0</v>
      </c>
      <c r="J55" s="100"/>
      <c r="K55" s="100">
        <f>K33</f>
        <v>466.02649379519994</v>
      </c>
      <c r="L55" s="101">
        <f>L33</f>
        <v>7301.081736124798</v>
      </c>
      <c r="M55" s="100"/>
      <c r="N55" s="100">
        <f>N33</f>
        <v>899.9037418175999</v>
      </c>
      <c r="O55" s="101">
        <f>O33</f>
        <v>14098.4919551424</v>
      </c>
      <c r="P55" s="100"/>
      <c r="Q55" s="100">
        <f>Q33</f>
        <v>835.6052502719999</v>
      </c>
      <c r="R55" s="101">
        <f>R33</f>
        <v>13091.148920927999</v>
      </c>
      <c r="S55" s="100"/>
      <c r="T55" s="100">
        <f>T33</f>
        <v>771.3067587264</v>
      </c>
      <c r="U55" s="101">
        <f>U33</f>
        <v>12083.805886713597</v>
      </c>
      <c r="V55" s="100"/>
      <c r="W55" s="100">
        <f>W33</f>
        <v>707.0082671808</v>
      </c>
      <c r="X55" s="101">
        <f>X33</f>
        <v>11076.462852499199</v>
      </c>
      <c r="Y55" s="100"/>
      <c r="Z55" s="100">
        <f>Z33</f>
        <v>642.7097756351999</v>
      </c>
      <c r="AA55" s="101">
        <f>AA33</f>
        <v>10069.119818284797</v>
      </c>
      <c r="AC55" s="100">
        <f>AC33</f>
        <v>578.4112840895999</v>
      </c>
      <c r="AD55" s="101">
        <f>AD33</f>
        <v>9061.7767840704</v>
      </c>
      <c r="AE55" s="100"/>
      <c r="AF55" s="100">
        <f>AF33</f>
        <v>514.112792544</v>
      </c>
      <c r="AG55" s="101">
        <f>AG33</f>
        <v>8054.433749855999</v>
      </c>
      <c r="AH55" s="100"/>
      <c r="AI55" s="100">
        <f>AI33</f>
        <v>449.8143009984001</v>
      </c>
      <c r="AJ55" s="101">
        <f>AJ33</f>
        <v>7047.0907156416</v>
      </c>
      <c r="AK55" s="100"/>
      <c r="AL55" s="100">
        <f>AL33</f>
        <v>385.5158094528001</v>
      </c>
      <c r="AM55" s="101">
        <f>AM33</f>
        <v>6039.747681427201</v>
      </c>
      <c r="AN55" s="100"/>
      <c r="AO55" s="100">
        <f>AO33</f>
        <v>321.21731790720014</v>
      </c>
      <c r="AP55" s="101">
        <f>AP33</f>
        <v>5032.404647212801</v>
      </c>
      <c r="AQ55" s="100"/>
      <c r="AR55" s="100">
        <f>AR33</f>
        <v>256.91882636160017</v>
      </c>
      <c r="AS55" s="101">
        <f>AS33</f>
        <v>4025.0616129984023</v>
      </c>
      <c r="AT55" s="100"/>
      <c r="AU55" s="100">
        <f>AU33</f>
        <v>192.6203348160002</v>
      </c>
      <c r="AV55" s="101">
        <f>AV33</f>
        <v>3017.7185787840026</v>
      </c>
      <c r="AW55" s="186"/>
      <c r="AX55" s="100"/>
      <c r="AY55" s="101"/>
      <c r="AZ55" s="100"/>
      <c r="BA55" s="100"/>
      <c r="BB55" s="101"/>
    </row>
    <row r="56" spans="1:54" ht="15">
      <c r="A56" s="95" t="s">
        <v>98</v>
      </c>
      <c r="B56" s="96"/>
      <c r="C56" s="97"/>
      <c r="D56" s="102"/>
      <c r="E56" s="103">
        <f>E37</f>
        <v>0</v>
      </c>
      <c r="F56" s="103">
        <f>F37</f>
        <v>0</v>
      </c>
      <c r="G56" s="102"/>
      <c r="H56" s="103">
        <f>H37</f>
        <v>0</v>
      </c>
      <c r="I56" s="103">
        <f>I37</f>
        <v>0</v>
      </c>
      <c r="J56" s="102"/>
      <c r="K56" s="103">
        <f>K37</f>
        <v>866.03594</v>
      </c>
      <c r="L56" s="103">
        <f>L37</f>
        <v>13567.896393333333</v>
      </c>
      <c r="M56" s="102"/>
      <c r="N56" s="103">
        <f>N37</f>
        <v>1717.3742399999996</v>
      </c>
      <c r="O56" s="103">
        <f>O37</f>
        <v>26905.529759999994</v>
      </c>
      <c r="P56" s="102"/>
      <c r="Q56" s="103">
        <f>Q37</f>
        <v>1717.3742399999996</v>
      </c>
      <c r="R56" s="103">
        <f>R37</f>
        <v>26905.529759999994</v>
      </c>
      <c r="S56" s="102"/>
      <c r="T56" s="103">
        <f>T37</f>
        <v>1717.3742399999996</v>
      </c>
      <c r="U56" s="103">
        <f>U37</f>
        <v>26905.529759999994</v>
      </c>
      <c r="V56" s="102"/>
      <c r="W56" s="103">
        <f>W37</f>
        <v>1717.3742399999996</v>
      </c>
      <c r="X56" s="103">
        <f>X37</f>
        <v>26905.529759999994</v>
      </c>
      <c r="Y56" s="102"/>
      <c r="Z56" s="103">
        <f>Z37</f>
        <v>1717.3742399999996</v>
      </c>
      <c r="AA56" s="103">
        <f>AA37</f>
        <v>26905.529759999994</v>
      </c>
      <c r="AC56" s="103">
        <f>AC37</f>
        <v>1717.3742399999996</v>
      </c>
      <c r="AD56" s="103">
        <f>AD37</f>
        <v>26905.529759999994</v>
      </c>
      <c r="AE56" s="102"/>
      <c r="AF56" s="103">
        <f>AF37</f>
        <v>1717.3742399999996</v>
      </c>
      <c r="AG56" s="103">
        <f>AG37</f>
        <v>26905.529759999994</v>
      </c>
      <c r="AH56" s="102"/>
      <c r="AI56" s="103">
        <f>AI37</f>
        <v>1717.3742399999996</v>
      </c>
      <c r="AJ56" s="103">
        <f>AJ37</f>
        <v>26905.529759999994</v>
      </c>
      <c r="AK56" s="102"/>
      <c r="AL56" s="103">
        <f>AL37</f>
        <v>1717.3742399999996</v>
      </c>
      <c r="AM56" s="103">
        <f>AM37</f>
        <v>26905.529759999994</v>
      </c>
      <c r="AN56" s="102"/>
      <c r="AO56" s="103">
        <f>AO37</f>
        <v>1717.3742399999996</v>
      </c>
      <c r="AP56" s="103">
        <f>AP37</f>
        <v>26905.529759999994</v>
      </c>
      <c r="AQ56" s="102"/>
      <c r="AR56" s="103">
        <f>AR37</f>
        <v>1717.3742399999996</v>
      </c>
      <c r="AS56" s="103">
        <f>AS37</f>
        <v>26905.529759999994</v>
      </c>
      <c r="AT56" s="102"/>
      <c r="AU56" s="103">
        <f>AU37</f>
        <v>1717.3742399999996</v>
      </c>
      <c r="AV56" s="103">
        <f>AV37</f>
        <v>26905.529759999994</v>
      </c>
      <c r="AW56" s="185"/>
      <c r="AX56" s="102"/>
      <c r="AY56" s="102"/>
      <c r="AZ56" s="102"/>
      <c r="BA56" s="102"/>
      <c r="BB56" s="102"/>
    </row>
    <row r="57" spans="1:54" ht="15">
      <c r="A57" s="95" t="s">
        <v>99</v>
      </c>
      <c r="B57" s="96"/>
      <c r="C57" s="97"/>
      <c r="D57" s="102"/>
      <c r="E57" s="102">
        <f>-D95*E$19</f>
        <v>0</v>
      </c>
      <c r="F57" s="102">
        <f>-D95*F$19</f>
        <v>0</v>
      </c>
      <c r="G57" s="102"/>
      <c r="H57" s="102">
        <f>-E95*H$19</f>
        <v>0</v>
      </c>
      <c r="I57" s="102">
        <f>-E95*I$19</f>
        <v>0</v>
      </c>
      <c r="J57" s="102"/>
      <c r="K57" s="102">
        <f>-F95*K$19</f>
        <v>-1030.424544</v>
      </c>
      <c r="L57" s="102">
        <f>-F95*L$19</f>
        <v>-16143.317855999998</v>
      </c>
      <c r="M57" s="105"/>
      <c r="N57" s="102">
        <f>-G95*N$19</f>
        <v>-1978.4151244799998</v>
      </c>
      <c r="O57" s="102">
        <f>-G95*O$19</f>
        <v>-30995.170283519998</v>
      </c>
      <c r="P57" s="102"/>
      <c r="Q57" s="102">
        <f>-H95*Q$19</f>
        <v>-1820.1419145215998</v>
      </c>
      <c r="R57" s="102">
        <f>-H95*R$19</f>
        <v>-28515.556660838396</v>
      </c>
      <c r="S57" s="102"/>
      <c r="T57" s="102">
        <f>-I95*T$19</f>
        <v>-1674.5305613598719</v>
      </c>
      <c r="U57" s="102">
        <f>-I95*U$19</f>
        <v>-26234.312127971327</v>
      </c>
      <c r="V57" s="102"/>
      <c r="W57" s="102">
        <f>-J95*W$19</f>
        <v>-1540.568116451082</v>
      </c>
      <c r="X57" s="102">
        <f>-J95*X$19</f>
        <v>-24135.567157733618</v>
      </c>
      <c r="Y57" s="102"/>
      <c r="Z57" s="102">
        <f>-K95*Z$19</f>
        <v>-1417.3226671349953</v>
      </c>
      <c r="AA57" s="102">
        <f>-K95*AA$19</f>
        <v>-22204.721785114925</v>
      </c>
      <c r="AC57" s="102">
        <f>-N95*AC$19</f>
        <v>-1103.6521530260152</v>
      </c>
      <c r="AD57" s="102">
        <f>-N95*AD$19</f>
        <v>-17290.55039740757</v>
      </c>
      <c r="AE57" s="102"/>
      <c r="AF57" s="102">
        <f>-Q95*AF$19</f>
        <v>-859.4006877355217</v>
      </c>
      <c r="AG57" s="102">
        <f>-Q95*AG$19</f>
        <v>-13463.944107856507</v>
      </c>
      <c r="AH57" s="102"/>
      <c r="AI57" s="102">
        <f>-T95*AI$19</f>
        <v>0</v>
      </c>
      <c r="AJ57" s="102">
        <f>-T95*AJ$19</f>
        <v>0</v>
      </c>
      <c r="AK57" s="102"/>
      <c r="AL57" s="102">
        <f>-W95*AL$19</f>
        <v>0</v>
      </c>
      <c r="AM57" s="102">
        <f>-W95*AM$19</f>
        <v>0</v>
      </c>
      <c r="AN57" s="102"/>
      <c r="AO57" s="102">
        <f>-Z95*AO$19</f>
        <v>0</v>
      </c>
      <c r="AP57" s="102">
        <f>-Z95*AP$19</f>
        <v>0</v>
      </c>
      <c r="AQ57" s="102"/>
      <c r="AR57" s="102">
        <f>-AC95*AR$19</f>
        <v>0</v>
      </c>
      <c r="AS57" s="102">
        <f>-AC95*AS$19</f>
        <v>0</v>
      </c>
      <c r="AT57" s="102"/>
      <c r="AU57" s="102">
        <f>-AF95*AU$19</f>
        <v>0</v>
      </c>
      <c r="AV57" s="102">
        <f>-AF95*AV$19</f>
        <v>0</v>
      </c>
      <c r="AW57" s="185"/>
      <c r="AX57" s="102"/>
      <c r="AY57" s="102"/>
      <c r="AZ57" s="102"/>
      <c r="BA57" s="102"/>
      <c r="BB57" s="102"/>
    </row>
    <row r="58" spans="1:54" ht="15">
      <c r="A58" s="99" t="s">
        <v>66</v>
      </c>
      <c r="B58" s="96"/>
      <c r="C58" s="97"/>
      <c r="D58" s="102"/>
      <c r="E58" s="104">
        <f>SUM(E55:E57)</f>
        <v>0</v>
      </c>
      <c r="F58" s="104">
        <f>SUM(F55:F57)</f>
        <v>0</v>
      </c>
      <c r="G58" s="102"/>
      <c r="H58" s="104">
        <f>SUM(H55:H57)</f>
        <v>0</v>
      </c>
      <c r="I58" s="104">
        <f>SUM(I55:I57)</f>
        <v>0</v>
      </c>
      <c r="J58" s="102"/>
      <c r="K58" s="104">
        <f>SUM(K55:K57)</f>
        <v>301.63788979519995</v>
      </c>
      <c r="L58" s="104">
        <f>SUM(L55:L57)</f>
        <v>4725.660273458132</v>
      </c>
      <c r="M58" s="105"/>
      <c r="N58" s="104">
        <f>SUM(N55:N57)</f>
        <v>638.8628573375997</v>
      </c>
      <c r="O58" s="104">
        <f>SUM(O55:O57)</f>
        <v>10008.851431622395</v>
      </c>
      <c r="P58" s="102"/>
      <c r="Q58" s="104">
        <f>SUM(Q55:Q57)</f>
        <v>732.8375757503998</v>
      </c>
      <c r="R58" s="104">
        <f>SUM(R55:R57)</f>
        <v>11481.122020089599</v>
      </c>
      <c r="S58" s="102"/>
      <c r="T58" s="104">
        <f>SUM(T55:T57)</f>
        <v>814.1504373665277</v>
      </c>
      <c r="U58" s="104">
        <f>SUM(U55:U57)</f>
        <v>12755.023518742262</v>
      </c>
      <c r="V58" s="102"/>
      <c r="W58" s="104">
        <f>SUM(W55:W57)</f>
        <v>883.8143907297176</v>
      </c>
      <c r="X58" s="104">
        <f>SUM(X55:X57)</f>
        <v>13846.425454765573</v>
      </c>
      <c r="Y58" s="102"/>
      <c r="Z58" s="104">
        <f>SUM(Z55:Z57)</f>
        <v>942.7613485002043</v>
      </c>
      <c r="AA58" s="104">
        <f>SUM(AA55:AA57)</f>
        <v>14769.927793169867</v>
      </c>
      <c r="AC58" s="104">
        <f>SUM(AC55:AC57)</f>
        <v>1192.1333710635845</v>
      </c>
      <c r="AD58" s="104">
        <f>SUM(AD55:AD57)</f>
        <v>18676.756146662825</v>
      </c>
      <c r="AE58" s="102"/>
      <c r="AF58" s="104">
        <f>SUM(AF55:AF57)</f>
        <v>1372.0863448084779</v>
      </c>
      <c r="AG58" s="104">
        <f>SUM(AG55:AG57)</f>
        <v>21496.01940199949</v>
      </c>
      <c r="AH58" s="102"/>
      <c r="AI58" s="104">
        <f>SUM(AI55:AI57)</f>
        <v>2167.1885409983997</v>
      </c>
      <c r="AJ58" s="104">
        <f>SUM(AJ55:AJ57)</f>
        <v>33952.6204756416</v>
      </c>
      <c r="AK58" s="102"/>
      <c r="AL58" s="104">
        <f>SUM(AL55:AL57)</f>
        <v>2102.8900494527998</v>
      </c>
      <c r="AM58" s="104">
        <f>SUM(AM55:AM57)</f>
        <v>32945.2774414272</v>
      </c>
      <c r="AN58" s="102"/>
      <c r="AO58" s="104">
        <f>SUM(AO55:AO57)</f>
        <v>2038.5915579071998</v>
      </c>
      <c r="AP58" s="104">
        <f>SUM(AP55:AP57)</f>
        <v>31937.934407212793</v>
      </c>
      <c r="AQ58" s="102"/>
      <c r="AR58" s="104">
        <f>SUM(AR55:AR57)</f>
        <v>1974.2930663615998</v>
      </c>
      <c r="AS58" s="104">
        <f>SUM(AS55:AS57)</f>
        <v>30930.591372998395</v>
      </c>
      <c r="AT58" s="102"/>
      <c r="AU58" s="104">
        <f>SUM(AU55:AU57)</f>
        <v>1909.9945748159998</v>
      </c>
      <c r="AV58" s="104">
        <f>SUM(AV55:AV57)</f>
        <v>29923.248338783997</v>
      </c>
      <c r="AW58" s="185"/>
      <c r="AX58" s="102"/>
      <c r="AY58" s="102"/>
      <c r="AZ58" s="102"/>
      <c r="BA58" s="102"/>
      <c r="BB58" s="102"/>
    </row>
    <row r="59" spans="1:54" ht="15">
      <c r="A59" s="95"/>
      <c r="B59" s="96"/>
      <c r="C59" s="97"/>
      <c r="D59" s="102"/>
      <c r="E59" s="102"/>
      <c r="F59" s="102"/>
      <c r="G59" s="102"/>
      <c r="H59" s="102"/>
      <c r="I59" s="102"/>
      <c r="J59" s="102"/>
      <c r="K59" s="102"/>
      <c r="L59" s="102"/>
      <c r="M59" s="105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85"/>
      <c r="AX59" s="102"/>
      <c r="AY59" s="102"/>
      <c r="AZ59" s="102"/>
      <c r="BA59" s="102"/>
      <c r="BB59" s="102"/>
    </row>
    <row r="60" spans="1:54" ht="15">
      <c r="A60" s="95" t="s">
        <v>67</v>
      </c>
      <c r="B60" s="97"/>
      <c r="C60" s="97"/>
      <c r="D60" s="105"/>
      <c r="E60" s="106">
        <v>0.265</v>
      </c>
      <c r="F60" s="106">
        <v>0.265</v>
      </c>
      <c r="G60" s="105"/>
      <c r="H60" s="106">
        <v>0.265</v>
      </c>
      <c r="I60" s="106">
        <v>0.265</v>
      </c>
      <c r="J60" s="105"/>
      <c r="K60" s="106">
        <v>0.265</v>
      </c>
      <c r="L60" s="106">
        <v>0.265</v>
      </c>
      <c r="M60" s="105"/>
      <c r="N60" s="106">
        <v>0.265</v>
      </c>
      <c r="O60" s="106">
        <v>0.265</v>
      </c>
      <c r="P60" s="102"/>
      <c r="Q60" s="106">
        <v>0.265</v>
      </c>
      <c r="R60" s="106">
        <v>0.265</v>
      </c>
      <c r="S60" s="102"/>
      <c r="T60" s="106">
        <v>0.265</v>
      </c>
      <c r="U60" s="106">
        <v>0.265</v>
      </c>
      <c r="V60" s="102"/>
      <c r="W60" s="106">
        <v>0.265</v>
      </c>
      <c r="X60" s="106">
        <v>0.265</v>
      </c>
      <c r="Y60" s="102"/>
      <c r="Z60" s="106">
        <v>0.265</v>
      </c>
      <c r="AA60" s="106">
        <v>0.265</v>
      </c>
      <c r="AC60" s="106">
        <v>0.265</v>
      </c>
      <c r="AD60" s="106">
        <v>0.265</v>
      </c>
      <c r="AE60" s="102"/>
      <c r="AF60" s="106">
        <v>0.265</v>
      </c>
      <c r="AG60" s="106">
        <v>0.265</v>
      </c>
      <c r="AH60" s="102"/>
      <c r="AI60" s="106">
        <v>0.265</v>
      </c>
      <c r="AJ60" s="106">
        <v>0.265</v>
      </c>
      <c r="AK60" s="102"/>
      <c r="AL60" s="106">
        <v>0.265</v>
      </c>
      <c r="AM60" s="106">
        <v>0.265</v>
      </c>
      <c r="AN60" s="102"/>
      <c r="AO60" s="106">
        <v>0.265</v>
      </c>
      <c r="AP60" s="106">
        <v>0.265</v>
      </c>
      <c r="AQ60" s="102"/>
      <c r="AR60" s="106">
        <v>0.265</v>
      </c>
      <c r="AS60" s="106">
        <v>0.265</v>
      </c>
      <c r="AT60" s="102"/>
      <c r="AU60" s="106">
        <v>0.265</v>
      </c>
      <c r="AV60" s="106">
        <v>0.265</v>
      </c>
      <c r="AW60" s="185"/>
      <c r="AX60" s="212"/>
      <c r="AY60" s="212"/>
      <c r="AZ60" s="102"/>
      <c r="BA60" s="212"/>
      <c r="BB60" s="212"/>
    </row>
    <row r="61" spans="1:54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84"/>
      <c r="AX61" s="32"/>
      <c r="AY61" s="32"/>
      <c r="AZ61" s="32"/>
      <c r="BA61" s="32"/>
      <c r="BB61" s="32"/>
    </row>
    <row r="62" spans="1:54" ht="15">
      <c r="A62" s="95" t="s">
        <v>68</v>
      </c>
      <c r="B62" s="96"/>
      <c r="C62" s="97"/>
      <c r="D62" s="102"/>
      <c r="E62" s="108">
        <f>E58*E60</f>
        <v>0</v>
      </c>
      <c r="F62" s="108">
        <f>F58*F60</f>
        <v>0</v>
      </c>
      <c r="G62" s="102"/>
      <c r="H62" s="108">
        <f>H58*H60</f>
        <v>0</v>
      </c>
      <c r="I62" s="108">
        <f>I58*I60</f>
        <v>0</v>
      </c>
      <c r="J62" s="102"/>
      <c r="K62" s="108">
        <f>K58*K60</f>
        <v>79.934040795728</v>
      </c>
      <c r="L62" s="108">
        <f>L58*L60</f>
        <v>1252.299972466405</v>
      </c>
      <c r="M62" s="102"/>
      <c r="N62" s="108">
        <f>N58*N60</f>
        <v>169.29865719446394</v>
      </c>
      <c r="O62" s="108">
        <f>O58*O60</f>
        <v>2652.345629379935</v>
      </c>
      <c r="P62" s="102"/>
      <c r="Q62" s="108">
        <f>Q58*Q60</f>
        <v>194.20195757385594</v>
      </c>
      <c r="R62" s="108">
        <f>R58*R60</f>
        <v>3042.4973353237438</v>
      </c>
      <c r="S62" s="102"/>
      <c r="T62" s="108">
        <f>T58*T60</f>
        <v>215.74986590212987</v>
      </c>
      <c r="U62" s="108">
        <f>U58*U60</f>
        <v>3380.0812324666995</v>
      </c>
      <c r="V62" s="102"/>
      <c r="W62" s="108">
        <f>W58*W60</f>
        <v>234.21081354337517</v>
      </c>
      <c r="X62" s="108">
        <f>X58*X60</f>
        <v>3669.3027455128768</v>
      </c>
      <c r="Y62" s="102"/>
      <c r="Z62" s="108">
        <f>Z58*Z60</f>
        <v>249.83175735255418</v>
      </c>
      <c r="AA62" s="108">
        <f>AA58*AA60</f>
        <v>3914.030865190015</v>
      </c>
      <c r="AC62" s="108">
        <f>AC58*AC60</f>
        <v>315.9153433318499</v>
      </c>
      <c r="AD62" s="108">
        <f>AD58*AD60</f>
        <v>4949.340378865649</v>
      </c>
      <c r="AE62" s="102"/>
      <c r="AF62" s="108">
        <f>AF58*AF60</f>
        <v>363.60288137424664</v>
      </c>
      <c r="AG62" s="108">
        <f>AG58*AG60</f>
        <v>5696.4451415298645</v>
      </c>
      <c r="AH62" s="102"/>
      <c r="AI62" s="108">
        <f>AI58*AI60</f>
        <v>574.304963364576</v>
      </c>
      <c r="AJ62" s="108">
        <f>AJ58*AJ60</f>
        <v>8997.444426045024</v>
      </c>
      <c r="AK62" s="102"/>
      <c r="AL62" s="108">
        <f>AL58*AL60</f>
        <v>557.2658631049919</v>
      </c>
      <c r="AM62" s="108">
        <f>AM58*AM60</f>
        <v>8730.498521978208</v>
      </c>
      <c r="AN62" s="102"/>
      <c r="AO62" s="108">
        <f>AO58*AO60</f>
        <v>540.226762845408</v>
      </c>
      <c r="AP62" s="108">
        <f>AP58*AP60</f>
        <v>8463.552617911391</v>
      </c>
      <c r="AQ62" s="102"/>
      <c r="AR62" s="108">
        <f>AR58*AR60</f>
        <v>523.187662585824</v>
      </c>
      <c r="AS62" s="108">
        <f>AS58*AS60</f>
        <v>8196.606713844574</v>
      </c>
      <c r="AT62" s="102"/>
      <c r="AU62" s="108">
        <f>AU58*AU60</f>
        <v>506.14856232624</v>
      </c>
      <c r="AV62" s="108">
        <f>AV58*AV60</f>
        <v>7929.66080977776</v>
      </c>
      <c r="AW62" s="185"/>
      <c r="AX62" s="111"/>
      <c r="AY62" s="111"/>
      <c r="AZ62" s="102"/>
      <c r="BA62" s="111"/>
      <c r="BB62" s="111"/>
    </row>
    <row r="63" spans="1:54" ht="15">
      <c r="A63" s="109" t="s">
        <v>69</v>
      </c>
      <c r="B63" s="96"/>
      <c r="C63" s="97"/>
      <c r="D63" s="110"/>
      <c r="E63" s="95"/>
      <c r="F63" s="95"/>
      <c r="G63" s="110"/>
      <c r="H63" s="95"/>
      <c r="I63" s="95"/>
      <c r="J63" s="110"/>
      <c r="K63" s="95"/>
      <c r="L63" s="95"/>
      <c r="M63" s="110"/>
      <c r="N63" s="95"/>
      <c r="O63" s="95"/>
      <c r="P63" s="110"/>
      <c r="Q63" s="95"/>
      <c r="R63" s="95"/>
      <c r="S63" s="110"/>
      <c r="T63" s="95"/>
      <c r="U63" s="95"/>
      <c r="V63" s="110"/>
      <c r="W63" s="95"/>
      <c r="X63" s="95"/>
      <c r="Y63" s="110"/>
      <c r="Z63" s="95"/>
      <c r="AA63" s="95"/>
      <c r="AC63" s="95"/>
      <c r="AD63" s="95"/>
      <c r="AE63" s="110"/>
      <c r="AF63" s="95"/>
      <c r="AG63" s="95"/>
      <c r="AH63" s="110"/>
      <c r="AI63" s="95"/>
      <c r="AJ63" s="95"/>
      <c r="AK63" s="110"/>
      <c r="AL63" s="95"/>
      <c r="AM63" s="95"/>
      <c r="AN63" s="110"/>
      <c r="AO63" s="95"/>
      <c r="AP63" s="95"/>
      <c r="AQ63" s="110"/>
      <c r="AR63" s="95"/>
      <c r="AS63" s="95"/>
      <c r="AT63" s="110"/>
      <c r="AU63" s="95"/>
      <c r="AV63" s="95"/>
      <c r="AW63" s="194"/>
      <c r="AX63" s="110"/>
      <c r="AY63" s="110"/>
      <c r="AZ63" s="110"/>
      <c r="BA63" s="110"/>
      <c r="BB63" s="110"/>
    </row>
    <row r="64" spans="1:54" ht="15">
      <c r="A64" s="95" t="s">
        <v>68</v>
      </c>
      <c r="B64" s="96"/>
      <c r="C64" s="97"/>
      <c r="D64" s="111"/>
      <c r="E64" s="112">
        <f>E62/(1-E60)</f>
        <v>0</v>
      </c>
      <c r="F64" s="112">
        <f>F62/(1-F60)</f>
        <v>0</v>
      </c>
      <c r="G64" s="111"/>
      <c r="H64" s="112">
        <f>H62/(1-H60)</f>
        <v>0</v>
      </c>
      <c r="I64" s="112">
        <f>I62/(1-I60)</f>
        <v>0</v>
      </c>
      <c r="J64" s="111"/>
      <c r="K64" s="112">
        <f>K62/(1-K60)</f>
        <v>108.75379700099047</v>
      </c>
      <c r="L64" s="112">
        <f>L62/(1-L60)</f>
        <v>1703.8094863488504</v>
      </c>
      <c r="M64" s="111"/>
      <c r="N64" s="112">
        <f>N62/(1-N60)</f>
        <v>230.3383091081142</v>
      </c>
      <c r="O64" s="112">
        <f>O62/(1-O60)</f>
        <v>3608.6335093604557</v>
      </c>
      <c r="P64" s="111"/>
      <c r="Q64" s="112">
        <f>Q62/(1-Q60)</f>
        <v>264.22035044062034</v>
      </c>
      <c r="R64" s="112">
        <f>R62/(1-R60)</f>
        <v>4139.452156903053</v>
      </c>
      <c r="S64" s="111"/>
      <c r="T64" s="112">
        <f>T62/(1-T60)</f>
        <v>293.5372325199046</v>
      </c>
      <c r="U64" s="112">
        <f>U62/(1-U60)</f>
        <v>4598.749976145169</v>
      </c>
      <c r="V64" s="111"/>
      <c r="W64" s="112">
        <f>W62/(1-W60)</f>
        <v>318.65416808622473</v>
      </c>
      <c r="X64" s="112">
        <f>X62/(1-X60)</f>
        <v>4992.248633350853</v>
      </c>
      <c r="Y64" s="111"/>
      <c r="Z64" s="112">
        <f>Z62/(1-Z60)</f>
        <v>339.90715286061794</v>
      </c>
      <c r="AA64" s="112">
        <f>AA62/(1-AA60)</f>
        <v>5325.212061483014</v>
      </c>
      <c r="AC64" s="112">
        <f>AC62/(1-AC60)</f>
        <v>429.8167936487754</v>
      </c>
      <c r="AD64" s="112">
        <f>AD62/(1-AD60)</f>
        <v>6733.796433830815</v>
      </c>
      <c r="AE64" s="111"/>
      <c r="AF64" s="112">
        <f>AF62/(1-AF60)</f>
        <v>494.69779778809067</v>
      </c>
      <c r="AG64" s="112">
        <f>AG62/(1-AG60)</f>
        <v>7750.265498680088</v>
      </c>
      <c r="AH64" s="111"/>
      <c r="AI64" s="112">
        <f>AI62/(1-AI60)</f>
        <v>781.3672970946612</v>
      </c>
      <c r="AJ64" s="112">
        <f>AJ62/(1-AJ60)</f>
        <v>12241.420987816358</v>
      </c>
      <c r="AK64" s="111"/>
      <c r="AL64" s="112">
        <f>AL62/(1-AL60)</f>
        <v>758.1848477618938</v>
      </c>
      <c r="AM64" s="112">
        <f>AM62/(1-AM60)</f>
        <v>11878.229281603004</v>
      </c>
      <c r="AN64" s="111"/>
      <c r="AO64" s="112">
        <f>AO62/(1-AO60)</f>
        <v>735.0023984291265</v>
      </c>
      <c r="AP64" s="112">
        <f>AP62/(1-AP60)</f>
        <v>11515.037575389648</v>
      </c>
      <c r="AQ64" s="111"/>
      <c r="AR64" s="112">
        <f>AR62/(1-AR60)</f>
        <v>711.8199490963592</v>
      </c>
      <c r="AS64" s="112">
        <f>AS62/(1-AS60)</f>
        <v>11151.845869176292</v>
      </c>
      <c r="AT64" s="111"/>
      <c r="AU64" s="112">
        <f>AU62/(1-AU60)</f>
        <v>688.6374997635918</v>
      </c>
      <c r="AV64" s="112">
        <f>AV62/(1-AV60)</f>
        <v>10788.65416296294</v>
      </c>
      <c r="AW64" s="195"/>
      <c r="AX64" s="111"/>
      <c r="AY64" s="111"/>
      <c r="AZ64" s="111"/>
      <c r="BA64" s="111"/>
      <c r="BB64" s="111"/>
    </row>
    <row r="65" spans="1:54" ht="15">
      <c r="A65" s="99" t="s">
        <v>70</v>
      </c>
      <c r="B65" s="96"/>
      <c r="C65" s="97"/>
      <c r="D65" s="113"/>
      <c r="E65" s="114">
        <f>SUM(E64:E64)</f>
        <v>0</v>
      </c>
      <c r="F65" s="114">
        <f>SUM(F64:F64)</f>
        <v>0</v>
      </c>
      <c r="G65" s="113"/>
      <c r="H65" s="114">
        <f>SUM(H64:H64)</f>
        <v>0</v>
      </c>
      <c r="I65" s="114">
        <f>SUM(I64:I64)</f>
        <v>0</v>
      </c>
      <c r="J65" s="113"/>
      <c r="K65" s="114">
        <f>SUM(K64:K64)</f>
        <v>108.75379700099047</v>
      </c>
      <c r="L65" s="114">
        <f>SUM(L64:L64)</f>
        <v>1703.8094863488504</v>
      </c>
      <c r="M65" s="113"/>
      <c r="N65" s="114">
        <f>SUM(N64:N64)</f>
        <v>230.3383091081142</v>
      </c>
      <c r="O65" s="114">
        <f>SUM(O64:O64)</f>
        <v>3608.6335093604557</v>
      </c>
      <c r="P65" s="113"/>
      <c r="Q65" s="114">
        <f>SUM(Q64:Q64)</f>
        <v>264.22035044062034</v>
      </c>
      <c r="R65" s="114">
        <f>SUM(R64:R64)</f>
        <v>4139.452156903053</v>
      </c>
      <c r="S65" s="113"/>
      <c r="T65" s="114">
        <f>SUM(T64:T64)</f>
        <v>293.5372325199046</v>
      </c>
      <c r="U65" s="114">
        <f>SUM(U64:U64)</f>
        <v>4598.749976145169</v>
      </c>
      <c r="V65" s="113"/>
      <c r="W65" s="114">
        <f>SUM(W64:W64)</f>
        <v>318.65416808622473</v>
      </c>
      <c r="X65" s="114">
        <f>SUM(X64:X64)</f>
        <v>4992.248633350853</v>
      </c>
      <c r="Y65" s="113"/>
      <c r="Z65" s="114">
        <f>SUM(Z64:Z64)</f>
        <v>339.90715286061794</v>
      </c>
      <c r="AA65" s="114">
        <f>SUM(AA64:AA64)</f>
        <v>5325.212061483014</v>
      </c>
      <c r="AC65" s="114">
        <f>SUM(AC64:AC64)</f>
        <v>429.8167936487754</v>
      </c>
      <c r="AD65" s="114">
        <f>SUM(AD64:AD64)</f>
        <v>6733.796433830815</v>
      </c>
      <c r="AE65" s="113"/>
      <c r="AF65" s="114">
        <f>SUM(AF64:AF64)</f>
        <v>494.69779778809067</v>
      </c>
      <c r="AG65" s="114">
        <f>SUM(AG64:AG64)</f>
        <v>7750.265498680088</v>
      </c>
      <c r="AH65" s="113"/>
      <c r="AI65" s="114">
        <f>SUM(AI64:AI64)</f>
        <v>781.3672970946612</v>
      </c>
      <c r="AJ65" s="114">
        <f>SUM(AJ64:AJ64)</f>
        <v>12241.420987816358</v>
      </c>
      <c r="AK65" s="113"/>
      <c r="AL65" s="114">
        <f>SUM(AL64:AL64)</f>
        <v>758.1848477618938</v>
      </c>
      <c r="AM65" s="114">
        <f>SUM(AM64:AM64)</f>
        <v>11878.229281603004</v>
      </c>
      <c r="AN65" s="113"/>
      <c r="AO65" s="114">
        <f>SUM(AO64:AO64)</f>
        <v>735.0023984291265</v>
      </c>
      <c r="AP65" s="114">
        <f>SUM(AP64:AP64)</f>
        <v>11515.037575389648</v>
      </c>
      <c r="AQ65" s="113"/>
      <c r="AR65" s="114">
        <f>SUM(AR64:AR64)</f>
        <v>711.8199490963592</v>
      </c>
      <c r="AS65" s="114">
        <f>SUM(AS64:AS64)</f>
        <v>11151.845869176292</v>
      </c>
      <c r="AT65" s="113"/>
      <c r="AU65" s="114">
        <f>SUM(AU64:AU64)</f>
        <v>688.6374997635918</v>
      </c>
      <c r="AV65" s="114">
        <f>SUM(AV64:AV64)</f>
        <v>10788.65416296294</v>
      </c>
      <c r="AW65" s="196"/>
      <c r="AX65" s="190"/>
      <c r="AY65" s="190"/>
      <c r="AZ65" s="113"/>
      <c r="BA65" s="190"/>
      <c r="BB65" s="190"/>
    </row>
    <row r="66" spans="1:54" ht="15">
      <c r="A66" s="16"/>
      <c r="B66" s="90"/>
      <c r="C66" s="115"/>
      <c r="D66" s="115"/>
      <c r="E66" s="115"/>
      <c r="F66" s="1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W66" s="197"/>
      <c r="AX66" s="197"/>
      <c r="AY66" s="197"/>
      <c r="AZ66" s="197"/>
      <c r="BA66" s="197"/>
      <c r="BB66" s="197"/>
    </row>
    <row r="67" spans="1:54" ht="15.75" thickBot="1">
      <c r="A67" s="16"/>
      <c r="B67" s="90"/>
      <c r="C67" s="115"/>
      <c r="D67" s="115"/>
      <c r="E67" s="115"/>
      <c r="F67" s="115"/>
      <c r="G67" s="16"/>
      <c r="H67" s="16"/>
      <c r="I67" s="1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W67" s="197"/>
      <c r="AX67" s="197"/>
      <c r="AY67" s="197"/>
      <c r="AZ67" s="197"/>
      <c r="BA67" s="197"/>
      <c r="BB67" s="197"/>
    </row>
    <row r="68" spans="1:27" ht="15.75" thickBot="1">
      <c r="A68" s="117"/>
      <c r="B68" s="117"/>
      <c r="C68" s="118"/>
      <c r="D68" s="119">
        <v>2014</v>
      </c>
      <c r="E68" s="120">
        <v>2015</v>
      </c>
      <c r="F68" s="120">
        <v>2016</v>
      </c>
      <c r="G68" s="120">
        <v>2017</v>
      </c>
      <c r="H68" s="121">
        <v>2018</v>
      </c>
      <c r="I68" s="121">
        <v>2019</v>
      </c>
      <c r="J68" s="121">
        <v>2020</v>
      </c>
      <c r="K68" s="121">
        <v>2021</v>
      </c>
      <c r="L68" s="121">
        <v>2022</v>
      </c>
      <c r="M68" s="121">
        <v>2023</v>
      </c>
      <c r="N68" s="121">
        <v>2024</v>
      </c>
      <c r="O68" s="121">
        <v>2025</v>
      </c>
      <c r="P68" s="121">
        <v>2026</v>
      </c>
      <c r="Q68" s="121">
        <v>2027</v>
      </c>
      <c r="R68" s="162">
        <v>2028</v>
      </c>
      <c r="S68" s="151"/>
      <c r="T68" s="151"/>
      <c r="U68" s="151"/>
      <c r="W68"/>
      <c r="X68"/>
      <c r="Y68"/>
      <c r="Z68"/>
      <c r="AA68"/>
    </row>
    <row r="69" spans="1:27" ht="15">
      <c r="A69" s="116" t="s">
        <v>71</v>
      </c>
      <c r="B69" s="128" t="s">
        <v>120</v>
      </c>
      <c r="C69" s="175">
        <v>10</v>
      </c>
      <c r="D69" s="125"/>
      <c r="E69" s="125"/>
      <c r="F69" s="48"/>
      <c r="G69" s="12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163"/>
      <c r="S69"/>
      <c r="T69" s="32"/>
      <c r="U69" s="32"/>
      <c r="V69" s="54"/>
      <c r="W69"/>
      <c r="X69"/>
      <c r="Y69" s="54"/>
      <c r="Z69"/>
      <c r="AA69"/>
    </row>
    <row r="70" spans="1:27" ht="15">
      <c r="A70" s="117"/>
      <c r="B70" s="122" t="s">
        <v>72</v>
      </c>
      <c r="C70" s="139">
        <v>15</v>
      </c>
      <c r="D70" s="103"/>
      <c r="E70" s="103"/>
      <c r="F70" s="48"/>
      <c r="G70" s="103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163"/>
      <c r="S70" s="32"/>
      <c r="T70" s="32"/>
      <c r="U70" s="32"/>
      <c r="V70" s="54"/>
      <c r="W70"/>
      <c r="X70"/>
      <c r="Y70" s="54"/>
      <c r="Z70"/>
      <c r="AA70"/>
    </row>
    <row r="71" spans="1:27" ht="15">
      <c r="A71" s="117" t="s">
        <v>73</v>
      </c>
      <c r="B71" s="117"/>
      <c r="C71" s="102"/>
      <c r="D71" s="104"/>
      <c r="E71" s="104">
        <f aca="true" t="shared" si="15" ref="E71:K71">D73</f>
        <v>0</v>
      </c>
      <c r="F71" s="104">
        <f t="shared" si="15"/>
        <v>0</v>
      </c>
      <c r="G71" s="104">
        <f t="shared" si="15"/>
        <v>429343.55999999994</v>
      </c>
      <c r="H71" s="104">
        <f t="shared" si="15"/>
        <v>429343.55999999994</v>
      </c>
      <c r="I71" s="104">
        <f t="shared" si="15"/>
        <v>429343.55999999994</v>
      </c>
      <c r="J71" s="104">
        <f t="shared" si="15"/>
        <v>429343.55999999994</v>
      </c>
      <c r="K71" s="104">
        <f t="shared" si="15"/>
        <v>429343.55999999994</v>
      </c>
      <c r="L71" s="104">
        <f aca="true" t="shared" si="16" ref="L71:R71">K73</f>
        <v>429343.55999999994</v>
      </c>
      <c r="M71" s="104">
        <f t="shared" si="16"/>
        <v>429343.55999999994</v>
      </c>
      <c r="N71" s="104">
        <f t="shared" si="16"/>
        <v>429343.55999999994</v>
      </c>
      <c r="O71" s="104">
        <f t="shared" si="16"/>
        <v>429343.55999999994</v>
      </c>
      <c r="P71" s="104">
        <f t="shared" si="16"/>
        <v>429343.55999999994</v>
      </c>
      <c r="Q71" s="104">
        <f t="shared" si="16"/>
        <v>429343.55999999994</v>
      </c>
      <c r="R71" s="164">
        <f t="shared" si="16"/>
        <v>429343.55999999994</v>
      </c>
      <c r="S71" s="102"/>
      <c r="T71" s="102"/>
      <c r="U71" s="102"/>
      <c r="V71" s="54"/>
      <c r="W71"/>
      <c r="X71"/>
      <c r="Y71" s="54"/>
      <c r="Z71"/>
      <c r="AA71"/>
    </row>
    <row r="72" spans="1:27" ht="15">
      <c r="A72" s="117" t="s">
        <v>74</v>
      </c>
      <c r="B72" s="117"/>
      <c r="C72" s="124"/>
      <c r="D72" s="125">
        <f>'Projects Listings'!C53</f>
        <v>0</v>
      </c>
      <c r="E72" s="125">
        <f>'Projects Listings'!D53</f>
        <v>0</v>
      </c>
      <c r="F72" s="125">
        <f>'Projects Listings'!E53</f>
        <v>429343.55999999994</v>
      </c>
      <c r="G72" s="125">
        <f>'Projects Listings'!F53</f>
        <v>0</v>
      </c>
      <c r="H72" s="125">
        <f>'Projects Listings'!G53</f>
        <v>0</v>
      </c>
      <c r="I72" s="125">
        <f>'Projects Listings'!H53</f>
        <v>0</v>
      </c>
      <c r="J72" s="125">
        <f>'Projects Listings'!I53</f>
        <v>0</v>
      </c>
      <c r="K72" s="125">
        <f>'Projects Listings'!J53</f>
        <v>0</v>
      </c>
      <c r="L72" s="125"/>
      <c r="M72" s="125"/>
      <c r="N72" s="125"/>
      <c r="O72" s="125"/>
      <c r="P72" s="125">
        <f>'Projects Listings'!O53</f>
        <v>0</v>
      </c>
      <c r="Q72" s="125">
        <f>'Projects Listings'!P53</f>
        <v>0</v>
      </c>
      <c r="R72" s="165">
        <f>'Projects Listings'!Q53</f>
        <v>0</v>
      </c>
      <c r="S72" s="100"/>
      <c r="T72" s="100"/>
      <c r="U72" s="100"/>
      <c r="V72" s="54"/>
      <c r="W72"/>
      <c r="X72"/>
      <c r="Y72" s="54"/>
      <c r="Z72"/>
      <c r="AA72"/>
    </row>
    <row r="73" spans="1:27" ht="15">
      <c r="A73" s="117" t="s">
        <v>75</v>
      </c>
      <c r="B73" s="117"/>
      <c r="C73" s="102"/>
      <c r="D73" s="104">
        <f aca="true" t="shared" si="17" ref="D73:I73">SUM(D71:D72)</f>
        <v>0</v>
      </c>
      <c r="E73" s="104">
        <f t="shared" si="17"/>
        <v>0</v>
      </c>
      <c r="F73" s="104">
        <f t="shared" si="17"/>
        <v>429343.55999999994</v>
      </c>
      <c r="G73" s="104">
        <f t="shared" si="17"/>
        <v>429343.55999999994</v>
      </c>
      <c r="H73" s="104">
        <f t="shared" si="17"/>
        <v>429343.55999999994</v>
      </c>
      <c r="I73" s="104">
        <f t="shared" si="17"/>
        <v>429343.55999999994</v>
      </c>
      <c r="J73" s="104">
        <f>SUM(J71:J72)</f>
        <v>429343.55999999994</v>
      </c>
      <c r="K73" s="104">
        <f>SUM(K71:K72)</f>
        <v>429343.55999999994</v>
      </c>
      <c r="L73" s="104">
        <f aca="true" t="shared" si="18" ref="L73:R73">SUM(L71:L72)</f>
        <v>429343.55999999994</v>
      </c>
      <c r="M73" s="104">
        <f t="shared" si="18"/>
        <v>429343.55999999994</v>
      </c>
      <c r="N73" s="104">
        <f t="shared" si="18"/>
        <v>429343.55999999994</v>
      </c>
      <c r="O73" s="104">
        <f t="shared" si="18"/>
        <v>429343.55999999994</v>
      </c>
      <c r="P73" s="104">
        <f t="shared" si="18"/>
        <v>429343.55999999994</v>
      </c>
      <c r="Q73" s="104">
        <f t="shared" si="18"/>
        <v>429343.55999999994</v>
      </c>
      <c r="R73" s="164">
        <f t="shared" si="18"/>
        <v>429343.55999999994</v>
      </c>
      <c r="S73" s="102"/>
      <c r="T73" s="102"/>
      <c r="U73" s="102"/>
      <c r="V73" s="54"/>
      <c r="W73"/>
      <c r="X73"/>
      <c r="Y73" s="54"/>
      <c r="Z73"/>
      <c r="AA73"/>
    </row>
    <row r="74" spans="1:27" ht="15">
      <c r="A74" s="117"/>
      <c r="B74" s="117"/>
      <c r="C74" s="102"/>
      <c r="D74" s="102"/>
      <c r="E74" s="103"/>
      <c r="F74" s="48"/>
      <c r="G74" s="103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163"/>
      <c r="S74" s="32"/>
      <c r="T74" s="32"/>
      <c r="U74" s="32"/>
      <c r="V74" s="54"/>
      <c r="W74"/>
      <c r="X74"/>
      <c r="Y74" s="54"/>
      <c r="Z74"/>
      <c r="AA74"/>
    </row>
    <row r="75" spans="1:27" ht="15">
      <c r="A75" s="117" t="s">
        <v>76</v>
      </c>
      <c r="B75" s="117"/>
      <c r="C75" s="102"/>
      <c r="D75" s="104"/>
      <c r="E75" s="104">
        <f aca="true" t="shared" si="19" ref="E75:K75">D79</f>
        <v>0</v>
      </c>
      <c r="F75" s="104">
        <f t="shared" si="19"/>
        <v>0</v>
      </c>
      <c r="G75" s="104">
        <f t="shared" si="19"/>
        <v>14433.932333333334</v>
      </c>
      <c r="H75" s="104">
        <f t="shared" si="19"/>
        <v>43056.836333333325</v>
      </c>
      <c r="I75" s="104">
        <f t="shared" si="19"/>
        <v>71679.74033333332</v>
      </c>
      <c r="J75" s="104">
        <f t="shared" si="19"/>
        <v>100302.64433333332</v>
      </c>
      <c r="K75" s="104">
        <f t="shared" si="19"/>
        <v>128925.54833333331</v>
      </c>
      <c r="L75" s="104">
        <f aca="true" t="shared" si="20" ref="L75:R75">K79</f>
        <v>157548.45233333332</v>
      </c>
      <c r="M75" s="104">
        <f t="shared" si="20"/>
        <v>186171.3563333333</v>
      </c>
      <c r="N75" s="104">
        <f t="shared" si="20"/>
        <v>214794.26033333328</v>
      </c>
      <c r="O75" s="104">
        <f t="shared" si="20"/>
        <v>243417.16433333326</v>
      </c>
      <c r="P75" s="104">
        <f t="shared" si="20"/>
        <v>272040.06833333324</v>
      </c>
      <c r="Q75" s="104">
        <f t="shared" si="20"/>
        <v>300662.9723333332</v>
      </c>
      <c r="R75" s="164">
        <f t="shared" si="20"/>
        <v>329285.8763333332</v>
      </c>
      <c r="S75" s="102"/>
      <c r="T75" s="102"/>
      <c r="U75" s="102"/>
      <c r="V75" s="54"/>
      <c r="W75"/>
      <c r="X75"/>
      <c r="Y75" s="54"/>
      <c r="Z75"/>
      <c r="AA75"/>
    </row>
    <row r="76" spans="1:27" ht="15">
      <c r="A76" s="117" t="s">
        <v>77</v>
      </c>
      <c r="B76" s="117"/>
      <c r="C76" s="102"/>
      <c r="D76" s="127"/>
      <c r="E76" s="102">
        <f aca="true" t="shared" si="21" ref="E76:J76">IF(ISERROR(E71/$C$70),0,E71/$C$70)</f>
        <v>0</v>
      </c>
      <c r="F76" s="102">
        <f t="shared" si="21"/>
        <v>0</v>
      </c>
      <c r="G76" s="102">
        <f t="shared" si="21"/>
        <v>28622.903999999995</v>
      </c>
      <c r="H76" s="102">
        <f t="shared" si="21"/>
        <v>28622.903999999995</v>
      </c>
      <c r="I76" s="102">
        <f t="shared" si="21"/>
        <v>28622.903999999995</v>
      </c>
      <c r="J76" s="102">
        <f t="shared" si="21"/>
        <v>28622.903999999995</v>
      </c>
      <c r="K76" s="102">
        <f>IF(ISERROR(K71/$C$70),0,K71/$C$70)</f>
        <v>28622.903999999995</v>
      </c>
      <c r="L76" s="102">
        <f>IF(ISERROR(L71/$C$70),0,L71/$C$70)</f>
        <v>28622.903999999995</v>
      </c>
      <c r="M76" s="102">
        <f>IF(ISERROR(M71/$C$70),0,(M71-L72)/$C$70)</f>
        <v>28622.903999999995</v>
      </c>
      <c r="N76" s="102">
        <f>IF(ISERROR(N71/$C$70),0,(N71-M72-N72)/$C$70)</f>
        <v>28622.903999999995</v>
      </c>
      <c r="O76" s="102">
        <f>IF(ISERROR(O71/$C$70),0,(O71-L72-M72-N72)/$C$70)</f>
        <v>28622.903999999995</v>
      </c>
      <c r="P76" s="102">
        <f>IF(ISERROR(P71/$C$70),0,(P71-L72-M72-N72-O72)/$C$70)</f>
        <v>28622.903999999995</v>
      </c>
      <c r="Q76" s="102">
        <f>IF(ISERROR(Q71/$C$70),0,(Q71-L72-M72-N72-O72)/$C$70)</f>
        <v>28622.903999999995</v>
      </c>
      <c r="R76" s="166">
        <f>IF(ISERROR(R71/$C$70),0,(R71-L72-M72-N72-O72)/$C$70)</f>
        <v>28622.903999999995</v>
      </c>
      <c r="S76" s="102"/>
      <c r="T76" s="102"/>
      <c r="U76" s="102"/>
      <c r="V76" s="54"/>
      <c r="W76"/>
      <c r="X76"/>
      <c r="Y76" s="54"/>
      <c r="Z76"/>
      <c r="AA76"/>
    </row>
    <row r="77" spans="1:27" ht="15">
      <c r="A77" s="117" t="s">
        <v>121</v>
      </c>
      <c r="B77" s="117"/>
      <c r="C77" s="102"/>
      <c r="D77" s="127"/>
      <c r="E77" s="102"/>
      <c r="F77" s="102"/>
      <c r="G77" s="102"/>
      <c r="H77" s="102"/>
      <c r="I77" s="102"/>
      <c r="J77" s="102"/>
      <c r="K77" s="102"/>
      <c r="L77" s="102"/>
      <c r="M77" s="102">
        <f>IF(ISERROR(M72/$C$69),0,(L72)/$C$69)</f>
        <v>0</v>
      </c>
      <c r="N77" s="102">
        <f>(+L72+M72)/$C$69</f>
        <v>0</v>
      </c>
      <c r="O77" s="102">
        <f>(+L72+M72+N72)/$C$69</f>
        <v>0</v>
      </c>
      <c r="P77" s="102">
        <f>(+L72+M72+N72+O72)/$C$69</f>
        <v>0</v>
      </c>
      <c r="Q77" s="102">
        <f>(+L72+M72+N72+O72)/$C$69</f>
        <v>0</v>
      </c>
      <c r="R77" s="166">
        <f>(+L72+M72+N72+O72)/$C$69</f>
        <v>0</v>
      </c>
      <c r="S77" s="102"/>
      <c r="T77" s="102"/>
      <c r="U77" s="102"/>
      <c r="V77" s="54"/>
      <c r="W77"/>
      <c r="X77"/>
      <c r="Y77" s="54"/>
      <c r="Z77"/>
      <c r="AA77"/>
    </row>
    <row r="78" spans="1:27" ht="15">
      <c r="A78" s="117" t="s">
        <v>78</v>
      </c>
      <c r="B78" s="16"/>
      <c r="C78" s="16"/>
      <c r="D78" s="103">
        <f>D72/C70/2</f>
        <v>0</v>
      </c>
      <c r="E78" s="103">
        <f>E72/C70/2</f>
        <v>0</v>
      </c>
      <c r="F78" s="140">
        <f>'[6]Micro Grid - depr adj 2016'!$I$10</f>
        <v>14433.932333333334</v>
      </c>
      <c r="G78" s="103">
        <f>G72/C70/2</f>
        <v>0</v>
      </c>
      <c r="H78" s="103">
        <f>H72/C70/2</f>
        <v>0</v>
      </c>
      <c r="I78" s="103">
        <f>I72/C70/2</f>
        <v>0</v>
      </c>
      <c r="J78" s="103">
        <f>J72/C70/2</f>
        <v>0</v>
      </c>
      <c r="K78" s="103">
        <f>K72/C70/2</f>
        <v>0</v>
      </c>
      <c r="L78" s="103">
        <f>L72/$C69/2</f>
        <v>0</v>
      </c>
      <c r="M78" s="103">
        <f>M72/$C69/2</f>
        <v>0</v>
      </c>
      <c r="N78" s="103">
        <f>N72/$C69/2</f>
        <v>0</v>
      </c>
      <c r="O78" s="103">
        <f>O72/$C69/2</f>
        <v>0</v>
      </c>
      <c r="P78" s="103">
        <f>P72/$C69</f>
        <v>0</v>
      </c>
      <c r="Q78" s="103">
        <f>Q72/$C70/2</f>
        <v>0</v>
      </c>
      <c r="R78" s="166">
        <f>R72/$C70/2</f>
        <v>0</v>
      </c>
      <c r="S78" s="102"/>
      <c r="T78" s="102"/>
      <c r="U78" s="102"/>
      <c r="V78" s="54"/>
      <c r="W78"/>
      <c r="X78"/>
      <c r="Y78" s="54"/>
      <c r="Z78"/>
      <c r="AA78"/>
    </row>
    <row r="79" spans="1:27" ht="15">
      <c r="A79" s="117" t="s">
        <v>79</v>
      </c>
      <c r="B79" s="117"/>
      <c r="C79" s="102"/>
      <c r="D79" s="104">
        <f>SUM(D75+D78)</f>
        <v>0</v>
      </c>
      <c r="E79" s="104">
        <f aca="true" t="shared" si="22" ref="E79:J79">SUM(E75:E78)</f>
        <v>0</v>
      </c>
      <c r="F79" s="104">
        <f t="shared" si="22"/>
        <v>14433.932333333334</v>
      </c>
      <c r="G79" s="104">
        <f t="shared" si="22"/>
        <v>43056.836333333325</v>
      </c>
      <c r="H79" s="104">
        <f t="shared" si="22"/>
        <v>71679.74033333332</v>
      </c>
      <c r="I79" s="104">
        <f t="shared" si="22"/>
        <v>100302.64433333332</v>
      </c>
      <c r="J79" s="104">
        <f t="shared" si="22"/>
        <v>128925.54833333331</v>
      </c>
      <c r="K79" s="104">
        <f>SUM(K75:K78)</f>
        <v>157548.45233333332</v>
      </c>
      <c r="L79" s="104">
        <f aca="true" t="shared" si="23" ref="L79:R79">SUM(L75:L78)</f>
        <v>186171.3563333333</v>
      </c>
      <c r="M79" s="104">
        <f t="shared" si="23"/>
        <v>214794.26033333328</v>
      </c>
      <c r="N79" s="104">
        <f t="shared" si="23"/>
        <v>243417.16433333326</v>
      </c>
      <c r="O79" s="104">
        <f t="shared" si="23"/>
        <v>272040.06833333324</v>
      </c>
      <c r="P79" s="104">
        <f t="shared" si="23"/>
        <v>300662.9723333332</v>
      </c>
      <c r="Q79" s="104">
        <f t="shared" si="23"/>
        <v>329285.8763333332</v>
      </c>
      <c r="R79" s="164">
        <f t="shared" si="23"/>
        <v>357908.7803333332</v>
      </c>
      <c r="S79" s="102"/>
      <c r="T79" s="102"/>
      <c r="U79" s="102"/>
      <c r="V79" s="54"/>
      <c r="W79"/>
      <c r="X79"/>
      <c r="Y79" s="54"/>
      <c r="Z79"/>
      <c r="AA79"/>
    </row>
    <row r="80" spans="1:27" ht="15">
      <c r="A80" s="117"/>
      <c r="B80" s="117"/>
      <c r="C80" s="34"/>
      <c r="D80" s="58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66"/>
      <c r="S80" s="102"/>
      <c r="T80" s="102"/>
      <c r="U80" s="102"/>
      <c r="V80" s="54"/>
      <c r="W80"/>
      <c r="X80"/>
      <c r="Y80" s="54"/>
      <c r="Z80"/>
      <c r="AA80"/>
    </row>
    <row r="81" spans="1:27" ht="15">
      <c r="A81" s="117" t="s">
        <v>80</v>
      </c>
      <c r="B81" s="117"/>
      <c r="C81" s="102"/>
      <c r="D81" s="103">
        <f>D71-D75</f>
        <v>0</v>
      </c>
      <c r="E81" s="103">
        <f aca="true" t="shared" si="24" ref="E81:K81">D82</f>
        <v>0</v>
      </c>
      <c r="F81" s="103">
        <f t="shared" si="24"/>
        <v>0</v>
      </c>
      <c r="G81" s="103">
        <f t="shared" si="24"/>
        <v>414909.6276666666</v>
      </c>
      <c r="H81" s="103">
        <f t="shared" si="24"/>
        <v>386286.7236666666</v>
      </c>
      <c r="I81" s="103">
        <f t="shared" si="24"/>
        <v>357663.8196666666</v>
      </c>
      <c r="J81" s="103">
        <f t="shared" si="24"/>
        <v>329040.91566666664</v>
      </c>
      <c r="K81" s="103">
        <f t="shared" si="24"/>
        <v>300418.0116666666</v>
      </c>
      <c r="L81" s="103">
        <f aca="true" t="shared" si="25" ref="L81:R81">K82</f>
        <v>271795.1076666666</v>
      </c>
      <c r="M81" s="103">
        <f t="shared" si="25"/>
        <v>243172.20366666664</v>
      </c>
      <c r="N81" s="103">
        <f t="shared" si="25"/>
        <v>214549.29966666666</v>
      </c>
      <c r="O81" s="103">
        <f t="shared" si="25"/>
        <v>185926.39566666668</v>
      </c>
      <c r="P81" s="103">
        <f t="shared" si="25"/>
        <v>157303.4916666667</v>
      </c>
      <c r="Q81" s="103">
        <f t="shared" si="25"/>
        <v>128680.58766666672</v>
      </c>
      <c r="R81" s="166">
        <f t="shared" si="25"/>
        <v>100057.68366666674</v>
      </c>
      <c r="S81" s="102"/>
      <c r="T81" s="102"/>
      <c r="U81" s="102"/>
      <c r="V81" s="54"/>
      <c r="W81"/>
      <c r="X81"/>
      <c r="Y81" s="54"/>
      <c r="Z81"/>
      <c r="AA81"/>
    </row>
    <row r="82" spans="1:27" ht="14.25">
      <c r="A82" s="117" t="s">
        <v>81</v>
      </c>
      <c r="B82" s="117"/>
      <c r="C82" s="102"/>
      <c r="D82" s="104">
        <f aca="true" t="shared" si="26" ref="D82:I82">D73-D79</f>
        <v>0</v>
      </c>
      <c r="E82" s="104">
        <f t="shared" si="26"/>
        <v>0</v>
      </c>
      <c r="F82" s="104">
        <f t="shared" si="26"/>
        <v>414909.6276666666</v>
      </c>
      <c r="G82" s="104">
        <f t="shared" si="26"/>
        <v>386286.7236666666</v>
      </c>
      <c r="H82" s="104">
        <f t="shared" si="26"/>
        <v>357663.8196666666</v>
      </c>
      <c r="I82" s="104">
        <f t="shared" si="26"/>
        <v>329040.91566666664</v>
      </c>
      <c r="J82" s="104">
        <f>J73-J79</f>
        <v>300418.0116666666</v>
      </c>
      <c r="K82" s="104">
        <f>K73-K79</f>
        <v>271795.1076666666</v>
      </c>
      <c r="L82" s="104">
        <f aca="true" t="shared" si="27" ref="L82:R82">L73-L79</f>
        <v>243172.20366666664</v>
      </c>
      <c r="M82" s="104">
        <f t="shared" si="27"/>
        <v>214549.29966666666</v>
      </c>
      <c r="N82" s="104">
        <f t="shared" si="27"/>
        <v>185926.39566666668</v>
      </c>
      <c r="O82" s="104">
        <f t="shared" si="27"/>
        <v>157303.4916666667</v>
      </c>
      <c r="P82" s="104">
        <f t="shared" si="27"/>
        <v>128680.58766666672</v>
      </c>
      <c r="Q82" s="104">
        <f t="shared" si="27"/>
        <v>100057.68366666674</v>
      </c>
      <c r="R82" s="164">
        <f t="shared" si="27"/>
        <v>71434.77966666676</v>
      </c>
      <c r="S82" s="102"/>
      <c r="T82" s="102"/>
      <c r="U82" s="102"/>
      <c r="V82" s="54"/>
      <c r="W82"/>
      <c r="X82"/>
      <c r="Y82" s="54"/>
      <c r="Z82"/>
      <c r="AA82"/>
    </row>
    <row r="83" spans="1:27" ht="14.25" thickBot="1">
      <c r="A83" s="128" t="s">
        <v>82</v>
      </c>
      <c r="B83" s="117"/>
      <c r="C83" s="102"/>
      <c r="D83" s="129">
        <f aca="true" t="shared" si="28" ref="D83:I83">SUM(D81:D82)/2</f>
        <v>0</v>
      </c>
      <c r="E83" s="129">
        <f t="shared" si="28"/>
        <v>0</v>
      </c>
      <c r="F83" s="129">
        <f t="shared" si="28"/>
        <v>207454.8138333333</v>
      </c>
      <c r="G83" s="129">
        <f t="shared" si="28"/>
        <v>400598.1756666666</v>
      </c>
      <c r="H83" s="129">
        <f t="shared" si="28"/>
        <v>371975.2716666666</v>
      </c>
      <c r="I83" s="129">
        <f t="shared" si="28"/>
        <v>343352.3676666666</v>
      </c>
      <c r="J83" s="129">
        <f>SUM(J81:J82)/2</f>
        <v>314729.46366666665</v>
      </c>
      <c r="K83" s="129">
        <f>SUM(K81:K82)/2</f>
        <v>286106.5596666666</v>
      </c>
      <c r="L83" s="129">
        <f aca="true" t="shared" si="29" ref="L83:R83">SUM(L81:L82)/2</f>
        <v>257483.65566666663</v>
      </c>
      <c r="M83" s="129">
        <f t="shared" si="29"/>
        <v>228860.75166666665</v>
      </c>
      <c r="N83" s="129">
        <f t="shared" si="29"/>
        <v>200237.84766666667</v>
      </c>
      <c r="O83" s="129">
        <f t="shared" si="29"/>
        <v>171614.9436666667</v>
      </c>
      <c r="P83" s="129">
        <f t="shared" si="29"/>
        <v>142992.0396666667</v>
      </c>
      <c r="Q83" s="129">
        <f t="shared" si="29"/>
        <v>114369.13566666673</v>
      </c>
      <c r="R83" s="167">
        <f t="shared" si="29"/>
        <v>85746.23166666675</v>
      </c>
      <c r="S83" s="102"/>
      <c r="T83" s="102"/>
      <c r="U83" s="102"/>
      <c r="V83" s="54"/>
      <c r="W83"/>
      <c r="X83"/>
      <c r="Y83" s="54"/>
      <c r="Z83"/>
      <c r="AA83"/>
    </row>
    <row r="84" spans="1:27" ht="14.25">
      <c r="A84" s="117"/>
      <c r="B84" s="117"/>
      <c r="C84" s="103"/>
      <c r="D84" s="103"/>
      <c r="E84" s="103"/>
      <c r="F84" s="48"/>
      <c r="G84" s="103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163"/>
      <c r="S84" s="32"/>
      <c r="T84" s="32"/>
      <c r="U84" s="32"/>
      <c r="V84" s="54"/>
      <c r="W84"/>
      <c r="X84"/>
      <c r="Y84" s="54"/>
      <c r="Z84"/>
      <c r="AA84"/>
    </row>
    <row r="85" spans="1:27" ht="14.25" thickBot="1">
      <c r="A85" s="116" t="s">
        <v>83</v>
      </c>
      <c r="B85" s="128"/>
      <c r="C85" s="103"/>
      <c r="D85" s="103"/>
      <c r="E85" s="103"/>
      <c r="F85" s="48"/>
      <c r="G85" s="103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163"/>
      <c r="S85" s="32"/>
      <c r="T85" s="32"/>
      <c r="U85" s="32"/>
      <c r="V85" s="54"/>
      <c r="W85"/>
      <c r="X85"/>
      <c r="Y85" s="54"/>
      <c r="Z85"/>
      <c r="AA85"/>
    </row>
    <row r="86" spans="1:27" ht="14.25" thickBot="1">
      <c r="A86" s="128"/>
      <c r="B86" s="48"/>
      <c r="C86" s="128"/>
      <c r="D86" s="119">
        <v>2014</v>
      </c>
      <c r="E86" s="120">
        <v>2015</v>
      </c>
      <c r="F86" s="120">
        <v>2016</v>
      </c>
      <c r="G86" s="120">
        <v>2017</v>
      </c>
      <c r="H86" s="121">
        <v>2018</v>
      </c>
      <c r="I86" s="121">
        <v>2019</v>
      </c>
      <c r="J86" s="121">
        <v>2020</v>
      </c>
      <c r="K86" s="121">
        <v>2021</v>
      </c>
      <c r="L86" s="121">
        <v>2022</v>
      </c>
      <c r="M86" s="121">
        <v>2023</v>
      </c>
      <c r="N86" s="121">
        <v>2024</v>
      </c>
      <c r="O86" s="121">
        <v>2025</v>
      </c>
      <c r="P86" s="121">
        <v>2026</v>
      </c>
      <c r="Q86" s="121">
        <v>2027</v>
      </c>
      <c r="R86" s="162">
        <v>2028</v>
      </c>
      <c r="S86" s="151"/>
      <c r="T86" s="151"/>
      <c r="U86" s="151"/>
      <c r="V86" s="54"/>
      <c r="W86"/>
      <c r="X86"/>
      <c r="Y86" s="54"/>
      <c r="Z86"/>
      <c r="AA86"/>
    </row>
    <row r="87" spans="1:27" ht="14.25">
      <c r="A87" s="117"/>
      <c r="B87" s="48"/>
      <c r="C87" s="117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66"/>
      <c r="S87" s="102"/>
      <c r="T87" s="102"/>
      <c r="U87" s="102"/>
      <c r="V87" s="54"/>
      <c r="W87"/>
      <c r="X87"/>
      <c r="Y87" s="54"/>
      <c r="Z87"/>
      <c r="AA87"/>
    </row>
    <row r="88" spans="1:27" ht="14.25">
      <c r="A88" s="117" t="s">
        <v>84</v>
      </c>
      <c r="B88" s="48"/>
      <c r="C88" s="117"/>
      <c r="D88" s="104"/>
      <c r="E88" s="104">
        <f aca="true" t="shared" si="30" ref="E88:J88">D96</f>
        <v>0</v>
      </c>
      <c r="F88" s="104">
        <f t="shared" si="30"/>
        <v>0</v>
      </c>
      <c r="G88" s="104">
        <f t="shared" si="30"/>
        <v>412169.81759999995</v>
      </c>
      <c r="H88" s="104">
        <f t="shared" si="30"/>
        <v>379196.23219199997</v>
      </c>
      <c r="I88" s="104">
        <f t="shared" si="30"/>
        <v>348860.53361663996</v>
      </c>
      <c r="J88" s="104">
        <f t="shared" si="30"/>
        <v>320951.69092730875</v>
      </c>
      <c r="K88" s="104">
        <f>J96</f>
        <v>295275.55565312406</v>
      </c>
      <c r="L88" s="104">
        <f aca="true" t="shared" si="31" ref="L88:R88">K96</f>
        <v>271653.5112008741</v>
      </c>
      <c r="M88" s="104">
        <f t="shared" si="31"/>
        <v>249921.2303048042</v>
      </c>
      <c r="N88" s="104">
        <f t="shared" si="31"/>
        <v>229927.53188041985</v>
      </c>
      <c r="O88" s="104">
        <f t="shared" si="31"/>
        <v>211533.32932998627</v>
      </c>
      <c r="P88" s="104">
        <f t="shared" si="31"/>
        <v>194610.66298358736</v>
      </c>
      <c r="Q88" s="104">
        <f t="shared" si="31"/>
        <v>179041.80994490036</v>
      </c>
      <c r="R88" s="164">
        <f t="shared" si="31"/>
        <v>164718.46514930832</v>
      </c>
      <c r="S88" s="102"/>
      <c r="T88" s="102"/>
      <c r="U88" s="102"/>
      <c r="V88" s="54"/>
      <c r="W88"/>
      <c r="X88"/>
      <c r="Y88" s="54"/>
      <c r="Z88"/>
      <c r="AA88"/>
    </row>
    <row r="89" spans="1:27" ht="14.25">
      <c r="A89" s="117" t="s">
        <v>85</v>
      </c>
      <c r="B89" s="48"/>
      <c r="C89" s="117"/>
      <c r="D89" s="103">
        <f>D72</f>
        <v>0</v>
      </c>
      <c r="E89" s="103">
        <f>'[1]App.2-FA Proposed REG Invest.'!D31</f>
        <v>0</v>
      </c>
      <c r="F89" s="103">
        <f>'Projects Listings'!E31</f>
        <v>429343.55999999994</v>
      </c>
      <c r="G89" s="103">
        <f>'[1]App.2-FA Proposed REG Invest.'!F31</f>
        <v>0</v>
      </c>
      <c r="H89" s="103">
        <f>'[1]App.2-FA Proposed REG Invest.'!G31</f>
        <v>0</v>
      </c>
      <c r="I89" s="103">
        <v>0</v>
      </c>
      <c r="J89" s="103">
        <v>0</v>
      </c>
      <c r="K89" s="103">
        <v>0</v>
      </c>
      <c r="L89" s="103">
        <f>'Projects Listings'!K25</f>
        <v>0</v>
      </c>
      <c r="M89" s="103">
        <f>'Projects Listings'!L25</f>
        <v>0</v>
      </c>
      <c r="N89" s="103">
        <f>'Projects Listings'!M25</f>
        <v>0</v>
      </c>
      <c r="O89" s="103">
        <f>'Projects Listings'!N25</f>
        <v>0</v>
      </c>
      <c r="P89" s="103">
        <v>0</v>
      </c>
      <c r="Q89" s="103">
        <v>0</v>
      </c>
      <c r="R89" s="166">
        <v>0</v>
      </c>
      <c r="S89" s="102"/>
      <c r="T89" s="102"/>
      <c r="U89" s="102"/>
      <c r="V89" s="54"/>
      <c r="W89"/>
      <c r="X89"/>
      <c r="Y89" s="54"/>
      <c r="Z89"/>
      <c r="AA89"/>
    </row>
    <row r="90" spans="1:27" ht="14.25">
      <c r="A90" s="117" t="s">
        <v>86</v>
      </c>
      <c r="B90" s="48"/>
      <c r="C90" s="117"/>
      <c r="D90" s="104">
        <f aca="true" t="shared" si="32" ref="D90:I90">SUM(D88:D89)</f>
        <v>0</v>
      </c>
      <c r="E90" s="104">
        <f t="shared" si="32"/>
        <v>0</v>
      </c>
      <c r="F90" s="104">
        <f t="shared" si="32"/>
        <v>429343.55999999994</v>
      </c>
      <c r="G90" s="104">
        <f t="shared" si="32"/>
        <v>412169.81759999995</v>
      </c>
      <c r="H90" s="104">
        <f t="shared" si="32"/>
        <v>379196.23219199997</v>
      </c>
      <c r="I90" s="104">
        <f t="shared" si="32"/>
        <v>348860.53361663996</v>
      </c>
      <c r="J90" s="104">
        <f>SUM(J88:J89)</f>
        <v>320951.69092730875</v>
      </c>
      <c r="K90" s="104">
        <f>SUM(K88:K89)</f>
        <v>295275.55565312406</v>
      </c>
      <c r="L90" s="104">
        <f aca="true" t="shared" si="33" ref="L90:R90">SUM(L88:L89)</f>
        <v>271653.5112008741</v>
      </c>
      <c r="M90" s="104">
        <f t="shared" si="33"/>
        <v>249921.2303048042</v>
      </c>
      <c r="N90" s="104">
        <f t="shared" si="33"/>
        <v>229927.53188041985</v>
      </c>
      <c r="O90" s="104">
        <f t="shared" si="33"/>
        <v>211533.32932998627</v>
      </c>
      <c r="P90" s="104">
        <f t="shared" si="33"/>
        <v>194610.66298358736</v>
      </c>
      <c r="Q90" s="104">
        <f t="shared" si="33"/>
        <v>179041.80994490036</v>
      </c>
      <c r="R90" s="164">
        <f t="shared" si="33"/>
        <v>164718.46514930832</v>
      </c>
      <c r="S90" s="102"/>
      <c r="T90" s="102"/>
      <c r="U90" s="102"/>
      <c r="V90" s="54"/>
      <c r="W90"/>
      <c r="X90"/>
      <c r="Y90" s="54"/>
      <c r="Z90"/>
      <c r="AA90"/>
    </row>
    <row r="91" spans="1:27" ht="14.25">
      <c r="A91" s="117" t="s">
        <v>87</v>
      </c>
      <c r="B91" s="48"/>
      <c r="C91" s="117"/>
      <c r="D91" s="103">
        <f aca="true" t="shared" si="34" ref="D91:I91">D89/2</f>
        <v>0</v>
      </c>
      <c r="E91" s="103">
        <f t="shared" si="34"/>
        <v>0</v>
      </c>
      <c r="F91" s="103">
        <f t="shared" si="34"/>
        <v>214671.77999999997</v>
      </c>
      <c r="G91" s="103">
        <f t="shared" si="34"/>
        <v>0</v>
      </c>
      <c r="H91" s="103">
        <f t="shared" si="34"/>
        <v>0</v>
      </c>
      <c r="I91" s="103">
        <f t="shared" si="34"/>
        <v>0</v>
      </c>
      <c r="J91" s="103">
        <f>J89/2</f>
        <v>0</v>
      </c>
      <c r="K91" s="103">
        <f>K89/2</f>
        <v>0</v>
      </c>
      <c r="L91" s="103">
        <f aca="true" t="shared" si="35" ref="L91:R91">L89/2</f>
        <v>0</v>
      </c>
      <c r="M91" s="103">
        <f t="shared" si="35"/>
        <v>0</v>
      </c>
      <c r="N91" s="103">
        <f t="shared" si="35"/>
        <v>0</v>
      </c>
      <c r="O91" s="103">
        <f t="shared" si="35"/>
        <v>0</v>
      </c>
      <c r="P91" s="103">
        <f t="shared" si="35"/>
        <v>0</v>
      </c>
      <c r="Q91" s="103">
        <f t="shared" si="35"/>
        <v>0</v>
      </c>
      <c r="R91" s="166">
        <f t="shared" si="35"/>
        <v>0</v>
      </c>
      <c r="S91" s="102"/>
      <c r="T91" s="102"/>
      <c r="U91" s="102"/>
      <c r="V91" s="54"/>
      <c r="W91"/>
      <c r="X91"/>
      <c r="Y91" s="54"/>
      <c r="Z91"/>
      <c r="AA91"/>
    </row>
    <row r="92" spans="1:27" ht="14.25">
      <c r="A92" s="117" t="s">
        <v>88</v>
      </c>
      <c r="B92" s="48"/>
      <c r="C92" s="117"/>
      <c r="D92" s="104">
        <f aca="true" t="shared" si="36" ref="D92:I92">D90-D91</f>
        <v>0</v>
      </c>
      <c r="E92" s="104">
        <f t="shared" si="36"/>
        <v>0</v>
      </c>
      <c r="F92" s="104">
        <f t="shared" si="36"/>
        <v>214671.77999999997</v>
      </c>
      <c r="G92" s="104">
        <f t="shared" si="36"/>
        <v>412169.81759999995</v>
      </c>
      <c r="H92" s="104">
        <f t="shared" si="36"/>
        <v>379196.23219199997</v>
      </c>
      <c r="I92" s="104">
        <f t="shared" si="36"/>
        <v>348860.53361663996</v>
      </c>
      <c r="J92" s="104">
        <f>J90-J91</f>
        <v>320951.69092730875</v>
      </c>
      <c r="K92" s="104">
        <f>K90-K91</f>
        <v>295275.55565312406</v>
      </c>
      <c r="L92" s="104">
        <f aca="true" t="shared" si="37" ref="L92:R92">L90-L91</f>
        <v>271653.5112008741</v>
      </c>
      <c r="M92" s="104">
        <f t="shared" si="37"/>
        <v>249921.2303048042</v>
      </c>
      <c r="N92" s="104">
        <f t="shared" si="37"/>
        <v>229927.53188041985</v>
      </c>
      <c r="O92" s="104">
        <f t="shared" si="37"/>
        <v>211533.32932998627</v>
      </c>
      <c r="P92" s="104">
        <f t="shared" si="37"/>
        <v>194610.66298358736</v>
      </c>
      <c r="Q92" s="104">
        <f t="shared" si="37"/>
        <v>179041.80994490036</v>
      </c>
      <c r="R92" s="164">
        <f t="shared" si="37"/>
        <v>164718.46514930832</v>
      </c>
      <c r="S92" s="102"/>
      <c r="T92" s="102"/>
      <c r="U92" s="102"/>
      <c r="V92" s="54"/>
      <c r="W92"/>
      <c r="X92"/>
      <c r="Y92" s="54"/>
      <c r="Z92"/>
      <c r="AA92"/>
    </row>
    <row r="93" spans="1:27" ht="14.25">
      <c r="A93" s="117" t="s">
        <v>89</v>
      </c>
      <c r="B93" s="48"/>
      <c r="C93" s="130">
        <v>47</v>
      </c>
      <c r="D93" s="130">
        <f>C93</f>
        <v>47</v>
      </c>
      <c r="E93" s="130">
        <f>C93</f>
        <v>47</v>
      </c>
      <c r="F93" s="130">
        <f>C93</f>
        <v>47</v>
      </c>
      <c r="G93" s="130">
        <f>C93</f>
        <v>47</v>
      </c>
      <c r="H93" s="130">
        <f aca="true" t="shared" si="38" ref="H93:K94">C93</f>
        <v>47</v>
      </c>
      <c r="I93" s="130">
        <f t="shared" si="38"/>
        <v>47</v>
      </c>
      <c r="J93" s="130">
        <f t="shared" si="38"/>
        <v>47</v>
      </c>
      <c r="K93" s="130">
        <f t="shared" si="38"/>
        <v>47</v>
      </c>
      <c r="L93" s="130">
        <f aca="true" t="shared" si="39" ref="L93:R94">G93</f>
        <v>47</v>
      </c>
      <c r="M93" s="130">
        <f t="shared" si="39"/>
        <v>47</v>
      </c>
      <c r="N93" s="130">
        <f t="shared" si="39"/>
        <v>47</v>
      </c>
      <c r="O93" s="130">
        <f t="shared" si="39"/>
        <v>47</v>
      </c>
      <c r="P93" s="130">
        <f t="shared" si="39"/>
        <v>47</v>
      </c>
      <c r="Q93" s="130">
        <f t="shared" si="39"/>
        <v>47</v>
      </c>
      <c r="R93" s="168">
        <f t="shared" si="39"/>
        <v>47</v>
      </c>
      <c r="S93" s="152"/>
      <c r="T93" s="152"/>
      <c r="U93" s="160"/>
      <c r="V93" s="54"/>
      <c r="W93"/>
      <c r="X93"/>
      <c r="Y93" s="54"/>
      <c r="Z93"/>
      <c r="AA93"/>
    </row>
    <row r="94" spans="1:27" ht="14.25">
      <c r="A94" s="117" t="s">
        <v>90</v>
      </c>
      <c r="B94" s="48"/>
      <c r="C94" s="131">
        <v>0.08</v>
      </c>
      <c r="D94" s="131">
        <f>C94</f>
        <v>0.08</v>
      </c>
      <c r="E94" s="131">
        <f>C94</f>
        <v>0.08</v>
      </c>
      <c r="F94" s="131">
        <f>C94</f>
        <v>0.08</v>
      </c>
      <c r="G94" s="131">
        <f>C94</f>
        <v>0.08</v>
      </c>
      <c r="H94" s="131">
        <f t="shared" si="38"/>
        <v>0.08</v>
      </c>
      <c r="I94" s="131">
        <f t="shared" si="38"/>
        <v>0.08</v>
      </c>
      <c r="J94" s="131">
        <f t="shared" si="38"/>
        <v>0.08</v>
      </c>
      <c r="K94" s="131">
        <f t="shared" si="38"/>
        <v>0.08</v>
      </c>
      <c r="L94" s="131">
        <f t="shared" si="39"/>
        <v>0.08</v>
      </c>
      <c r="M94" s="131">
        <f t="shared" si="39"/>
        <v>0.08</v>
      </c>
      <c r="N94" s="131">
        <f t="shared" si="39"/>
        <v>0.08</v>
      </c>
      <c r="O94" s="131">
        <f t="shared" si="39"/>
        <v>0.08</v>
      </c>
      <c r="P94" s="131">
        <f t="shared" si="39"/>
        <v>0.08</v>
      </c>
      <c r="Q94" s="131">
        <f t="shared" si="39"/>
        <v>0.08</v>
      </c>
      <c r="R94" s="169">
        <f t="shared" si="39"/>
        <v>0.08</v>
      </c>
      <c r="S94" s="153"/>
      <c r="T94" s="153"/>
      <c r="U94" s="161"/>
      <c r="V94" s="54"/>
      <c r="W94"/>
      <c r="X94"/>
      <c r="Y94" s="54"/>
      <c r="Z94"/>
      <c r="AA94"/>
    </row>
    <row r="95" spans="1:27" ht="14.25">
      <c r="A95" s="117" t="s">
        <v>91</v>
      </c>
      <c r="B95" s="48"/>
      <c r="C95" s="117"/>
      <c r="D95" s="104">
        <f aca="true" t="shared" si="40" ref="D95:I95">D92*D94</f>
        <v>0</v>
      </c>
      <c r="E95" s="104">
        <f t="shared" si="40"/>
        <v>0</v>
      </c>
      <c r="F95" s="104">
        <f t="shared" si="40"/>
        <v>17173.7424</v>
      </c>
      <c r="G95" s="104">
        <f t="shared" si="40"/>
        <v>32973.585408</v>
      </c>
      <c r="H95" s="104">
        <f t="shared" si="40"/>
        <v>30335.69857536</v>
      </c>
      <c r="I95" s="104">
        <f t="shared" si="40"/>
        <v>27908.8426893312</v>
      </c>
      <c r="J95" s="104">
        <f>J92*J94</f>
        <v>25676.1352741847</v>
      </c>
      <c r="K95" s="104">
        <f>K92*K94</f>
        <v>23622.044452249924</v>
      </c>
      <c r="L95" s="104">
        <f aca="true" t="shared" si="41" ref="L95:R95">L92*L94</f>
        <v>21732.28089606993</v>
      </c>
      <c r="M95" s="104">
        <f t="shared" si="41"/>
        <v>19993.698424384336</v>
      </c>
      <c r="N95" s="104">
        <f t="shared" si="41"/>
        <v>18394.202550433587</v>
      </c>
      <c r="O95" s="104">
        <f t="shared" si="41"/>
        <v>16922.666346398903</v>
      </c>
      <c r="P95" s="104">
        <f t="shared" si="41"/>
        <v>15568.85303868699</v>
      </c>
      <c r="Q95" s="104">
        <f t="shared" si="41"/>
        <v>14323.34479559203</v>
      </c>
      <c r="R95" s="164">
        <f t="shared" si="41"/>
        <v>13177.477211944666</v>
      </c>
      <c r="S95" s="102"/>
      <c r="T95" s="102"/>
      <c r="U95" s="102"/>
      <c r="V95" s="54"/>
      <c r="W95"/>
      <c r="X95"/>
      <c r="Y95" s="54"/>
      <c r="Z95"/>
      <c r="AA95"/>
    </row>
    <row r="96" spans="1:27" ht="14.25" thickBot="1">
      <c r="A96" s="128" t="s">
        <v>92</v>
      </c>
      <c r="B96" s="48"/>
      <c r="C96" s="117"/>
      <c r="D96" s="129">
        <f aca="true" t="shared" si="42" ref="D96:I96">D90-D95</f>
        <v>0</v>
      </c>
      <c r="E96" s="129">
        <f t="shared" si="42"/>
        <v>0</v>
      </c>
      <c r="F96" s="129">
        <f t="shared" si="42"/>
        <v>412169.81759999995</v>
      </c>
      <c r="G96" s="129">
        <f t="shared" si="42"/>
        <v>379196.23219199997</v>
      </c>
      <c r="H96" s="129">
        <f t="shared" si="42"/>
        <v>348860.53361663996</v>
      </c>
      <c r="I96" s="129">
        <f t="shared" si="42"/>
        <v>320951.69092730875</v>
      </c>
      <c r="J96" s="129">
        <f>J90-J95</f>
        <v>295275.55565312406</v>
      </c>
      <c r="K96" s="129">
        <f>K90-K95</f>
        <v>271653.5112008741</v>
      </c>
      <c r="L96" s="129">
        <f aca="true" t="shared" si="43" ref="L96:R96">L90-L95</f>
        <v>249921.2303048042</v>
      </c>
      <c r="M96" s="129">
        <f t="shared" si="43"/>
        <v>229927.53188041985</v>
      </c>
      <c r="N96" s="129">
        <f t="shared" si="43"/>
        <v>211533.32932998627</v>
      </c>
      <c r="O96" s="129">
        <f t="shared" si="43"/>
        <v>194610.66298358736</v>
      </c>
      <c r="P96" s="129">
        <f t="shared" si="43"/>
        <v>179041.80994490036</v>
      </c>
      <c r="Q96" s="129">
        <f t="shared" si="43"/>
        <v>164718.46514930832</v>
      </c>
      <c r="R96" s="129">
        <f t="shared" si="43"/>
        <v>151540.98793736365</v>
      </c>
      <c r="S96" s="102"/>
      <c r="T96" s="102"/>
      <c r="U96" s="102"/>
      <c r="V96" s="54"/>
      <c r="W96"/>
      <c r="X96"/>
      <c r="Y96" s="54"/>
      <c r="Z96"/>
      <c r="AA96"/>
    </row>
  </sheetData>
  <sheetProtection/>
  <mergeCells count="42">
    <mergeCell ref="AW17:AY17"/>
    <mergeCell ref="AX52:AY52"/>
    <mergeCell ref="AZ17:BB17"/>
    <mergeCell ref="BA52:BB52"/>
    <mergeCell ref="AN17:AP17"/>
    <mergeCell ref="AO52:AP52"/>
    <mergeCell ref="AQ17:AS17"/>
    <mergeCell ref="AR52:AS52"/>
    <mergeCell ref="AT17:AV17"/>
    <mergeCell ref="AU52:AV52"/>
    <mergeCell ref="AE17:AG17"/>
    <mergeCell ref="AF52:AG52"/>
    <mergeCell ref="AH17:AJ17"/>
    <mergeCell ref="AI52:AJ52"/>
    <mergeCell ref="AK17:AM17"/>
    <mergeCell ref="AL52:AM52"/>
    <mergeCell ref="Y17:AA17"/>
    <mergeCell ref="Z52:AA52"/>
    <mergeCell ref="A49:L49"/>
    <mergeCell ref="E52:F52"/>
    <mergeCell ref="H52:I52"/>
    <mergeCell ref="K52:L52"/>
    <mergeCell ref="N52:O52"/>
    <mergeCell ref="Q52:R52"/>
    <mergeCell ref="D17:F17"/>
    <mergeCell ref="G17:I17"/>
    <mergeCell ref="A47:L47"/>
    <mergeCell ref="V17:X17"/>
    <mergeCell ref="W52:X52"/>
    <mergeCell ref="S17:U17"/>
    <mergeCell ref="T52:U52"/>
    <mergeCell ref="A50:B50"/>
    <mergeCell ref="AC52:AD52"/>
    <mergeCell ref="AB17:AD17"/>
    <mergeCell ref="A9:G9"/>
    <mergeCell ref="A10:G10"/>
    <mergeCell ref="A12:G12"/>
    <mergeCell ref="A13:G13"/>
    <mergeCell ref="A14:G14"/>
    <mergeCell ref="J17:L17"/>
    <mergeCell ref="M17:O17"/>
    <mergeCell ref="P17:R1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57" r:id="rId3"/>
  <headerFooter>
    <oddFooter>&amp;L&amp;Z&amp;F&amp;R&amp;A</oddFooter>
  </headerFooter>
  <rowBreaks count="1" manualBreakCount="1">
    <brk id="65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C113"/>
  <sheetViews>
    <sheetView zoomScale="80" zoomScaleNormal="80" zoomScalePageLayoutView="0" workbookViewId="0" topLeftCell="E59">
      <selection activeCell="R78" sqref="R78"/>
    </sheetView>
  </sheetViews>
  <sheetFormatPr defaultColWidth="9.140625" defaultRowHeight="15"/>
  <cols>
    <col min="1" max="1" width="54.28125" style="0" customWidth="1"/>
    <col min="2" max="2" width="14.7109375" style="0" customWidth="1"/>
    <col min="3" max="3" width="12.7109375" style="0" customWidth="1"/>
    <col min="4" max="18" width="14.7109375" style="0" customWidth="1"/>
    <col min="19" max="55" width="12.57421875" style="0" customWidth="1"/>
  </cols>
  <sheetData>
    <row r="1" spans="1:6" s="2" customFormat="1" ht="15" customHeight="1" hidden="1">
      <c r="A1" s="1"/>
      <c r="B1" s="1"/>
      <c r="C1" s="1"/>
      <c r="E1" s="3" t="s">
        <v>0</v>
      </c>
      <c r="F1" s="4" t="e">
        <f>EBNUMBER</f>
        <v>#REF!</v>
      </c>
    </row>
    <row r="2" spans="1:6" s="2" customFormat="1" ht="15" customHeight="1" hidden="1">
      <c r="A2" s="1"/>
      <c r="B2" s="1"/>
      <c r="C2" s="1"/>
      <c r="E2" s="3" t="s">
        <v>1</v>
      </c>
      <c r="F2" s="5">
        <v>2</v>
      </c>
    </row>
    <row r="3" spans="1:6" s="2" customFormat="1" ht="15" customHeight="1" hidden="1">
      <c r="A3" s="1"/>
      <c r="B3" s="1"/>
      <c r="C3" s="1"/>
      <c r="E3" s="3" t="s">
        <v>2</v>
      </c>
      <c r="F3" s="5">
        <v>3</v>
      </c>
    </row>
    <row r="4" spans="1:6" s="2" customFormat="1" ht="15" customHeight="1" hidden="1">
      <c r="A4" s="1"/>
      <c r="B4" s="1"/>
      <c r="C4" s="1"/>
      <c r="E4" s="3" t="s">
        <v>3</v>
      </c>
      <c r="F4" s="5">
        <v>10</v>
      </c>
    </row>
    <row r="5" spans="1:6" s="2" customFormat="1" ht="15" customHeight="1" hidden="1">
      <c r="A5" s="1"/>
      <c r="B5" s="1"/>
      <c r="C5" s="1"/>
      <c r="E5" s="3" t="s">
        <v>4</v>
      </c>
      <c r="F5" s="7"/>
    </row>
    <row r="6" spans="1:6" s="2" customFormat="1" ht="15" customHeight="1" hidden="1">
      <c r="A6" s="1"/>
      <c r="B6" s="1"/>
      <c r="C6" s="1"/>
      <c r="E6" s="3"/>
      <c r="F6" s="8"/>
    </row>
    <row r="7" spans="1:6" s="2" customFormat="1" ht="15" customHeight="1" hidden="1">
      <c r="A7" s="1"/>
      <c r="B7" s="1"/>
      <c r="C7" s="1"/>
      <c r="E7" s="3" t="s">
        <v>5</v>
      </c>
      <c r="F7" s="137"/>
    </row>
    <row r="8" spans="1:10" s="2" customFormat="1" ht="15">
      <c r="A8" s="9"/>
      <c r="B8" s="9"/>
      <c r="C8" s="9"/>
      <c r="D8" s="9"/>
      <c r="E8" s="9"/>
      <c r="F8" s="9"/>
      <c r="G8" s="9"/>
      <c r="H8" s="10"/>
      <c r="I8" s="10"/>
      <c r="J8" s="10"/>
    </row>
    <row r="9" spans="1:10" s="2" customFormat="1" ht="18">
      <c r="A9" s="219" t="s">
        <v>31</v>
      </c>
      <c r="B9" s="219"/>
      <c r="C9" s="219"/>
      <c r="D9" s="219"/>
      <c r="E9" s="219"/>
      <c r="F9" s="219"/>
      <c r="G9" s="11"/>
      <c r="H9" s="11"/>
      <c r="I9" s="10"/>
      <c r="J9" s="10"/>
    </row>
    <row r="10" spans="1:10" s="2" customFormat="1" ht="39.75" customHeight="1">
      <c r="A10" s="227" t="s">
        <v>32</v>
      </c>
      <c r="B10" s="227"/>
      <c r="C10" s="227"/>
      <c r="D10" s="227"/>
      <c r="E10" s="227"/>
      <c r="F10" s="227"/>
      <c r="G10" s="11"/>
      <c r="H10" s="11"/>
      <c r="I10" s="10"/>
      <c r="J10" s="10"/>
    </row>
    <row r="11" spans="1:10" s="2" customFormat="1" ht="12.75" customHeight="1">
      <c r="A11" s="11"/>
      <c r="B11" s="11"/>
      <c r="C11" s="11"/>
      <c r="D11" s="11"/>
      <c r="E11" s="11"/>
      <c r="F11" s="11"/>
      <c r="G11" s="11"/>
      <c r="H11" s="11"/>
      <c r="I11" s="10"/>
      <c r="J11" s="10"/>
    </row>
    <row r="12" spans="1:6" ht="15">
      <c r="A12" s="235" t="s">
        <v>33</v>
      </c>
      <c r="B12" s="235"/>
      <c r="C12" s="235"/>
      <c r="D12" s="235"/>
      <c r="E12" s="235"/>
      <c r="F12" s="235"/>
    </row>
    <row r="13" spans="1:6" ht="28.5" customHeight="1">
      <c r="A13" s="236" t="s">
        <v>34</v>
      </c>
      <c r="B13" s="236"/>
      <c r="C13" s="236"/>
      <c r="D13" s="236"/>
      <c r="E13" s="236"/>
      <c r="F13" s="236"/>
    </row>
    <row r="14" spans="1:6" ht="15">
      <c r="A14" s="235" t="s">
        <v>35</v>
      </c>
      <c r="B14" s="235"/>
      <c r="C14" s="235"/>
      <c r="D14" s="235"/>
      <c r="E14" s="235"/>
      <c r="F14" s="235"/>
    </row>
    <row r="15" ht="15.75">
      <c r="B15" s="45"/>
    </row>
    <row r="16" spans="1:27" ht="15.75" thickBot="1">
      <c r="A16" s="46"/>
      <c r="B16" s="47"/>
      <c r="C16" s="47"/>
      <c r="D16" s="48"/>
      <c r="E16" s="48"/>
      <c r="F16" s="48"/>
      <c r="G16" s="48"/>
      <c r="H16" s="49"/>
      <c r="I16" s="48"/>
      <c r="J16" s="48"/>
      <c r="K16" s="49"/>
      <c r="L16" s="48"/>
      <c r="M16" s="48"/>
      <c r="N16" s="48"/>
      <c r="O16" s="48"/>
      <c r="P16" s="48"/>
      <c r="Q16" s="49"/>
      <c r="R16" s="48"/>
      <c r="S16" s="48"/>
      <c r="T16" s="49"/>
      <c r="U16" s="48"/>
      <c r="V16" s="48"/>
      <c r="W16" s="49"/>
      <c r="X16" s="48"/>
      <c r="Y16" s="48"/>
      <c r="Z16" s="49"/>
      <c r="AA16" s="48"/>
    </row>
    <row r="17" spans="1:54" ht="15.75" thickBot="1">
      <c r="A17" s="46"/>
      <c r="B17" s="46"/>
      <c r="C17" s="46"/>
      <c r="D17" s="224" t="s">
        <v>36</v>
      </c>
      <c r="E17" s="225"/>
      <c r="F17" s="226"/>
      <c r="G17" s="224">
        <v>2015</v>
      </c>
      <c r="H17" s="225"/>
      <c r="I17" s="226"/>
      <c r="J17" s="224">
        <v>2016</v>
      </c>
      <c r="K17" s="225">
        <v>2016</v>
      </c>
      <c r="L17" s="226"/>
      <c r="M17" s="224">
        <v>2017</v>
      </c>
      <c r="N17" s="225"/>
      <c r="O17" s="226"/>
      <c r="P17" s="224">
        <v>2018</v>
      </c>
      <c r="Q17" s="225"/>
      <c r="R17" s="226"/>
      <c r="S17" s="224">
        <v>2019</v>
      </c>
      <c r="T17" s="225"/>
      <c r="U17" s="226"/>
      <c r="V17" s="224">
        <v>2020</v>
      </c>
      <c r="W17" s="225"/>
      <c r="X17" s="226"/>
      <c r="Y17" s="224">
        <v>2021</v>
      </c>
      <c r="Z17" s="225"/>
      <c r="AA17" s="226"/>
      <c r="AB17" s="224">
        <v>2022</v>
      </c>
      <c r="AC17" s="225"/>
      <c r="AD17" s="226"/>
      <c r="AE17" s="224">
        <v>2023</v>
      </c>
      <c r="AF17" s="225"/>
      <c r="AG17" s="226"/>
      <c r="AH17" s="224">
        <v>2024</v>
      </c>
      <c r="AI17" s="225"/>
      <c r="AJ17" s="226"/>
      <c r="AK17" s="224">
        <v>2025</v>
      </c>
      <c r="AL17" s="225"/>
      <c r="AM17" s="226"/>
      <c r="AN17" s="224">
        <v>2026</v>
      </c>
      <c r="AO17" s="225"/>
      <c r="AP17" s="226"/>
      <c r="AQ17" s="224">
        <v>2027</v>
      </c>
      <c r="AR17" s="225"/>
      <c r="AS17" s="226"/>
      <c r="AT17" s="224">
        <v>2028</v>
      </c>
      <c r="AU17" s="225"/>
      <c r="AV17" s="225"/>
      <c r="AW17" s="231"/>
      <c r="AX17" s="232"/>
      <c r="AY17" s="232"/>
      <c r="AZ17" s="232"/>
      <c r="BA17" s="232"/>
      <c r="BB17" s="232"/>
    </row>
    <row r="18" spans="1:54" ht="15">
      <c r="A18" s="16"/>
      <c r="B18" s="16"/>
      <c r="C18" s="16"/>
      <c r="D18" s="16"/>
      <c r="E18" s="3" t="s">
        <v>37</v>
      </c>
      <c r="F18" s="50" t="s">
        <v>38</v>
      </c>
      <c r="G18" s="16"/>
      <c r="H18" s="3" t="s">
        <v>37</v>
      </c>
      <c r="I18" s="50" t="s">
        <v>38</v>
      </c>
      <c r="J18" s="16"/>
      <c r="K18" s="3" t="s">
        <v>37</v>
      </c>
      <c r="L18" s="50" t="s">
        <v>38</v>
      </c>
      <c r="M18" s="16"/>
      <c r="N18" s="3" t="s">
        <v>37</v>
      </c>
      <c r="O18" s="50" t="s">
        <v>38</v>
      </c>
      <c r="P18" s="16"/>
      <c r="Q18" s="3" t="s">
        <v>37</v>
      </c>
      <c r="R18" s="50" t="s">
        <v>38</v>
      </c>
      <c r="S18" s="16"/>
      <c r="T18" s="3" t="s">
        <v>37</v>
      </c>
      <c r="U18" s="50" t="s">
        <v>38</v>
      </c>
      <c r="V18" s="16"/>
      <c r="W18" s="3" t="s">
        <v>37</v>
      </c>
      <c r="X18" s="50" t="s">
        <v>38</v>
      </c>
      <c r="Y18" s="16"/>
      <c r="Z18" s="3" t="s">
        <v>37</v>
      </c>
      <c r="AA18" s="50" t="s">
        <v>38</v>
      </c>
      <c r="AB18" s="16"/>
      <c r="AC18" s="3" t="s">
        <v>37</v>
      </c>
      <c r="AD18" s="50" t="s">
        <v>38</v>
      </c>
      <c r="AE18" s="16"/>
      <c r="AF18" s="3" t="s">
        <v>37</v>
      </c>
      <c r="AG18" s="50" t="s">
        <v>38</v>
      </c>
      <c r="AH18" s="16"/>
      <c r="AI18" s="3" t="s">
        <v>37</v>
      </c>
      <c r="AJ18" s="50" t="s">
        <v>38</v>
      </c>
      <c r="AK18" s="16"/>
      <c r="AL18" s="3" t="s">
        <v>37</v>
      </c>
      <c r="AM18" s="50" t="s">
        <v>38</v>
      </c>
      <c r="AN18" s="16"/>
      <c r="AO18" s="3" t="s">
        <v>37</v>
      </c>
      <c r="AP18" s="50" t="s">
        <v>38</v>
      </c>
      <c r="AQ18" s="16"/>
      <c r="AR18" s="3" t="s">
        <v>37</v>
      </c>
      <c r="AS18" s="50" t="s">
        <v>38</v>
      </c>
      <c r="AT18" s="16"/>
      <c r="AU18" s="3" t="s">
        <v>37</v>
      </c>
      <c r="AV18" s="50" t="s">
        <v>38</v>
      </c>
      <c r="AW18" s="184"/>
      <c r="AX18" s="23"/>
      <c r="AY18" s="199"/>
      <c r="AZ18" s="32"/>
      <c r="BA18" s="23"/>
      <c r="BB18" s="199"/>
    </row>
    <row r="19" spans="1:54" s="54" customFormat="1" ht="15">
      <c r="A19" s="51"/>
      <c r="B19" s="52"/>
      <c r="C19" s="52"/>
      <c r="D19" s="52" t="s">
        <v>39</v>
      </c>
      <c r="E19" s="53">
        <v>0.17</v>
      </c>
      <c r="F19" s="53">
        <v>0.83</v>
      </c>
      <c r="G19" s="52" t="s">
        <v>39</v>
      </c>
      <c r="H19" s="53">
        <v>0.17</v>
      </c>
      <c r="I19" s="53">
        <v>0.83</v>
      </c>
      <c r="J19" s="52" t="s">
        <v>39</v>
      </c>
      <c r="K19" s="53">
        <v>0.17</v>
      </c>
      <c r="L19" s="53">
        <v>0.83</v>
      </c>
      <c r="M19" s="52" t="s">
        <v>39</v>
      </c>
      <c r="N19" s="53">
        <v>0.17</v>
      </c>
      <c r="O19" s="53">
        <v>0.83</v>
      </c>
      <c r="P19" s="52" t="s">
        <v>39</v>
      </c>
      <c r="Q19" s="53">
        <v>0.17</v>
      </c>
      <c r="R19" s="53">
        <v>0.83</v>
      </c>
      <c r="S19" s="52" t="s">
        <v>39</v>
      </c>
      <c r="T19" s="53">
        <v>0.17</v>
      </c>
      <c r="U19" s="53">
        <v>0.83</v>
      </c>
      <c r="V19" s="52" t="s">
        <v>39</v>
      </c>
      <c r="W19" s="53">
        <v>0.17</v>
      </c>
      <c r="X19" s="53">
        <v>0.83</v>
      </c>
      <c r="Y19" s="52" t="s">
        <v>39</v>
      </c>
      <c r="Z19" s="53">
        <v>0.17</v>
      </c>
      <c r="AA19" s="53">
        <v>0.83</v>
      </c>
      <c r="AB19" s="52" t="s">
        <v>39</v>
      </c>
      <c r="AC19" s="53">
        <v>0.17</v>
      </c>
      <c r="AD19" s="53">
        <v>0.83</v>
      </c>
      <c r="AE19" s="52" t="s">
        <v>39</v>
      </c>
      <c r="AF19" s="53">
        <v>0.17</v>
      </c>
      <c r="AG19" s="53">
        <v>0.83</v>
      </c>
      <c r="AH19" s="52" t="s">
        <v>39</v>
      </c>
      <c r="AI19" s="53">
        <v>0.17</v>
      </c>
      <c r="AJ19" s="53">
        <v>0.83</v>
      </c>
      <c r="AK19" s="52" t="s">
        <v>39</v>
      </c>
      <c r="AL19" s="53">
        <v>0.17</v>
      </c>
      <c r="AM19" s="53">
        <v>0.83</v>
      </c>
      <c r="AN19" s="52" t="s">
        <v>39</v>
      </c>
      <c r="AO19" s="53">
        <v>0.17</v>
      </c>
      <c r="AP19" s="53">
        <v>0.83</v>
      </c>
      <c r="AQ19" s="52" t="s">
        <v>39</v>
      </c>
      <c r="AR19" s="53">
        <v>0.17</v>
      </c>
      <c r="AS19" s="53">
        <v>0.83</v>
      </c>
      <c r="AT19" s="52" t="s">
        <v>39</v>
      </c>
      <c r="AU19" s="53">
        <v>0.17</v>
      </c>
      <c r="AV19" s="53">
        <v>0.83</v>
      </c>
      <c r="AW19" s="191"/>
      <c r="AX19" s="53"/>
      <c r="AY19" s="53"/>
      <c r="AZ19" s="52"/>
      <c r="BA19" s="53"/>
      <c r="BB19" s="53"/>
    </row>
    <row r="20" spans="1:54" ht="15">
      <c r="A20" s="3" t="s">
        <v>40</v>
      </c>
      <c r="B20" s="55"/>
      <c r="C20" s="16"/>
      <c r="D20" s="56">
        <f>D81</f>
        <v>167203.2102157646</v>
      </c>
      <c r="E20" s="21">
        <f>D20*E19</f>
        <v>28424.545736679982</v>
      </c>
      <c r="F20" s="57">
        <f>D20*F19</f>
        <v>138778.6644790846</v>
      </c>
      <c r="G20" s="56">
        <f>E81</f>
        <v>333622.80616069585</v>
      </c>
      <c r="H20" s="21">
        <f>G20*H19</f>
        <v>56715.877047318296</v>
      </c>
      <c r="I20" s="57">
        <f>G20*I19</f>
        <v>276906.9291133775</v>
      </c>
      <c r="J20" s="58">
        <f>F81</f>
        <v>328288.19168152916</v>
      </c>
      <c r="K20" s="21">
        <f>J20*K19</f>
        <v>55808.99258585996</v>
      </c>
      <c r="L20" s="57">
        <f>J20*L19</f>
        <v>272479.1990956692</v>
      </c>
      <c r="M20" s="58">
        <f>G81</f>
        <v>323883.12147319585</v>
      </c>
      <c r="N20" s="21">
        <f>M20*N19</f>
        <v>55060.1306504433</v>
      </c>
      <c r="O20" s="57">
        <f>M20*O19</f>
        <v>268822.99082275253</v>
      </c>
      <c r="P20" s="58">
        <f>H81</f>
        <v>319359.05147319584</v>
      </c>
      <c r="Q20" s="72">
        <f>P20*Q19</f>
        <v>54291.038750443295</v>
      </c>
      <c r="R20" s="57">
        <f>P20*R19</f>
        <v>265068.0127227525</v>
      </c>
      <c r="S20" s="58">
        <f>I81</f>
        <v>310019.05147319584</v>
      </c>
      <c r="T20" s="72">
        <f>S20*T19</f>
        <v>52703.2387504433</v>
      </c>
      <c r="U20" s="146">
        <f>S20*U19</f>
        <v>257315.81272275254</v>
      </c>
      <c r="V20" s="58">
        <f>J81</f>
        <v>300679.05147319584</v>
      </c>
      <c r="W20" s="72">
        <f>V20*W19</f>
        <v>51115.438750443296</v>
      </c>
      <c r="X20" s="146">
        <f>V20*X19</f>
        <v>249563.61272275253</v>
      </c>
      <c r="Y20" s="58">
        <f>K81</f>
        <v>291339.05147319584</v>
      </c>
      <c r="Z20" s="72">
        <f>Y20*Z19</f>
        <v>49527.63875044329</v>
      </c>
      <c r="AA20" s="146">
        <f>Y20*AA19</f>
        <v>241811.41272275255</v>
      </c>
      <c r="AB20" s="58">
        <f>L81</f>
        <v>281999.05147319584</v>
      </c>
      <c r="AC20" s="72">
        <f>AB20*AC19</f>
        <v>47939.8387504433</v>
      </c>
      <c r="AD20" s="146">
        <f>AB20*AD19</f>
        <v>234059.21272275253</v>
      </c>
      <c r="AE20" s="58">
        <f>M81</f>
        <v>272659.05147319584</v>
      </c>
      <c r="AF20" s="72">
        <f>AE20*AF19</f>
        <v>46352.038750443295</v>
      </c>
      <c r="AG20" s="146">
        <f>AE20*AG19</f>
        <v>226307.01272275252</v>
      </c>
      <c r="AH20" s="58">
        <f>N81</f>
        <v>263319.05147319584</v>
      </c>
      <c r="AI20" s="72">
        <f>AH20*AI19</f>
        <v>44764.2387504433</v>
      </c>
      <c r="AJ20" s="146">
        <f>AH20*AJ19</f>
        <v>218554.81272275254</v>
      </c>
      <c r="AK20" s="58">
        <f>O81</f>
        <v>253979.05147319584</v>
      </c>
      <c r="AL20" s="72">
        <f>AK20*AL19</f>
        <v>43176.438750443296</v>
      </c>
      <c r="AM20" s="146">
        <f>AK20*AM19</f>
        <v>210802.61272275253</v>
      </c>
      <c r="AN20" s="58">
        <f>P81</f>
        <v>244639.05147319584</v>
      </c>
      <c r="AO20" s="72">
        <f>AN20*AO19</f>
        <v>41588.63875044329</v>
      </c>
      <c r="AP20" s="146">
        <f>AN20*AP19</f>
        <v>203050.41272275255</v>
      </c>
      <c r="AQ20" s="58">
        <f>Q81</f>
        <v>235299.05147319584</v>
      </c>
      <c r="AR20" s="72">
        <f>AQ20*AR19</f>
        <v>40000.8387504433</v>
      </c>
      <c r="AS20" s="146">
        <f>AQ20*AS19</f>
        <v>195298.21272275253</v>
      </c>
      <c r="AT20" s="58">
        <f>R81</f>
        <v>225959.05147319584</v>
      </c>
      <c r="AU20" s="72">
        <f>AT20*AU19</f>
        <v>38413.038750443295</v>
      </c>
      <c r="AV20" s="146">
        <f>AT20*AV19</f>
        <v>187546.01272275255</v>
      </c>
      <c r="AW20" s="192"/>
      <c r="AX20" s="200"/>
      <c r="AY20" s="201"/>
      <c r="AZ20" s="34"/>
      <c r="BA20" s="200"/>
      <c r="BB20" s="201"/>
    </row>
    <row r="21" spans="1:54" ht="15">
      <c r="A21" s="16" t="s">
        <v>41</v>
      </c>
      <c r="B21" s="59"/>
      <c r="C21" s="16"/>
      <c r="D21" s="60">
        <f>'[1]App.2-FA Proposed REG Invest.'!C$92</f>
        <v>0</v>
      </c>
      <c r="E21" s="61">
        <f>D21</f>
        <v>0</v>
      </c>
      <c r="F21" s="62"/>
      <c r="G21" s="60">
        <f>'[1]App.2-FA Proposed REG Invest.'!D$92</f>
        <v>0</v>
      </c>
      <c r="H21" s="61">
        <f>G21</f>
        <v>0</v>
      </c>
      <c r="I21" s="62"/>
      <c r="J21" s="60">
        <f>'[1]App.2-FA Proposed REG Invest.'!E$92</f>
        <v>0</v>
      </c>
      <c r="K21" s="61">
        <f>J21</f>
        <v>0</v>
      </c>
      <c r="L21" s="62"/>
      <c r="M21" s="60">
        <f>'[1]App.2-FA Proposed REG Invest.'!F$92</f>
        <v>0</v>
      </c>
      <c r="N21" s="61">
        <f>M21</f>
        <v>0</v>
      </c>
      <c r="O21" s="62"/>
      <c r="P21" s="60">
        <f>'[1]App.2-FA Proposed REG Invest.'!G$92</f>
        <v>0</v>
      </c>
      <c r="Q21" s="61">
        <f>P21</f>
        <v>0</v>
      </c>
      <c r="R21" s="62"/>
      <c r="S21" s="60">
        <v>0</v>
      </c>
      <c r="T21" s="61">
        <f>S21</f>
        <v>0</v>
      </c>
      <c r="U21" s="62"/>
      <c r="V21" s="60">
        <v>0</v>
      </c>
      <c r="W21" s="61">
        <f>V21</f>
        <v>0</v>
      </c>
      <c r="X21" s="62"/>
      <c r="Y21" s="60">
        <v>0</v>
      </c>
      <c r="Z21" s="61">
        <f>Y21</f>
        <v>0</v>
      </c>
      <c r="AA21" s="62"/>
      <c r="AB21" s="60"/>
      <c r="AC21" s="61">
        <f>AB21</f>
        <v>0</v>
      </c>
      <c r="AD21" s="62"/>
      <c r="AE21" s="60"/>
      <c r="AF21" s="61">
        <f>AE21</f>
        <v>0</v>
      </c>
      <c r="AG21" s="62"/>
      <c r="AH21" s="60"/>
      <c r="AI21" s="61">
        <f>AH21</f>
        <v>0</v>
      </c>
      <c r="AJ21" s="62"/>
      <c r="AK21" s="60"/>
      <c r="AL21" s="61">
        <f>AK21</f>
        <v>0</v>
      </c>
      <c r="AM21" s="62"/>
      <c r="AN21" s="60"/>
      <c r="AO21" s="61">
        <f>AN21</f>
        <v>0</v>
      </c>
      <c r="AP21" s="62"/>
      <c r="AQ21" s="60"/>
      <c r="AR21" s="61">
        <f>AQ21</f>
        <v>0</v>
      </c>
      <c r="AS21" s="62"/>
      <c r="AT21" s="60"/>
      <c r="AU21" s="61">
        <f>AT21</f>
        <v>0</v>
      </c>
      <c r="AV21" s="62"/>
      <c r="AW21" s="193"/>
      <c r="AX21" s="37"/>
      <c r="AY21" s="189"/>
      <c r="AZ21" s="60"/>
      <c r="BA21" s="37"/>
      <c r="BB21" s="189"/>
    </row>
    <row r="22" spans="1:54" ht="15">
      <c r="A22" s="16" t="s">
        <v>42</v>
      </c>
      <c r="B22" s="59"/>
      <c r="C22" s="16"/>
      <c r="D22" s="60">
        <f>'[1]App.2-FA Proposed REG Invest.'!C$91</f>
        <v>0</v>
      </c>
      <c r="E22" s="61">
        <f>D22*E19</f>
        <v>0</v>
      </c>
      <c r="F22" s="61">
        <f>D22*F19</f>
        <v>0</v>
      </c>
      <c r="G22" s="60">
        <f>'[1]App.2-FA Proposed REG Invest.'!D$91</f>
        <v>0</v>
      </c>
      <c r="H22" s="61">
        <f>G22*H19</f>
        <v>0</v>
      </c>
      <c r="I22" s="61">
        <f>G22*I19</f>
        <v>0</v>
      </c>
      <c r="J22" s="60">
        <f>'[1]App.2-FA Proposed REG Invest.'!E$91</f>
        <v>0</v>
      </c>
      <c r="K22" s="61">
        <f>J22*K19</f>
        <v>0</v>
      </c>
      <c r="L22" s="61">
        <f>J22*L19</f>
        <v>0</v>
      </c>
      <c r="M22" s="60">
        <f>'[1]App.2-FA Proposed REG Invest.'!F$91</f>
        <v>0</v>
      </c>
      <c r="N22" s="61">
        <f>M22*N19</f>
        <v>0</v>
      </c>
      <c r="O22" s="61">
        <f>M22*O19</f>
        <v>0</v>
      </c>
      <c r="P22" s="60">
        <f>'[1]App.2-FA Proposed REG Invest.'!G$91</f>
        <v>0</v>
      </c>
      <c r="Q22" s="61">
        <f>P22*Q19</f>
        <v>0</v>
      </c>
      <c r="R22" s="61">
        <f>P22*R19</f>
        <v>0</v>
      </c>
      <c r="S22" s="60">
        <v>0</v>
      </c>
      <c r="T22" s="61">
        <f>S22*T19</f>
        <v>0</v>
      </c>
      <c r="U22" s="61">
        <f>S22*U19</f>
        <v>0</v>
      </c>
      <c r="V22" s="60">
        <v>0</v>
      </c>
      <c r="W22" s="61">
        <f>V22*W19</f>
        <v>0</v>
      </c>
      <c r="X22" s="61">
        <f>V22*X19</f>
        <v>0</v>
      </c>
      <c r="Y22" s="60">
        <v>0</v>
      </c>
      <c r="Z22" s="61">
        <f>Y22*Z19</f>
        <v>0</v>
      </c>
      <c r="AA22" s="61">
        <f>Y22*AA19</f>
        <v>0</v>
      </c>
      <c r="AB22" s="60">
        <v>0</v>
      </c>
      <c r="AC22" s="61">
        <f>AB22*AC19</f>
        <v>0</v>
      </c>
      <c r="AD22" s="61">
        <f>AB22*AD19</f>
        <v>0</v>
      </c>
      <c r="AE22" s="60">
        <v>0</v>
      </c>
      <c r="AF22" s="61">
        <f>AE22*AF19</f>
        <v>0</v>
      </c>
      <c r="AG22" s="61">
        <f>AE22*AG19</f>
        <v>0</v>
      </c>
      <c r="AH22" s="60">
        <v>0</v>
      </c>
      <c r="AI22" s="61">
        <f>AH22*AI19</f>
        <v>0</v>
      </c>
      <c r="AJ22" s="61">
        <f>AH22*AJ19</f>
        <v>0</v>
      </c>
      <c r="AK22" s="60">
        <v>0</v>
      </c>
      <c r="AL22" s="61">
        <f>AK22*AL19</f>
        <v>0</v>
      </c>
      <c r="AM22" s="61">
        <f>AK22*AM19</f>
        <v>0</v>
      </c>
      <c r="AN22" s="60">
        <v>0</v>
      </c>
      <c r="AO22" s="61">
        <f>AN22*AO19</f>
        <v>0</v>
      </c>
      <c r="AP22" s="61">
        <f>AN22*AP19</f>
        <v>0</v>
      </c>
      <c r="AQ22" s="60">
        <v>0</v>
      </c>
      <c r="AR22" s="61">
        <f>AQ22*AR19</f>
        <v>0</v>
      </c>
      <c r="AS22" s="61">
        <f>AQ22*AS19</f>
        <v>0</v>
      </c>
      <c r="AT22" s="60">
        <v>0</v>
      </c>
      <c r="AU22" s="61">
        <f>AT22*AU19</f>
        <v>0</v>
      </c>
      <c r="AV22" s="61">
        <f>AT22*AV19</f>
        <v>0</v>
      </c>
      <c r="AW22" s="193"/>
      <c r="AX22" s="37"/>
      <c r="AY22" s="37"/>
      <c r="AZ22" s="60"/>
      <c r="BA22" s="37"/>
      <c r="BB22" s="37"/>
    </row>
    <row r="23" spans="1:54" ht="15">
      <c r="A23" s="16" t="s">
        <v>43</v>
      </c>
      <c r="B23" s="73">
        <v>0.1342</v>
      </c>
      <c r="C23" s="64"/>
      <c r="D23" s="65"/>
      <c r="E23" s="66">
        <f>(E21+E22)*$B$23</f>
        <v>0</v>
      </c>
      <c r="F23" s="67">
        <f>F22*$B$23</f>
        <v>0</v>
      </c>
      <c r="G23" s="65"/>
      <c r="H23" s="66">
        <f>(H21+H22)*$B$23</f>
        <v>0</v>
      </c>
      <c r="I23" s="67">
        <f>I22*$B$23</f>
        <v>0</v>
      </c>
      <c r="J23" s="65"/>
      <c r="K23" s="66">
        <f>(K21+K22)*$B$23</f>
        <v>0</v>
      </c>
      <c r="L23" s="67">
        <f>L22*$B$23</f>
        <v>0</v>
      </c>
      <c r="M23" s="65"/>
      <c r="N23" s="66">
        <f>(N21+N22)*$B$23</f>
        <v>0</v>
      </c>
      <c r="O23" s="67">
        <f>O22*$B$23</f>
        <v>0</v>
      </c>
      <c r="P23" s="65"/>
      <c r="Q23" s="66">
        <f>(Q21+Q22)*$B$23</f>
        <v>0</v>
      </c>
      <c r="R23" s="67">
        <f>R22*$B$23</f>
        <v>0</v>
      </c>
      <c r="S23" s="65"/>
      <c r="T23" s="66">
        <f>(T21+T22)*$B$23</f>
        <v>0</v>
      </c>
      <c r="U23" s="67">
        <f>U22*$B$23</f>
        <v>0</v>
      </c>
      <c r="V23" s="65"/>
      <c r="W23" s="66">
        <f>(W21+W22)*$B$23</f>
        <v>0</v>
      </c>
      <c r="X23" s="67">
        <f>X22*$B$23</f>
        <v>0</v>
      </c>
      <c r="Y23" s="65"/>
      <c r="Z23" s="66">
        <f>(Z21+Z22)*$B$23</f>
        <v>0</v>
      </c>
      <c r="AA23" s="67">
        <f>AA22*$B$23</f>
        <v>0</v>
      </c>
      <c r="AB23" s="65"/>
      <c r="AC23" s="66">
        <f>(AC21+AC22)*$B$23</f>
        <v>0</v>
      </c>
      <c r="AD23" s="67">
        <f>AD22*$B$23</f>
        <v>0</v>
      </c>
      <c r="AE23" s="65"/>
      <c r="AF23" s="66">
        <f>(AF21+AF22)*$B$23</f>
        <v>0</v>
      </c>
      <c r="AG23" s="67">
        <f>AG22*$B$23</f>
        <v>0</v>
      </c>
      <c r="AH23" s="65"/>
      <c r="AI23" s="66">
        <f>(AI21+AI22)*$B$23</f>
        <v>0</v>
      </c>
      <c r="AJ23" s="67">
        <f>AJ22*$B$23</f>
        <v>0</v>
      </c>
      <c r="AK23" s="65"/>
      <c r="AL23" s="66">
        <f>(AL21+AL22)*$B$23</f>
        <v>0</v>
      </c>
      <c r="AM23" s="67">
        <f>AM22*$B$23</f>
        <v>0</v>
      </c>
      <c r="AN23" s="65"/>
      <c r="AO23" s="66">
        <f>(AO21+AO22)*$B$23</f>
        <v>0</v>
      </c>
      <c r="AP23" s="67">
        <f>AP22*$B$23</f>
        <v>0</v>
      </c>
      <c r="AQ23" s="65"/>
      <c r="AR23" s="66">
        <f>(AR21+AR22)*$B$23</f>
        <v>0</v>
      </c>
      <c r="AS23" s="67">
        <f>AS22*$B$23</f>
        <v>0</v>
      </c>
      <c r="AT23" s="65"/>
      <c r="AU23" s="66">
        <f>(AU21+AU22)*$B$23</f>
        <v>0</v>
      </c>
      <c r="AV23" s="67">
        <f>AV22*$B$23</f>
        <v>0</v>
      </c>
      <c r="AW23" s="202"/>
      <c r="AX23" s="37"/>
      <c r="AY23" s="35"/>
      <c r="AZ23" s="203"/>
      <c r="BA23" s="37"/>
      <c r="BB23" s="35"/>
    </row>
    <row r="24" spans="1:54" ht="15">
      <c r="A24" s="3" t="s">
        <v>44</v>
      </c>
      <c r="B24" s="16"/>
      <c r="C24" s="64"/>
      <c r="D24" s="16"/>
      <c r="E24" s="68">
        <f>SUM(E20+E23)</f>
        <v>28424.545736679982</v>
      </c>
      <c r="F24" s="68">
        <f>SUM(F20+F23)</f>
        <v>138778.6644790846</v>
      </c>
      <c r="G24" s="16"/>
      <c r="H24" s="68">
        <f>SUM(H20+H23)</f>
        <v>56715.877047318296</v>
      </c>
      <c r="I24" s="68">
        <f>SUM(I20+I23)</f>
        <v>276906.9291133775</v>
      </c>
      <c r="J24" s="16"/>
      <c r="K24" s="68">
        <f>SUM(K20+K23)</f>
        <v>55808.99258585996</v>
      </c>
      <c r="L24" s="68">
        <f>SUM(L20+L23)</f>
        <v>272479.1990956692</v>
      </c>
      <c r="M24" s="16"/>
      <c r="N24" s="68">
        <f>SUM(N20+N23)</f>
        <v>55060.1306504433</v>
      </c>
      <c r="O24" s="68">
        <f>SUM(O20+O23)</f>
        <v>268822.99082275253</v>
      </c>
      <c r="P24" s="16"/>
      <c r="Q24" s="68">
        <f>SUM(Q20+Q23)</f>
        <v>54291.038750443295</v>
      </c>
      <c r="R24" s="68">
        <f>SUM(R20+R23)</f>
        <v>265068.0127227525</v>
      </c>
      <c r="S24" s="16"/>
      <c r="T24" s="68">
        <f>SUM(T20+T23)</f>
        <v>52703.2387504433</v>
      </c>
      <c r="U24" s="68">
        <f>SUM(U20+U23)</f>
        <v>257315.81272275254</v>
      </c>
      <c r="V24" s="16"/>
      <c r="W24" s="68">
        <f>SUM(W20+W23)</f>
        <v>51115.438750443296</v>
      </c>
      <c r="X24" s="68">
        <f>SUM(X20+X23)</f>
        <v>249563.61272275253</v>
      </c>
      <c r="Y24" s="16"/>
      <c r="Z24" s="68">
        <f>SUM(Z20+Z23)</f>
        <v>49527.63875044329</v>
      </c>
      <c r="AA24" s="68">
        <f>SUM(AA20+AA23)</f>
        <v>241811.41272275255</v>
      </c>
      <c r="AB24" s="16"/>
      <c r="AC24" s="68">
        <f>SUM(AC20+AC23)</f>
        <v>47939.8387504433</v>
      </c>
      <c r="AD24" s="68">
        <f>SUM(AD20+AD23)</f>
        <v>234059.21272275253</v>
      </c>
      <c r="AE24" s="16"/>
      <c r="AF24" s="68">
        <f>SUM(AF20+AF23)</f>
        <v>46352.038750443295</v>
      </c>
      <c r="AG24" s="68">
        <f>SUM(AG20+AG23)</f>
        <v>226307.01272275252</v>
      </c>
      <c r="AH24" s="16"/>
      <c r="AI24" s="68">
        <f>SUM(AI20+AI23)</f>
        <v>44764.2387504433</v>
      </c>
      <c r="AJ24" s="68">
        <f>SUM(AJ20+AJ23)</f>
        <v>218554.81272275254</v>
      </c>
      <c r="AK24" s="16"/>
      <c r="AL24" s="68">
        <f>SUM(AL20+AL23)</f>
        <v>43176.438750443296</v>
      </c>
      <c r="AM24" s="68">
        <f>SUM(AM20+AM23)</f>
        <v>210802.61272275253</v>
      </c>
      <c r="AN24" s="16"/>
      <c r="AO24" s="68">
        <f>SUM(AO20+AO23)</f>
        <v>41588.63875044329</v>
      </c>
      <c r="AP24" s="68">
        <f>SUM(AP20+AP23)</f>
        <v>203050.41272275255</v>
      </c>
      <c r="AQ24" s="16"/>
      <c r="AR24" s="68">
        <f>SUM(AR20+AR23)</f>
        <v>40000.8387504433</v>
      </c>
      <c r="AS24" s="68">
        <f>SUM(AS20+AS23)</f>
        <v>195298.21272275253</v>
      </c>
      <c r="AT24" s="16"/>
      <c r="AU24" s="68">
        <f>SUM(AU20+AU23)</f>
        <v>38413.038750443295</v>
      </c>
      <c r="AV24" s="68">
        <f>SUM(AV20+AV23)</f>
        <v>187546.01272275255</v>
      </c>
      <c r="AW24" s="184"/>
      <c r="AX24" s="37"/>
      <c r="AY24" s="37"/>
      <c r="AZ24" s="32"/>
      <c r="BA24" s="37"/>
      <c r="BB24" s="37"/>
    </row>
    <row r="25" spans="1:54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84"/>
      <c r="AX25" s="32"/>
      <c r="AY25" s="32"/>
      <c r="AZ25" s="32"/>
      <c r="BA25" s="32"/>
      <c r="BB25" s="32"/>
    </row>
    <row r="26" spans="1:5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84"/>
      <c r="AX26" s="32"/>
      <c r="AY26" s="32"/>
      <c r="AZ26" s="32"/>
      <c r="BA26" s="32"/>
      <c r="BB26" s="32"/>
    </row>
    <row r="27" spans="1:54" ht="15">
      <c r="A27" s="16" t="s">
        <v>45</v>
      </c>
      <c r="B27" s="63">
        <v>0.04</v>
      </c>
      <c r="C27" s="64"/>
      <c r="D27" s="55"/>
      <c r="E27" s="68">
        <f>E24*$B$27</f>
        <v>1136.9818294671993</v>
      </c>
      <c r="F27" s="68">
        <f>F24*$B$27</f>
        <v>5551.146579163385</v>
      </c>
      <c r="G27" s="55"/>
      <c r="H27" s="68">
        <f>H24*$B$27</f>
        <v>2268.6350818927317</v>
      </c>
      <c r="I27" s="68">
        <f>I24*$B$27</f>
        <v>11076.2771645351</v>
      </c>
      <c r="J27" s="55"/>
      <c r="K27" s="68">
        <f>K24*$B$27</f>
        <v>2232.3597034343984</v>
      </c>
      <c r="L27" s="68">
        <f>L24*$B$27</f>
        <v>10899.167963826769</v>
      </c>
      <c r="M27" s="55"/>
      <c r="N27" s="68">
        <f>N24*$B$27</f>
        <v>2202.4052260177323</v>
      </c>
      <c r="O27" s="68">
        <f>O24*$B$27</f>
        <v>10752.919632910101</v>
      </c>
      <c r="P27" s="55"/>
      <c r="Q27" s="68">
        <f>Q24*$B$27</f>
        <v>2171.641550017732</v>
      </c>
      <c r="R27" s="68">
        <f>R24*$B$27</f>
        <v>10602.7205089101</v>
      </c>
      <c r="S27" s="55"/>
      <c r="T27" s="144">
        <f>T24*$B$27</f>
        <v>2108.129550017732</v>
      </c>
      <c r="U27" s="68">
        <f>U24*$B$27</f>
        <v>10292.632508910101</v>
      </c>
      <c r="V27" s="55"/>
      <c r="W27" s="144">
        <f>W24*$B$27</f>
        <v>2044.617550017732</v>
      </c>
      <c r="X27" s="68">
        <f>X24*$B$27</f>
        <v>9982.544508910101</v>
      </c>
      <c r="Y27" s="55"/>
      <c r="Z27" s="144">
        <f>Z24*$B$27</f>
        <v>1981.1055500177317</v>
      </c>
      <c r="AA27" s="68">
        <f>AA24*$B$27</f>
        <v>9672.456508910102</v>
      </c>
      <c r="AB27" s="55"/>
      <c r="AC27" s="144">
        <f>AC24*$B$27</f>
        <v>1917.593550017732</v>
      </c>
      <c r="AD27" s="68">
        <f>AD24*$B$27</f>
        <v>9362.368508910102</v>
      </c>
      <c r="AE27" s="55"/>
      <c r="AF27" s="144">
        <f>AF24*$B$27</f>
        <v>1854.0815500177318</v>
      </c>
      <c r="AG27" s="68">
        <f>AG24*$B$27</f>
        <v>9052.2805089101</v>
      </c>
      <c r="AH27" s="55"/>
      <c r="AI27" s="144">
        <f>AI24*$B$27</f>
        <v>1790.569550017732</v>
      </c>
      <c r="AJ27" s="68">
        <f>AJ24*$B$27</f>
        <v>8742.192508910102</v>
      </c>
      <c r="AK27" s="55"/>
      <c r="AL27" s="144">
        <f>AL24*$B$27</f>
        <v>1727.057550017732</v>
      </c>
      <c r="AM27" s="68">
        <f>AM24*$B$27</f>
        <v>8432.1045089101</v>
      </c>
      <c r="AN27" s="55"/>
      <c r="AO27" s="144">
        <f>AO24*$B$27</f>
        <v>1663.5455500177318</v>
      </c>
      <c r="AP27" s="68">
        <f>AP24*$B$27</f>
        <v>8122.016508910102</v>
      </c>
      <c r="AQ27" s="55"/>
      <c r="AR27" s="144">
        <f>AR24*$B$27</f>
        <v>1600.0335500177318</v>
      </c>
      <c r="AS27" s="68">
        <f>AS24*$B$27</f>
        <v>7811.928508910101</v>
      </c>
      <c r="AT27" s="55"/>
      <c r="AU27" s="144">
        <f>AU24*$B$27</f>
        <v>1536.521550017732</v>
      </c>
      <c r="AV27" s="68">
        <f>AV24*$B$27</f>
        <v>7501.8405089101025</v>
      </c>
      <c r="AW27" s="204"/>
      <c r="AX27" s="89"/>
      <c r="AY27" s="37"/>
      <c r="AZ27" s="33"/>
      <c r="BA27" s="89"/>
      <c r="BB27" s="37"/>
    </row>
    <row r="28" spans="1:54" ht="15">
      <c r="A28" s="16" t="s">
        <v>46</v>
      </c>
      <c r="B28" s="63">
        <v>0.56</v>
      </c>
      <c r="C28" s="64"/>
      <c r="D28" s="69"/>
      <c r="E28" s="68">
        <f>E24*$B$28</f>
        <v>15917.745612540792</v>
      </c>
      <c r="F28" s="68">
        <f>F24*$B$28</f>
        <v>77716.05210828739</v>
      </c>
      <c r="G28" s="69"/>
      <c r="H28" s="68">
        <f>H24*$B$28</f>
        <v>31760.89114649825</v>
      </c>
      <c r="I28" s="68">
        <f>I24*$B$28</f>
        <v>155067.88030349143</v>
      </c>
      <c r="J28" s="69"/>
      <c r="K28" s="68">
        <f>K24*$B$28</f>
        <v>31253.03584808158</v>
      </c>
      <c r="L28" s="68">
        <f>L24*$B$28</f>
        <v>152588.35149357477</v>
      </c>
      <c r="M28" s="69"/>
      <c r="N28" s="68">
        <f>N24*$B$28</f>
        <v>30833.673164248252</v>
      </c>
      <c r="O28" s="68">
        <f>O24*$B$28</f>
        <v>150540.87486074143</v>
      </c>
      <c r="P28" s="69"/>
      <c r="Q28" s="68">
        <f>Q24*$B$28</f>
        <v>30402.98170024825</v>
      </c>
      <c r="R28" s="68">
        <f>R24*$B$28</f>
        <v>148438.08712474143</v>
      </c>
      <c r="S28" s="69"/>
      <c r="T28" s="68">
        <f>T24*$B$28</f>
        <v>29513.81370024825</v>
      </c>
      <c r="U28" s="68">
        <f>U24*$B$28</f>
        <v>144096.85512474144</v>
      </c>
      <c r="V28" s="69"/>
      <c r="W28" s="68">
        <f>W24*$B$28</f>
        <v>28624.64570024825</v>
      </c>
      <c r="X28" s="68">
        <f>X24*$B$28</f>
        <v>139755.62312474143</v>
      </c>
      <c r="Y28" s="69"/>
      <c r="Z28" s="68">
        <f>Z24*$B$28</f>
        <v>27735.477700248248</v>
      </c>
      <c r="AA28" s="68">
        <f>AA24*$B$28</f>
        <v>135414.39112474144</v>
      </c>
      <c r="AB28" s="69"/>
      <c r="AC28" s="68">
        <f>AC24*$B$28</f>
        <v>26846.30970024825</v>
      </c>
      <c r="AD28" s="68">
        <f>AD24*$B$28</f>
        <v>131073.15912474142</v>
      </c>
      <c r="AE28" s="69"/>
      <c r="AF28" s="68">
        <f>AF24*$B$28</f>
        <v>25957.14170024825</v>
      </c>
      <c r="AG28" s="68">
        <f>AG24*$B$28</f>
        <v>126731.92712474143</v>
      </c>
      <c r="AH28" s="69"/>
      <c r="AI28" s="68">
        <f>AI24*$B$28</f>
        <v>25067.97370024825</v>
      </c>
      <c r="AJ28" s="68">
        <f>AJ24*$B$28</f>
        <v>122390.69512474144</v>
      </c>
      <c r="AK28" s="69"/>
      <c r="AL28" s="68">
        <f>AL24*$B$28</f>
        <v>24178.80570024825</v>
      </c>
      <c r="AM28" s="68">
        <f>AM24*$B$28</f>
        <v>118049.46312474142</v>
      </c>
      <c r="AN28" s="69"/>
      <c r="AO28" s="68">
        <f>AO24*$B$28</f>
        <v>23289.637700248248</v>
      </c>
      <c r="AP28" s="68">
        <f>AP24*$B$28</f>
        <v>113708.23112474143</v>
      </c>
      <c r="AQ28" s="69"/>
      <c r="AR28" s="68">
        <f>AR24*$B$28</f>
        <v>22400.46970024825</v>
      </c>
      <c r="AS28" s="68">
        <f>AS24*$B$28</f>
        <v>109366.99912474143</v>
      </c>
      <c r="AT28" s="69"/>
      <c r="AU28" s="68">
        <f>AU24*$B$28</f>
        <v>21511.30170024825</v>
      </c>
      <c r="AV28" s="68">
        <f>AV24*$B$28</f>
        <v>105025.76712474144</v>
      </c>
      <c r="AW28" s="205"/>
      <c r="AX28" s="37"/>
      <c r="AY28" s="37"/>
      <c r="AZ28" s="38"/>
      <c r="BA28" s="37"/>
      <c r="BB28" s="37"/>
    </row>
    <row r="29" spans="1:54" ht="15">
      <c r="A29" s="16" t="s">
        <v>47</v>
      </c>
      <c r="B29" s="63">
        <v>0.4</v>
      </c>
      <c r="C29" s="64"/>
      <c r="D29" s="70"/>
      <c r="E29" s="68">
        <f>E24*$B$29</f>
        <v>11369.818294671993</v>
      </c>
      <c r="F29" s="68">
        <f>F24*$B$29</f>
        <v>55511.46579163385</v>
      </c>
      <c r="G29" s="70"/>
      <c r="H29" s="68">
        <f>H24*$B$29</f>
        <v>22686.35081892732</v>
      </c>
      <c r="I29" s="68">
        <f>I24*$B$29</f>
        <v>110762.77164535102</v>
      </c>
      <c r="J29" s="70"/>
      <c r="K29" s="68">
        <f>K24*$B$29</f>
        <v>22323.597034343984</v>
      </c>
      <c r="L29" s="68">
        <f>L24*$B$29</f>
        <v>108991.67963826768</v>
      </c>
      <c r="M29" s="70"/>
      <c r="N29" s="68">
        <f>N24*$B$29</f>
        <v>22024.052260177323</v>
      </c>
      <c r="O29" s="68">
        <f>O24*$B$29</f>
        <v>107529.19632910102</v>
      </c>
      <c r="P29" s="70"/>
      <c r="Q29" s="68">
        <f>Q24*$B$29</f>
        <v>21716.415500177318</v>
      </c>
      <c r="R29" s="68">
        <f>R24*$B$29</f>
        <v>106027.20508910101</v>
      </c>
      <c r="S29" s="70"/>
      <c r="T29" s="68">
        <f>T24*$B$29</f>
        <v>21081.295500177323</v>
      </c>
      <c r="U29" s="68">
        <f>U24*$B$29</f>
        <v>102926.32508910102</v>
      </c>
      <c r="V29" s="70"/>
      <c r="W29" s="68">
        <f>W24*$B$29</f>
        <v>20446.17550017732</v>
      </c>
      <c r="X29" s="68">
        <f>X24*$B$29</f>
        <v>99825.44508910102</v>
      </c>
      <c r="Y29" s="70"/>
      <c r="Z29" s="68">
        <f>Z24*$B$29</f>
        <v>19811.055500177317</v>
      </c>
      <c r="AA29" s="68">
        <f>AA24*$B$29</f>
        <v>96724.56508910103</v>
      </c>
      <c r="AB29" s="70"/>
      <c r="AC29" s="68">
        <f>AC24*$B$29</f>
        <v>19175.93550017732</v>
      </c>
      <c r="AD29" s="68">
        <f>AD24*$B$29</f>
        <v>93623.68508910103</v>
      </c>
      <c r="AE29" s="70"/>
      <c r="AF29" s="68">
        <f>AF24*$B$29</f>
        <v>18540.81550017732</v>
      </c>
      <c r="AG29" s="68">
        <f>AG24*$B$29</f>
        <v>90522.80508910102</v>
      </c>
      <c r="AH29" s="70"/>
      <c r="AI29" s="68">
        <f>AI24*$B$29</f>
        <v>17905.69550017732</v>
      </c>
      <c r="AJ29" s="68">
        <f>AJ24*$B$29</f>
        <v>87421.92508910102</v>
      </c>
      <c r="AK29" s="70"/>
      <c r="AL29" s="68">
        <f>AL24*$B$29</f>
        <v>17270.575500177318</v>
      </c>
      <c r="AM29" s="68">
        <f>AM24*$B$29</f>
        <v>84321.04508910101</v>
      </c>
      <c r="AN29" s="70"/>
      <c r="AO29" s="68">
        <f>AO24*$B$29</f>
        <v>16635.45550017732</v>
      </c>
      <c r="AP29" s="68">
        <f>AP24*$B$29</f>
        <v>81220.16508910102</v>
      </c>
      <c r="AQ29" s="70"/>
      <c r="AR29" s="68">
        <f>AR24*$B$29</f>
        <v>16000.33550017732</v>
      </c>
      <c r="AS29" s="68">
        <f>AS24*$B$29</f>
        <v>78119.28508910102</v>
      </c>
      <c r="AT29" s="70"/>
      <c r="AU29" s="68">
        <f>AU24*$B$29</f>
        <v>15365.215500177319</v>
      </c>
      <c r="AV29" s="68">
        <f>AV24*$B$29</f>
        <v>75018.40508910103</v>
      </c>
      <c r="AW29" s="205"/>
      <c r="AX29" s="37"/>
      <c r="AY29" s="37"/>
      <c r="AZ29" s="38"/>
      <c r="BA29" s="37"/>
      <c r="BB29" s="37"/>
    </row>
    <row r="30" spans="1:54" ht="15">
      <c r="A30" s="16"/>
      <c r="B30" s="16"/>
      <c r="C30" s="71"/>
      <c r="D30" s="16"/>
      <c r="E30" s="72"/>
      <c r="F30" s="16"/>
      <c r="G30" s="16"/>
      <c r="H30" s="21"/>
      <c r="I30" s="16"/>
      <c r="J30" s="16"/>
      <c r="K30" s="21"/>
      <c r="L30" s="16"/>
      <c r="M30" s="16"/>
      <c r="N30" s="21"/>
      <c r="O30" s="16"/>
      <c r="P30" s="16"/>
      <c r="Q30" s="21"/>
      <c r="R30" s="16"/>
      <c r="S30" s="16"/>
      <c r="T30" s="21"/>
      <c r="U30" s="16"/>
      <c r="V30" s="16"/>
      <c r="W30" s="21"/>
      <c r="X30" s="16"/>
      <c r="Y30" s="16"/>
      <c r="Z30" s="21"/>
      <c r="AA30" s="16"/>
      <c r="AB30" s="16"/>
      <c r="AC30" s="21"/>
      <c r="AD30" s="16"/>
      <c r="AE30" s="16"/>
      <c r="AF30" s="21"/>
      <c r="AG30" s="16"/>
      <c r="AH30" s="16"/>
      <c r="AI30" s="21"/>
      <c r="AJ30" s="16"/>
      <c r="AK30" s="16"/>
      <c r="AL30" s="21"/>
      <c r="AM30" s="16"/>
      <c r="AN30" s="16"/>
      <c r="AO30" s="21"/>
      <c r="AP30" s="16"/>
      <c r="AQ30" s="16"/>
      <c r="AR30" s="21"/>
      <c r="AS30" s="16"/>
      <c r="AT30" s="16"/>
      <c r="AU30" s="21"/>
      <c r="AV30" s="16"/>
      <c r="AW30" s="184"/>
      <c r="AX30" s="34"/>
      <c r="AY30" s="32"/>
      <c r="AZ30" s="32"/>
      <c r="BA30" s="34"/>
      <c r="BB30" s="32"/>
    </row>
    <row r="31" spans="1:54" ht="15">
      <c r="A31" s="16" t="s">
        <v>48</v>
      </c>
      <c r="B31" s="73">
        <v>0.0211</v>
      </c>
      <c r="C31" s="64"/>
      <c r="D31" s="74"/>
      <c r="E31" s="68">
        <f>E27*$B$31</f>
        <v>23.990316601757907</v>
      </c>
      <c r="F31" s="68">
        <f>F27*$B$31</f>
        <v>117.12919282034741</v>
      </c>
      <c r="G31" s="74"/>
      <c r="H31" s="68">
        <f>H27*$B$31</f>
        <v>47.86820022793664</v>
      </c>
      <c r="I31" s="68">
        <f>I27*$B$31</f>
        <v>233.70944817169064</v>
      </c>
      <c r="J31" s="74"/>
      <c r="K31" s="68">
        <f>K27*$B$31</f>
        <v>47.10278974246581</v>
      </c>
      <c r="L31" s="68">
        <f>L27*$B$31</f>
        <v>229.97244403674483</v>
      </c>
      <c r="M31" s="74"/>
      <c r="N31" s="68">
        <f>N27*$B$31</f>
        <v>46.47075026897415</v>
      </c>
      <c r="O31" s="68">
        <f>O27*$B$31</f>
        <v>226.88660425440315</v>
      </c>
      <c r="P31" s="74"/>
      <c r="Q31" s="68">
        <f>Q27*$B$31</f>
        <v>45.82163670537414</v>
      </c>
      <c r="R31" s="68">
        <f>R27*$B$31</f>
        <v>223.71740273800313</v>
      </c>
      <c r="S31" s="74"/>
      <c r="T31" s="68">
        <f>T27*$B$31</f>
        <v>44.481533505374145</v>
      </c>
      <c r="U31" s="68">
        <f>U27*$B$31</f>
        <v>217.17454593800315</v>
      </c>
      <c r="V31" s="74"/>
      <c r="W31" s="68">
        <f>W27*$B$31</f>
        <v>43.14143030537414</v>
      </c>
      <c r="X31" s="68">
        <f>X27*$B$31</f>
        <v>210.63168913800314</v>
      </c>
      <c r="Y31" s="74"/>
      <c r="Z31" s="68">
        <f>Z27*$B$31</f>
        <v>41.80132710537414</v>
      </c>
      <c r="AA31" s="68">
        <f>AA27*$B$31</f>
        <v>204.08883233800316</v>
      </c>
      <c r="AB31" s="74"/>
      <c r="AC31" s="68">
        <f>AC27*$B$31</f>
        <v>40.46122390537415</v>
      </c>
      <c r="AD31" s="68">
        <f>AD27*$B$31</f>
        <v>197.54597553800315</v>
      </c>
      <c r="AE31" s="74"/>
      <c r="AF31" s="68">
        <f>AF27*$B$31</f>
        <v>39.121120705374146</v>
      </c>
      <c r="AG31" s="68">
        <f>AG27*$B$31</f>
        <v>191.0031187380031</v>
      </c>
      <c r="AH31" s="74"/>
      <c r="AI31" s="68">
        <f>AI27*$B$31</f>
        <v>37.781017505374145</v>
      </c>
      <c r="AJ31" s="68">
        <f>AJ27*$B$31</f>
        <v>184.46026193800316</v>
      </c>
      <c r="AK31" s="74"/>
      <c r="AL31" s="68">
        <f>AL27*$B$31</f>
        <v>36.44091430537414</v>
      </c>
      <c r="AM31" s="68">
        <f>AM27*$B$31</f>
        <v>177.91740513800312</v>
      </c>
      <c r="AN31" s="74"/>
      <c r="AO31" s="68">
        <f>AO27*$B$31</f>
        <v>35.10081110537414</v>
      </c>
      <c r="AP31" s="68">
        <f>AP27*$B$31</f>
        <v>171.37454833800317</v>
      </c>
      <c r="AQ31" s="74"/>
      <c r="AR31" s="68">
        <f>AR27*$B$31</f>
        <v>33.76070790537414</v>
      </c>
      <c r="AS31" s="68">
        <f>AS27*$B$31</f>
        <v>164.83169153800316</v>
      </c>
      <c r="AT31" s="74"/>
      <c r="AU31" s="68">
        <f>AU27*$B$31</f>
        <v>32.420604705374146</v>
      </c>
      <c r="AV31" s="68">
        <f>AV27*$B$31</f>
        <v>158.28883473800317</v>
      </c>
      <c r="AW31" s="206"/>
      <c r="AX31" s="37"/>
      <c r="AY31" s="37"/>
      <c r="AZ31" s="207"/>
      <c r="BA31" s="37"/>
      <c r="BB31" s="37"/>
    </row>
    <row r="32" spans="1:54" ht="15">
      <c r="A32" s="16" t="s">
        <v>49</v>
      </c>
      <c r="B32" s="73">
        <v>0.0494</v>
      </c>
      <c r="C32" s="64"/>
      <c r="D32" s="74"/>
      <c r="E32" s="68">
        <f>E28*$B$32</f>
        <v>786.3366332595151</v>
      </c>
      <c r="F32" s="68">
        <f>F28*$B$32</f>
        <v>3839.172974149397</v>
      </c>
      <c r="G32" s="74"/>
      <c r="H32" s="68">
        <f>H28*$B$32</f>
        <v>1568.9880226370135</v>
      </c>
      <c r="I32" s="68">
        <f>I28*$B$32</f>
        <v>7660.353286992477</v>
      </c>
      <c r="J32" s="74"/>
      <c r="K32" s="68">
        <f>K28*$B$32</f>
        <v>1543.8999708952301</v>
      </c>
      <c r="L32" s="68">
        <f>L28*$B$32</f>
        <v>7537.864563782593</v>
      </c>
      <c r="M32" s="74"/>
      <c r="N32" s="68">
        <f>N28*$B$32</f>
        <v>1523.1834543138636</v>
      </c>
      <c r="O32" s="68">
        <f>O28*$B$32</f>
        <v>7436.7192181206265</v>
      </c>
      <c r="P32" s="74"/>
      <c r="Q32" s="68">
        <f>Q28*$B$32</f>
        <v>1501.9072959922635</v>
      </c>
      <c r="R32" s="68">
        <f>R28*$B$32</f>
        <v>7332.841503962227</v>
      </c>
      <c r="S32" s="74"/>
      <c r="T32" s="68">
        <f>T28*$B$32</f>
        <v>1457.9823967922637</v>
      </c>
      <c r="U32" s="68">
        <f>U28*$B$32</f>
        <v>7118.384643162227</v>
      </c>
      <c r="V32" s="74"/>
      <c r="W32" s="68">
        <f>W28*$B$32</f>
        <v>1414.0574975922634</v>
      </c>
      <c r="X32" s="68">
        <f>X28*$B$32</f>
        <v>6903.927782362226</v>
      </c>
      <c r="Y32" s="74"/>
      <c r="Z32" s="68">
        <f>Z28*$B$32</f>
        <v>1370.1325983922634</v>
      </c>
      <c r="AA32" s="68">
        <f>AA28*$B$32</f>
        <v>6689.470921562227</v>
      </c>
      <c r="AB32" s="74"/>
      <c r="AC32" s="68">
        <f>AC28*$B$32</f>
        <v>1326.2076991922636</v>
      </c>
      <c r="AD32" s="68">
        <f>AD28*$B$32</f>
        <v>6475.014060762226</v>
      </c>
      <c r="AE32" s="74"/>
      <c r="AF32" s="68">
        <f>AF28*$B$32</f>
        <v>1282.2827999922636</v>
      </c>
      <c r="AG32" s="68">
        <f>AG28*$B$32</f>
        <v>6260.557199962226</v>
      </c>
      <c r="AH32" s="74"/>
      <c r="AI32" s="68">
        <f>AI28*$B$32</f>
        <v>1238.3579007922635</v>
      </c>
      <c r="AJ32" s="68">
        <f>AJ28*$B$32</f>
        <v>6046.100339162227</v>
      </c>
      <c r="AK32" s="74"/>
      <c r="AL32" s="68">
        <f>AL28*$B$32</f>
        <v>1194.4330015922635</v>
      </c>
      <c r="AM32" s="68">
        <f>AM28*$B$32</f>
        <v>5831.643478362226</v>
      </c>
      <c r="AN32" s="74"/>
      <c r="AO32" s="68">
        <f>AO28*$B$32</f>
        <v>1150.5081023922635</v>
      </c>
      <c r="AP32" s="68">
        <f>AP28*$B$32</f>
        <v>5617.186617562226</v>
      </c>
      <c r="AQ32" s="74"/>
      <c r="AR32" s="68">
        <f>AR28*$B$32</f>
        <v>1106.5832031922635</v>
      </c>
      <c r="AS32" s="68">
        <f>AS28*$B$32</f>
        <v>5402.729756762226</v>
      </c>
      <c r="AT32" s="74"/>
      <c r="AU32" s="68">
        <f>AU28*$B$32</f>
        <v>1062.6583039922634</v>
      </c>
      <c r="AV32" s="68">
        <f>AV28*$B$32</f>
        <v>5188.272895962227</v>
      </c>
      <c r="AW32" s="206"/>
      <c r="AX32" s="37"/>
      <c r="AY32" s="37"/>
      <c r="AZ32" s="207"/>
      <c r="BA32" s="37"/>
      <c r="BB32" s="37"/>
    </row>
    <row r="33" spans="1:54" ht="15">
      <c r="A33" s="16" t="s">
        <v>50</v>
      </c>
      <c r="B33" s="73">
        <v>0.0936</v>
      </c>
      <c r="C33" s="64"/>
      <c r="D33" s="74"/>
      <c r="E33" s="68">
        <f>E29*$B$33</f>
        <v>1064.2149923812985</v>
      </c>
      <c r="F33" s="66">
        <f>F29*$B$33</f>
        <v>5195.873198096929</v>
      </c>
      <c r="G33" s="74"/>
      <c r="H33" s="68">
        <f>H29*$B$33</f>
        <v>2123.4424366515973</v>
      </c>
      <c r="I33" s="66">
        <f>I29*$B$33</f>
        <v>10367.395426004856</v>
      </c>
      <c r="J33" s="74"/>
      <c r="K33" s="68">
        <f>K29*$B$33</f>
        <v>2089.488682414597</v>
      </c>
      <c r="L33" s="66">
        <f>L29*$B$33</f>
        <v>10201.621214141856</v>
      </c>
      <c r="M33" s="74"/>
      <c r="N33" s="68">
        <f>N29*$B$33</f>
        <v>2061.4512915525975</v>
      </c>
      <c r="O33" s="66">
        <f>O29*$B$33</f>
        <v>10064.732776403856</v>
      </c>
      <c r="P33" s="74"/>
      <c r="Q33" s="68">
        <f>Q29*$B$33</f>
        <v>2032.656490816597</v>
      </c>
      <c r="R33" s="66">
        <f>R29*$B$33</f>
        <v>9924.146396339855</v>
      </c>
      <c r="S33" s="74"/>
      <c r="T33" s="68">
        <f>T29*$B$33</f>
        <v>1973.2092588165974</v>
      </c>
      <c r="U33" s="66">
        <f>U29*$B$33</f>
        <v>9633.904028339855</v>
      </c>
      <c r="V33" s="74"/>
      <c r="W33" s="68">
        <f>W29*$B$33</f>
        <v>1913.7620268165972</v>
      </c>
      <c r="X33" s="66">
        <f>X29*$B$33</f>
        <v>9343.661660339856</v>
      </c>
      <c r="Y33" s="74"/>
      <c r="Z33" s="68">
        <f>Z29*$B$33</f>
        <v>1854.314794816597</v>
      </c>
      <c r="AA33" s="66">
        <f>AA29*$B$33</f>
        <v>9053.419292339857</v>
      </c>
      <c r="AB33" s="74"/>
      <c r="AC33" s="68">
        <f>AC29*$B$33</f>
        <v>1794.867562816597</v>
      </c>
      <c r="AD33" s="66">
        <f>AD29*$B$33</f>
        <v>8763.176924339856</v>
      </c>
      <c r="AE33" s="74"/>
      <c r="AF33" s="68">
        <f>AF29*$B$33</f>
        <v>1735.4203308165972</v>
      </c>
      <c r="AG33" s="66">
        <f>AG29*$B$33</f>
        <v>8472.934556339856</v>
      </c>
      <c r="AH33" s="74"/>
      <c r="AI33" s="68">
        <f>AI29*$B$33</f>
        <v>1675.9730988165973</v>
      </c>
      <c r="AJ33" s="66">
        <f>AJ29*$B$33</f>
        <v>8182.692188339855</v>
      </c>
      <c r="AK33" s="74"/>
      <c r="AL33" s="68">
        <f>AL29*$B$33</f>
        <v>1616.525866816597</v>
      </c>
      <c r="AM33" s="66">
        <f>AM29*$B$33</f>
        <v>7892.449820339855</v>
      </c>
      <c r="AN33" s="74"/>
      <c r="AO33" s="68">
        <f>AO29*$B$33</f>
        <v>1557.078634816597</v>
      </c>
      <c r="AP33" s="66">
        <f>AP29*$B$33</f>
        <v>7602.207452339856</v>
      </c>
      <c r="AQ33" s="74"/>
      <c r="AR33" s="68">
        <f>AR29*$B$33</f>
        <v>1497.631402816597</v>
      </c>
      <c r="AS33" s="66">
        <f>AS29*$B$33</f>
        <v>7311.965084339855</v>
      </c>
      <c r="AT33" s="74"/>
      <c r="AU33" s="68">
        <f>AU29*$B$33</f>
        <v>1438.184170816597</v>
      </c>
      <c r="AV33" s="66">
        <f>AV29*$B$33</f>
        <v>7021.722716339857</v>
      </c>
      <c r="AW33" s="206"/>
      <c r="AX33" s="37"/>
      <c r="AY33" s="37"/>
      <c r="AZ33" s="207"/>
      <c r="BA33" s="37"/>
      <c r="BB33" s="37"/>
    </row>
    <row r="34" spans="1:54" ht="15">
      <c r="A34" s="75" t="s">
        <v>51</v>
      </c>
      <c r="B34" s="16"/>
      <c r="C34" s="64"/>
      <c r="D34" s="16"/>
      <c r="E34" s="76">
        <f>SUM(E31:E33)</f>
        <v>1874.5419422425716</v>
      </c>
      <c r="F34" s="76">
        <f>SUM(F31:F33)</f>
        <v>9152.175365066672</v>
      </c>
      <c r="G34" s="16"/>
      <c r="H34" s="76">
        <f>SUM(H31:H33)</f>
        <v>3740.2986595165476</v>
      </c>
      <c r="I34" s="76">
        <f>SUM(I31:I33)</f>
        <v>18261.458161169023</v>
      </c>
      <c r="J34" s="16"/>
      <c r="K34" s="76">
        <f>SUM(K31:K33)</f>
        <v>3680.491443052293</v>
      </c>
      <c r="L34" s="76">
        <f>SUM(L31:L33)</f>
        <v>17969.458221961195</v>
      </c>
      <c r="M34" s="16"/>
      <c r="N34" s="76">
        <f>SUM(N31:N33)</f>
        <v>3631.1054961354353</v>
      </c>
      <c r="O34" s="76">
        <f>SUM(O31:O33)</f>
        <v>17728.338598778886</v>
      </c>
      <c r="P34" s="16"/>
      <c r="Q34" s="76">
        <f>SUM(Q31:Q33)</f>
        <v>3580.3854235142344</v>
      </c>
      <c r="R34" s="76">
        <f>SUM(R31:R33)</f>
        <v>17480.705303040086</v>
      </c>
      <c r="S34" s="16"/>
      <c r="T34" s="76">
        <f>SUM(T31:T33)</f>
        <v>3475.6731891142354</v>
      </c>
      <c r="U34" s="76">
        <f>SUM(U31:U33)</f>
        <v>16969.463217440087</v>
      </c>
      <c r="V34" s="16"/>
      <c r="W34" s="76">
        <f>SUM(W31:W33)</f>
        <v>3370.9609547142345</v>
      </c>
      <c r="X34" s="76">
        <f>SUM(X31:X33)</f>
        <v>16458.221131840084</v>
      </c>
      <c r="Y34" s="16"/>
      <c r="Z34" s="76">
        <f>SUM(Z31:Z33)</f>
        <v>3266.2487203142346</v>
      </c>
      <c r="AA34" s="76">
        <f>SUM(AA31:AA33)</f>
        <v>15946.979046240087</v>
      </c>
      <c r="AB34" s="16"/>
      <c r="AC34" s="76">
        <f>SUM(AC31:AC33)</f>
        <v>3161.5364859142346</v>
      </c>
      <c r="AD34" s="76">
        <f>SUM(AD31:AD33)</f>
        <v>15435.736960640086</v>
      </c>
      <c r="AE34" s="16"/>
      <c r="AF34" s="76">
        <f>SUM(AF31:AF33)</f>
        <v>3056.8242515142347</v>
      </c>
      <c r="AG34" s="76">
        <f>SUM(AG31:AG33)</f>
        <v>14924.494875040085</v>
      </c>
      <c r="AH34" s="16"/>
      <c r="AI34" s="76">
        <f>SUM(AI31:AI33)</f>
        <v>2952.1120171142347</v>
      </c>
      <c r="AJ34" s="76">
        <f>SUM(AJ31:AJ33)</f>
        <v>14413.252789440085</v>
      </c>
      <c r="AK34" s="16"/>
      <c r="AL34" s="76">
        <f>SUM(AL31:AL33)</f>
        <v>2847.399782714235</v>
      </c>
      <c r="AM34" s="76">
        <f>SUM(AM31:AM33)</f>
        <v>13902.010703840086</v>
      </c>
      <c r="AN34" s="16"/>
      <c r="AO34" s="76">
        <f>SUM(AO31:AO33)</f>
        <v>2742.687548314235</v>
      </c>
      <c r="AP34" s="76">
        <f>SUM(AP31:AP33)</f>
        <v>13390.768618240087</v>
      </c>
      <c r="AQ34" s="16"/>
      <c r="AR34" s="76">
        <f>SUM(AR31:AR33)</f>
        <v>2637.975313914235</v>
      </c>
      <c r="AS34" s="76">
        <f>SUM(AS31:AS33)</f>
        <v>12879.526532640084</v>
      </c>
      <c r="AT34" s="16"/>
      <c r="AU34" s="76">
        <f>SUM(AU31:AU33)</f>
        <v>2533.263079514235</v>
      </c>
      <c r="AV34" s="76">
        <f>SUM(AV31:AV33)</f>
        <v>12368.284447040087</v>
      </c>
      <c r="AW34" s="184"/>
      <c r="AX34" s="37"/>
      <c r="AY34" s="37"/>
      <c r="AZ34" s="32"/>
      <c r="BA34" s="37"/>
      <c r="BB34" s="37"/>
    </row>
    <row r="35" spans="1:54" ht="15">
      <c r="A35" s="16"/>
      <c r="B35" s="16"/>
      <c r="C35" s="7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84"/>
      <c r="AX35" s="32"/>
      <c r="AY35" s="32"/>
      <c r="AZ35" s="32"/>
      <c r="BA35" s="32"/>
      <c r="BB35" s="32"/>
    </row>
    <row r="36" spans="1:54" ht="15">
      <c r="A36" s="16" t="s">
        <v>52</v>
      </c>
      <c r="B36" s="16"/>
      <c r="C36" s="78"/>
      <c r="D36" s="16"/>
      <c r="E36" s="79">
        <f>E21+E22</f>
        <v>0</v>
      </c>
      <c r="F36" s="68">
        <f>F22</f>
        <v>0</v>
      </c>
      <c r="G36" s="16"/>
      <c r="H36" s="79">
        <f>H21+H22</f>
        <v>0</v>
      </c>
      <c r="I36" s="68">
        <f>I22</f>
        <v>0</v>
      </c>
      <c r="J36" s="16"/>
      <c r="K36" s="79">
        <f>K21+K22</f>
        <v>0</v>
      </c>
      <c r="L36" s="68">
        <f>L22</f>
        <v>0</v>
      </c>
      <c r="M36" s="48"/>
      <c r="N36" s="79">
        <f>N21+N22</f>
        <v>0</v>
      </c>
      <c r="O36" s="68">
        <f>O22</f>
        <v>0</v>
      </c>
      <c r="P36" s="16"/>
      <c r="Q36" s="79">
        <f>Q21+Q22</f>
        <v>0</v>
      </c>
      <c r="R36" s="79">
        <f>R22</f>
        <v>0</v>
      </c>
      <c r="S36" s="16"/>
      <c r="T36" s="79">
        <f>T21+T22</f>
        <v>0</v>
      </c>
      <c r="U36" s="79">
        <f>U22</f>
        <v>0</v>
      </c>
      <c r="V36" s="16"/>
      <c r="W36" s="79">
        <f>W21+W22</f>
        <v>0</v>
      </c>
      <c r="X36" s="79">
        <f>X22</f>
        <v>0</v>
      </c>
      <c r="Y36" s="16"/>
      <c r="Z36" s="79">
        <f>Z21+Z22</f>
        <v>0</v>
      </c>
      <c r="AA36" s="79">
        <f>AA22</f>
        <v>0</v>
      </c>
      <c r="AB36" s="16"/>
      <c r="AC36" s="79">
        <f>AC21+AC22</f>
        <v>0</v>
      </c>
      <c r="AD36" s="79">
        <f>AD22</f>
        <v>0</v>
      </c>
      <c r="AE36" s="16"/>
      <c r="AF36" s="79">
        <f>AF21+AF22</f>
        <v>0</v>
      </c>
      <c r="AG36" s="79">
        <f>AG22</f>
        <v>0</v>
      </c>
      <c r="AH36" s="16"/>
      <c r="AI36" s="79">
        <f>AI21+AI22</f>
        <v>0</v>
      </c>
      <c r="AJ36" s="79">
        <f>AJ22</f>
        <v>0</v>
      </c>
      <c r="AK36" s="16"/>
      <c r="AL36" s="79">
        <f>AL21+AL22</f>
        <v>0</v>
      </c>
      <c r="AM36" s="79">
        <f>AM22</f>
        <v>0</v>
      </c>
      <c r="AN36" s="16"/>
      <c r="AO36" s="79">
        <f>AO21+AO22</f>
        <v>0</v>
      </c>
      <c r="AP36" s="79">
        <f>AP22</f>
        <v>0</v>
      </c>
      <c r="AQ36" s="16"/>
      <c r="AR36" s="79">
        <f>AR21+AR22</f>
        <v>0</v>
      </c>
      <c r="AS36" s="79">
        <f>AS22</f>
        <v>0</v>
      </c>
      <c r="AT36" s="16"/>
      <c r="AU36" s="79">
        <f>AU21+AU22</f>
        <v>0</v>
      </c>
      <c r="AV36" s="79">
        <f>AV22</f>
        <v>0</v>
      </c>
      <c r="AW36" s="184"/>
      <c r="AX36" s="37"/>
      <c r="AY36" s="37"/>
      <c r="AZ36" s="32"/>
      <c r="BA36" s="37"/>
      <c r="BB36" s="37"/>
    </row>
    <row r="37" spans="1:54" ht="15">
      <c r="A37" s="16" t="s">
        <v>53</v>
      </c>
      <c r="B37" s="80"/>
      <c r="C37" s="64"/>
      <c r="D37" s="21">
        <f>D77</f>
        <v>4491.549568470918</v>
      </c>
      <c r="E37" s="68">
        <f>D37*E$19</f>
        <v>763.563426640056</v>
      </c>
      <c r="F37" s="68">
        <f>D37*F$19</f>
        <v>3727.9861418308615</v>
      </c>
      <c r="G37" s="81">
        <f>E75+E76</f>
        <v>9008.97854166667</v>
      </c>
      <c r="H37" s="68">
        <f>G37*H$19</f>
        <v>1531.526352083334</v>
      </c>
      <c r="I37" s="68">
        <f>G37*I$19</f>
        <v>7477.452189583335</v>
      </c>
      <c r="J37" s="81">
        <f>F75+F76</f>
        <v>9102.00041666667</v>
      </c>
      <c r="K37" s="68">
        <f>J37*K$19</f>
        <v>1547.3400708333338</v>
      </c>
      <c r="L37" s="68">
        <f>J37*L$19</f>
        <v>7554.660345833336</v>
      </c>
      <c r="M37" s="81">
        <f>G75+G76</f>
        <v>9220.6</v>
      </c>
      <c r="N37" s="68">
        <f>M37*N$19</f>
        <v>1567.5020000000002</v>
      </c>
      <c r="O37" s="68">
        <f>M37*O$19</f>
        <v>7653.098</v>
      </c>
      <c r="P37" s="81">
        <f>H75+H76</f>
        <v>9340</v>
      </c>
      <c r="Q37" s="144">
        <f>P37*Q$19</f>
        <v>1587.8000000000002</v>
      </c>
      <c r="R37" s="68">
        <f>P37*R$19</f>
        <v>7752.2</v>
      </c>
      <c r="S37" s="81">
        <f>I75+I76</f>
        <v>9340</v>
      </c>
      <c r="T37" s="68">
        <f>S37*T$19</f>
        <v>1587.8000000000002</v>
      </c>
      <c r="U37" s="68">
        <f>S37*U$19</f>
        <v>7752.2</v>
      </c>
      <c r="V37" s="81">
        <f>J75+J76</f>
        <v>9340</v>
      </c>
      <c r="W37" s="68">
        <f>V37*W$19</f>
        <v>1587.8000000000002</v>
      </c>
      <c r="X37" s="68">
        <f>V37*X$19</f>
        <v>7752.2</v>
      </c>
      <c r="Y37" s="81">
        <f>K75+K76</f>
        <v>9340</v>
      </c>
      <c r="Z37" s="68">
        <f>Y37*Z$19</f>
        <v>1587.8000000000002</v>
      </c>
      <c r="AA37" s="68">
        <f>Y37*AA$19</f>
        <v>7752.2</v>
      </c>
      <c r="AB37" s="81">
        <f>L75+L76</f>
        <v>9340</v>
      </c>
      <c r="AC37" s="68">
        <f>AB37*AC$19</f>
        <v>1587.8000000000002</v>
      </c>
      <c r="AD37" s="68">
        <f>AB37*AD$19</f>
        <v>7752.2</v>
      </c>
      <c r="AE37" s="81">
        <f>M75+M76</f>
        <v>9340</v>
      </c>
      <c r="AF37" s="68">
        <f>AE37*AF$19</f>
        <v>1587.8000000000002</v>
      </c>
      <c r="AG37" s="68">
        <f>AE37*AG$19</f>
        <v>7752.2</v>
      </c>
      <c r="AH37" s="81">
        <f>N75+N76</f>
        <v>9340</v>
      </c>
      <c r="AI37" s="68">
        <f>AH37*AI$19</f>
        <v>1587.8000000000002</v>
      </c>
      <c r="AJ37" s="68">
        <f>AH37*AJ$19</f>
        <v>7752.2</v>
      </c>
      <c r="AK37" s="81">
        <f>O75+O76</f>
        <v>9340</v>
      </c>
      <c r="AL37" s="68">
        <f>AK37*AL$19</f>
        <v>1587.8000000000002</v>
      </c>
      <c r="AM37" s="68">
        <f>AK37*AM$19</f>
        <v>7752.2</v>
      </c>
      <c r="AN37" s="81">
        <f>P75+P76</f>
        <v>9340</v>
      </c>
      <c r="AO37" s="68">
        <f>AN37*AO$19</f>
        <v>1587.8000000000002</v>
      </c>
      <c r="AP37" s="68">
        <f>AN37*AP$19</f>
        <v>7752.2</v>
      </c>
      <c r="AQ37" s="81">
        <f>Q75+Q76</f>
        <v>9340</v>
      </c>
      <c r="AR37" s="68">
        <f>AQ37*AR$19</f>
        <v>1587.8000000000002</v>
      </c>
      <c r="AS37" s="68">
        <f>AQ37*AS$19</f>
        <v>7752.2</v>
      </c>
      <c r="AT37" s="81">
        <f>R75+R76</f>
        <v>9340</v>
      </c>
      <c r="AU37" s="68">
        <f>AT37*AU$19</f>
        <v>1587.8000000000002</v>
      </c>
      <c r="AV37" s="68">
        <f>AT37*AV$19</f>
        <v>7752.2</v>
      </c>
      <c r="AW37" s="208"/>
      <c r="AX37" s="37"/>
      <c r="AY37" s="37"/>
      <c r="AZ37" s="40"/>
      <c r="BA37" s="37"/>
      <c r="BB37" s="37"/>
    </row>
    <row r="38" spans="1:54" ht="15">
      <c r="A38" s="16" t="s">
        <v>54</v>
      </c>
      <c r="B38" s="80"/>
      <c r="C38" s="82"/>
      <c r="D38" s="16"/>
      <c r="E38" s="21">
        <f>E65</f>
        <v>-171.8814434004642</v>
      </c>
      <c r="F38" s="21">
        <f>F65</f>
        <v>-839.1858707199133</v>
      </c>
      <c r="G38" s="80"/>
      <c r="H38" s="21">
        <f>H65</f>
        <v>-295.74973742863125</v>
      </c>
      <c r="I38" s="21">
        <f>I65</f>
        <v>-1443.954600386846</v>
      </c>
      <c r="J38" s="80"/>
      <c r="K38" s="21">
        <f>K65</f>
        <v>-191.45275786682268</v>
      </c>
      <c r="L38" s="21">
        <f>L65</f>
        <v>-934.7399354674272</v>
      </c>
      <c r="M38" s="80"/>
      <c r="N38" s="21">
        <f>N65</f>
        <v>-97.39868785027579</v>
      </c>
      <c r="O38" s="21">
        <f>O65</f>
        <v>-475.53477009252435</v>
      </c>
      <c r="P38" s="80"/>
      <c r="Q38" s="21">
        <f>Q65</f>
        <v>-11.320119807458083</v>
      </c>
      <c r="R38" s="21">
        <f>R65</f>
        <v>-55.26882023641275</v>
      </c>
      <c r="S38" s="80"/>
      <c r="T38" s="21">
        <f>T65</f>
        <v>72.57890627416171</v>
      </c>
      <c r="U38" s="21">
        <f>U65</f>
        <v>354.35583651502475</v>
      </c>
      <c r="V38" s="80"/>
      <c r="W38" s="21">
        <f>W65</f>
        <v>148.05134180884374</v>
      </c>
      <c r="X38" s="21">
        <f>X65</f>
        <v>722.8389041255305</v>
      </c>
      <c r="Y38" s="80"/>
      <c r="Z38" s="21">
        <f>Z65</f>
        <v>215.77131404034247</v>
      </c>
      <c r="AA38" s="21">
        <f>AA65</f>
        <v>1053.4717097263785</v>
      </c>
      <c r="AB38" s="80"/>
      <c r="AC38" s="21">
        <f>AC65</f>
        <v>351.81839684077295</v>
      </c>
      <c r="AD38" s="21">
        <f>AD65</f>
        <v>1717.7015845755384</v>
      </c>
      <c r="AE38" s="80"/>
      <c r="AF38" s="21">
        <f>AF65</f>
        <v>522.4357954868317</v>
      </c>
      <c r="AG38" s="21">
        <f>AG65</f>
        <v>2550.715942671002</v>
      </c>
      <c r="AH38" s="80"/>
      <c r="AI38" s="21">
        <f>AI65</f>
        <v>1176.7345186209502</v>
      </c>
      <c r="AJ38" s="21">
        <f>AJ65</f>
        <v>5745.233237972873</v>
      </c>
      <c r="AK38" s="80"/>
      <c r="AL38" s="21">
        <f>AL65</f>
        <v>1155.301162865848</v>
      </c>
      <c r="AM38" s="21">
        <f>AM65</f>
        <v>5640.588030462669</v>
      </c>
      <c r="AN38" s="80"/>
      <c r="AO38" s="21">
        <f>AO65</f>
        <v>1133.867807110746</v>
      </c>
      <c r="AP38" s="21">
        <f>AP65</f>
        <v>5535.942822952466</v>
      </c>
      <c r="AQ38" s="80"/>
      <c r="AR38" s="21">
        <f>AR65</f>
        <v>1112.434451355644</v>
      </c>
      <c r="AS38" s="21">
        <f>AS65</f>
        <v>5431.29761544226</v>
      </c>
      <c r="AT38" s="80"/>
      <c r="AU38" s="21">
        <f>AU65</f>
        <v>1091.001095600542</v>
      </c>
      <c r="AV38" s="21">
        <f>AV65</f>
        <v>5326.652407932058</v>
      </c>
      <c r="AW38" s="209"/>
      <c r="AX38" s="34"/>
      <c r="AY38" s="34"/>
      <c r="AZ38" s="39"/>
      <c r="BA38" s="34"/>
      <c r="BB38" s="34"/>
    </row>
    <row r="39" spans="1:54" ht="15">
      <c r="A39" s="16"/>
      <c r="B39" s="16"/>
      <c r="C39" s="7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84"/>
      <c r="AX39" s="32"/>
      <c r="AY39" s="32"/>
      <c r="AZ39" s="32"/>
      <c r="BA39" s="32"/>
      <c r="BB39" s="32"/>
    </row>
    <row r="40" spans="1:54" ht="15.75" thickBot="1">
      <c r="A40" s="3" t="s">
        <v>55</v>
      </c>
      <c r="B40" s="16"/>
      <c r="C40" s="64"/>
      <c r="D40" s="16"/>
      <c r="E40" s="83">
        <f>SUM(E34:E38)</f>
        <v>2466.2239254821634</v>
      </c>
      <c r="F40" s="83">
        <f>SUM(F34:F38)</f>
        <v>12040.97563617762</v>
      </c>
      <c r="G40" s="16"/>
      <c r="H40" s="83">
        <f>SUM(H34:H38)</f>
        <v>4976.07527417125</v>
      </c>
      <c r="I40" s="83">
        <f>SUM(I34:I38)</f>
        <v>24294.955750365512</v>
      </c>
      <c r="J40" s="16"/>
      <c r="K40" s="83">
        <f>SUM(K34:K38)</f>
        <v>5036.378756018804</v>
      </c>
      <c r="L40" s="83">
        <f>SUM(L34:L38)</f>
        <v>24589.378632327105</v>
      </c>
      <c r="M40" s="16"/>
      <c r="N40" s="83">
        <f>SUM(N34:N38)</f>
        <v>5101.20880828516</v>
      </c>
      <c r="O40" s="83">
        <f>SUM(O34:O38)</f>
        <v>24905.90182868636</v>
      </c>
      <c r="P40" s="16"/>
      <c r="Q40" s="83">
        <f>SUM(Q34:Q38)</f>
        <v>5156.865303706776</v>
      </c>
      <c r="R40" s="83">
        <f>SUM(R34:R38)</f>
        <v>25177.636482803675</v>
      </c>
      <c r="S40" s="16"/>
      <c r="T40" s="83">
        <f>SUM(T34:T38)</f>
        <v>5136.052095388397</v>
      </c>
      <c r="U40" s="83">
        <f>SUM(U34:U38)</f>
        <v>25076.01905395511</v>
      </c>
      <c r="V40" s="16"/>
      <c r="W40" s="83">
        <f>SUM(W34:W38)</f>
        <v>5106.812296523079</v>
      </c>
      <c r="X40" s="83">
        <f>SUM(X34:X38)</f>
        <v>24933.260035965613</v>
      </c>
      <c r="Y40" s="16"/>
      <c r="Z40" s="83">
        <f>SUM(Z34:Z38)</f>
        <v>5069.820034354577</v>
      </c>
      <c r="AA40" s="83">
        <f>SUM(AA34:AA38)</f>
        <v>24752.650755966464</v>
      </c>
      <c r="AB40" s="16"/>
      <c r="AC40" s="83">
        <f>SUM(AC34:AC38)</f>
        <v>5101.154882755008</v>
      </c>
      <c r="AD40" s="83">
        <f>SUM(AD34:AD38)</f>
        <v>24905.638545215625</v>
      </c>
      <c r="AE40" s="16"/>
      <c r="AF40" s="83">
        <f>SUM(AF34:AF38)</f>
        <v>5167.060047001067</v>
      </c>
      <c r="AG40" s="83">
        <f>SUM(AG34:AG38)</f>
        <v>25227.410817711087</v>
      </c>
      <c r="AH40" s="16"/>
      <c r="AI40" s="83">
        <f>SUM(AI34:AI38)</f>
        <v>5716.646535735185</v>
      </c>
      <c r="AJ40" s="83">
        <f>SUM(AJ34:AJ38)</f>
        <v>27910.686027412958</v>
      </c>
      <c r="AK40" s="16"/>
      <c r="AL40" s="83">
        <f>SUM(AL34:AL38)</f>
        <v>5590.500945580083</v>
      </c>
      <c r="AM40" s="83">
        <f>SUM(AM34:AM38)</f>
        <v>27294.798734302756</v>
      </c>
      <c r="AN40" s="16"/>
      <c r="AO40" s="83">
        <f>SUM(AO34:AO38)</f>
        <v>5464.355355424981</v>
      </c>
      <c r="AP40" s="83">
        <f>SUM(AP34:AP38)</f>
        <v>26678.911441192555</v>
      </c>
      <c r="AQ40" s="16"/>
      <c r="AR40" s="83">
        <f>SUM(AR34:AR38)</f>
        <v>5338.209765269879</v>
      </c>
      <c r="AS40" s="83">
        <f>SUM(AS34:AS38)</f>
        <v>26063.024148082346</v>
      </c>
      <c r="AT40" s="16"/>
      <c r="AU40" s="83">
        <f>SUM(AU34:AU38)</f>
        <v>5212.064175114777</v>
      </c>
      <c r="AV40" s="83">
        <f>SUM(AV34:AV38)</f>
        <v>25447.136854972145</v>
      </c>
      <c r="AW40" s="184"/>
      <c r="AX40" s="37"/>
      <c r="AY40" s="37"/>
      <c r="AZ40" s="32"/>
      <c r="BA40" s="37"/>
      <c r="BB40" s="37"/>
    </row>
    <row r="41" spans="1:54" ht="15">
      <c r="A41" s="16"/>
      <c r="B41" s="16"/>
      <c r="C41" s="64"/>
      <c r="D41" s="16"/>
      <c r="E41" s="64"/>
      <c r="F41" s="64"/>
      <c r="G41" s="16"/>
      <c r="H41" s="64"/>
      <c r="I41" s="64"/>
      <c r="J41" s="16"/>
      <c r="K41" s="64"/>
      <c r="L41" s="64"/>
      <c r="M41" s="16"/>
      <c r="N41" s="64"/>
      <c r="O41" s="64"/>
      <c r="P41" s="16"/>
      <c r="Q41" s="64"/>
      <c r="R41" s="64"/>
      <c r="S41" s="16"/>
      <c r="T41" s="64"/>
      <c r="U41" s="64"/>
      <c r="V41" s="16"/>
      <c r="W41" s="64"/>
      <c r="X41" s="64"/>
      <c r="Y41" s="16"/>
      <c r="Z41" s="64"/>
      <c r="AA41" s="64"/>
      <c r="AB41" s="16"/>
      <c r="AC41" s="64"/>
      <c r="AD41" s="64"/>
      <c r="AE41" s="16"/>
      <c r="AF41" s="64"/>
      <c r="AG41" s="64"/>
      <c r="AH41" s="16"/>
      <c r="AI41" s="64"/>
      <c r="AJ41" s="64"/>
      <c r="AK41" s="16"/>
      <c r="AL41" s="64"/>
      <c r="AM41" s="64"/>
      <c r="AN41" s="16"/>
      <c r="AO41" s="64"/>
      <c r="AP41" s="64"/>
      <c r="AQ41" s="16"/>
      <c r="AR41" s="64"/>
      <c r="AS41" s="64"/>
      <c r="AT41" s="16"/>
      <c r="AU41" s="64"/>
      <c r="AV41" s="64"/>
      <c r="AW41" s="184"/>
      <c r="AX41" s="37"/>
      <c r="AY41" s="37"/>
      <c r="AZ41" s="32"/>
      <c r="BA41" s="37"/>
      <c r="BB41" s="37"/>
    </row>
    <row r="42" spans="1:54" ht="15">
      <c r="A42" s="16"/>
      <c r="B42" s="84"/>
      <c r="C42" s="68"/>
      <c r="D42" s="16"/>
      <c r="E42" s="68"/>
      <c r="F42" s="32"/>
      <c r="G42" s="68"/>
      <c r="H42" s="16"/>
      <c r="I42" s="68"/>
      <c r="J42" s="68"/>
      <c r="K42" s="16"/>
      <c r="L42" s="68"/>
      <c r="M42" s="68"/>
      <c r="N42" s="16"/>
      <c r="O42" s="68"/>
      <c r="P42" s="68"/>
      <c r="Q42" s="16"/>
      <c r="R42" s="68"/>
      <c r="S42" s="68"/>
      <c r="T42" s="16"/>
      <c r="U42" s="68"/>
      <c r="V42" s="68"/>
      <c r="W42" s="16"/>
      <c r="X42" s="68"/>
      <c r="Y42" s="68"/>
      <c r="Z42" s="16"/>
      <c r="AA42" s="68"/>
      <c r="AB42" s="68"/>
      <c r="AC42" s="16"/>
      <c r="AD42" s="68"/>
      <c r="AE42" s="68"/>
      <c r="AF42" s="16"/>
      <c r="AG42" s="68"/>
      <c r="AH42" s="68"/>
      <c r="AI42" s="16"/>
      <c r="AJ42" s="68"/>
      <c r="AK42" s="68"/>
      <c r="AL42" s="16"/>
      <c r="AM42" s="68"/>
      <c r="AN42" s="68"/>
      <c r="AO42" s="16"/>
      <c r="AP42" s="68"/>
      <c r="AQ42" s="68"/>
      <c r="AR42" s="16"/>
      <c r="AS42" s="68"/>
      <c r="AT42" s="68"/>
      <c r="AU42" s="16"/>
      <c r="AV42" s="68"/>
      <c r="AW42" s="210"/>
      <c r="AX42" s="32"/>
      <c r="AY42" s="37"/>
      <c r="AZ42" s="37"/>
      <c r="BA42" s="32"/>
      <c r="BB42" s="37"/>
    </row>
    <row r="43" spans="1:54" ht="15">
      <c r="A43" s="16" t="s">
        <v>56</v>
      </c>
      <c r="B43" s="84"/>
      <c r="C43" s="68"/>
      <c r="D43" s="16"/>
      <c r="E43" s="68"/>
      <c r="F43" s="85">
        <f>F40</f>
        <v>12040.97563617762</v>
      </c>
      <c r="G43" s="68"/>
      <c r="H43" s="16"/>
      <c r="I43" s="85">
        <f>I40</f>
        <v>24294.955750365512</v>
      </c>
      <c r="J43" s="68"/>
      <c r="K43" s="16"/>
      <c r="L43" s="85">
        <f>L40</f>
        <v>24589.378632327105</v>
      </c>
      <c r="M43" s="68"/>
      <c r="N43" s="16"/>
      <c r="O43" s="85">
        <f>O40</f>
        <v>24905.90182868636</v>
      </c>
      <c r="P43" s="68"/>
      <c r="Q43" s="16"/>
      <c r="R43" s="85">
        <f>R40</f>
        <v>25177.636482803675</v>
      </c>
      <c r="S43" s="68"/>
      <c r="T43" s="16"/>
      <c r="U43" s="85">
        <f>U40</f>
        <v>25076.01905395511</v>
      </c>
      <c r="V43" s="68"/>
      <c r="W43" s="16"/>
      <c r="X43" s="85">
        <f>X40</f>
        <v>24933.260035965613</v>
      </c>
      <c r="Y43" s="68"/>
      <c r="Z43" s="16"/>
      <c r="AA43" s="85">
        <f>AA40</f>
        <v>24752.650755966464</v>
      </c>
      <c r="AB43" s="68"/>
      <c r="AC43" s="16"/>
      <c r="AD43" s="85">
        <f>AD40</f>
        <v>24905.638545215625</v>
      </c>
      <c r="AE43" s="68"/>
      <c r="AF43" s="16"/>
      <c r="AG43" s="85">
        <f>AG40</f>
        <v>25227.410817711087</v>
      </c>
      <c r="AH43" s="68"/>
      <c r="AI43" s="16"/>
      <c r="AJ43" s="85">
        <f>AJ40</f>
        <v>27910.686027412958</v>
      </c>
      <c r="AK43" s="68"/>
      <c r="AL43" s="16"/>
      <c r="AM43" s="85">
        <f>AM40</f>
        <v>27294.798734302756</v>
      </c>
      <c r="AN43" s="68"/>
      <c r="AO43" s="16"/>
      <c r="AP43" s="85">
        <f>AP40</f>
        <v>26678.911441192555</v>
      </c>
      <c r="AQ43" s="68"/>
      <c r="AR43" s="16"/>
      <c r="AS43" s="85">
        <f>AS40</f>
        <v>26063.024148082346</v>
      </c>
      <c r="AT43" s="68"/>
      <c r="AU43" s="16"/>
      <c r="AV43" s="85">
        <f>AV40</f>
        <v>25447.136854972145</v>
      </c>
      <c r="AW43" s="210"/>
      <c r="AX43" s="32"/>
      <c r="AY43" s="37"/>
      <c r="AZ43" s="37"/>
      <c r="BA43" s="32"/>
      <c r="BB43" s="37"/>
    </row>
    <row r="44" spans="1:54" ht="15">
      <c r="A44" s="16"/>
      <c r="B44" s="86"/>
      <c r="C44" s="16"/>
      <c r="D44" s="16"/>
      <c r="E44" s="87"/>
      <c r="F44" s="32"/>
      <c r="G44" s="16"/>
      <c r="H44" s="88"/>
      <c r="I44" s="32"/>
      <c r="J44" s="16"/>
      <c r="K44" s="88"/>
      <c r="L44" s="32"/>
      <c r="M44" s="16"/>
      <c r="N44" s="88"/>
      <c r="O44" s="32"/>
      <c r="P44" s="16"/>
      <c r="Q44" s="88"/>
      <c r="R44" s="32"/>
      <c r="S44" s="16"/>
      <c r="T44" s="88"/>
      <c r="U44" s="32"/>
      <c r="V44" s="16"/>
      <c r="W44" s="88"/>
      <c r="X44" s="32"/>
      <c r="Y44" s="16"/>
      <c r="Z44" s="88"/>
      <c r="AA44" s="32"/>
      <c r="AB44" s="16"/>
      <c r="AC44" s="88"/>
      <c r="AD44" s="32"/>
      <c r="AE44" s="16"/>
      <c r="AF44" s="88"/>
      <c r="AG44" s="32"/>
      <c r="AH44" s="16"/>
      <c r="AI44" s="88"/>
      <c r="AJ44" s="32"/>
      <c r="AK44" s="16"/>
      <c r="AL44" s="88"/>
      <c r="AM44" s="32"/>
      <c r="AN44" s="16"/>
      <c r="AO44" s="88"/>
      <c r="AP44" s="32"/>
      <c r="AQ44" s="16"/>
      <c r="AR44" s="88"/>
      <c r="AS44" s="32"/>
      <c r="AT44" s="16"/>
      <c r="AU44" s="88"/>
      <c r="AV44" s="32"/>
      <c r="AW44" s="184"/>
      <c r="AX44" s="211"/>
      <c r="AY44" s="32"/>
      <c r="AZ44" s="32"/>
      <c r="BA44" s="211"/>
      <c r="BB44" s="32"/>
    </row>
    <row r="45" spans="1:54" ht="15">
      <c r="A45" s="48" t="s">
        <v>57</v>
      </c>
      <c r="B45" s="16"/>
      <c r="C45" s="21"/>
      <c r="D45" s="21"/>
      <c r="E45" s="21"/>
      <c r="F45" s="85">
        <f>F43/12</f>
        <v>1003.414636348135</v>
      </c>
      <c r="G45" s="21"/>
      <c r="H45" s="16"/>
      <c r="I45" s="143">
        <f>I43/12</f>
        <v>2024.5796458637926</v>
      </c>
      <c r="J45" s="21"/>
      <c r="K45" s="16"/>
      <c r="L45" s="85">
        <f>L43/12</f>
        <v>2049.1148860272588</v>
      </c>
      <c r="M45" s="21"/>
      <c r="N45" s="16"/>
      <c r="O45" s="85">
        <f>O43/12</f>
        <v>2075.4918190571966</v>
      </c>
      <c r="P45" s="21"/>
      <c r="Q45" s="16"/>
      <c r="R45" s="85">
        <f>R43/12</f>
        <v>2098.136373566973</v>
      </c>
      <c r="S45" s="21"/>
      <c r="T45" s="16"/>
      <c r="U45" s="85">
        <f>U43/12</f>
        <v>2089.668254496259</v>
      </c>
      <c r="V45" s="21"/>
      <c r="W45" s="16"/>
      <c r="X45" s="85">
        <f>X43/12</f>
        <v>2077.7716696638013</v>
      </c>
      <c r="Y45" s="21"/>
      <c r="Z45" s="16"/>
      <c r="AA45" s="85">
        <f>AA43/12</f>
        <v>2062.720896330539</v>
      </c>
      <c r="AB45" s="21"/>
      <c r="AC45" s="16"/>
      <c r="AD45" s="85">
        <f>AD43/12</f>
        <v>2075.4698787679686</v>
      </c>
      <c r="AE45" s="21"/>
      <c r="AF45" s="16"/>
      <c r="AG45" s="85">
        <f>AG43/12</f>
        <v>2102.284234809257</v>
      </c>
      <c r="AH45" s="21"/>
      <c r="AI45" s="16"/>
      <c r="AJ45" s="85">
        <f>AJ43/12</f>
        <v>2325.8905022844133</v>
      </c>
      <c r="AK45" s="21"/>
      <c r="AL45" s="16"/>
      <c r="AM45" s="85">
        <f>AM43/12</f>
        <v>2274.566561191896</v>
      </c>
      <c r="AN45" s="21"/>
      <c r="AO45" s="16"/>
      <c r="AP45" s="85">
        <f>AP43/12</f>
        <v>2223.2426200993796</v>
      </c>
      <c r="AQ45" s="21"/>
      <c r="AR45" s="16"/>
      <c r="AS45" s="85">
        <f>AS43/12</f>
        <v>2171.918679006862</v>
      </c>
      <c r="AT45" s="21"/>
      <c r="AU45" s="16"/>
      <c r="AV45" s="85">
        <f>AV43/12</f>
        <v>2120.5947379143454</v>
      </c>
      <c r="AW45" s="192"/>
      <c r="AX45" s="32"/>
      <c r="AY45" s="37"/>
      <c r="AZ45" s="34"/>
      <c r="BA45" s="32"/>
      <c r="BB45" s="37"/>
    </row>
    <row r="46" spans="1:27" ht="15">
      <c r="A46" s="48"/>
      <c r="B46" s="16"/>
      <c r="C46" s="21"/>
      <c r="D46" s="21"/>
      <c r="E46" s="21"/>
      <c r="F46" s="89"/>
      <c r="G46" s="21"/>
      <c r="H46" s="16"/>
      <c r="I46" s="21"/>
      <c r="J46" s="21"/>
      <c r="K46" s="16"/>
      <c r="L46" s="16"/>
      <c r="M46" s="21"/>
      <c r="N46" s="16"/>
      <c r="O46" s="21"/>
      <c r="P46" s="21"/>
      <c r="Q46" s="16"/>
      <c r="R46" s="16"/>
      <c r="S46" s="21"/>
      <c r="T46" s="16"/>
      <c r="U46" s="16"/>
      <c r="V46" s="21"/>
      <c r="W46" s="16"/>
      <c r="X46" s="16"/>
      <c r="Y46" s="21"/>
      <c r="Z46" s="16"/>
      <c r="AA46" s="16"/>
    </row>
    <row r="47" spans="1:12" ht="15">
      <c r="A47" s="229" t="s">
        <v>58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12" ht="15">
      <c r="A48" s="91" t="s">
        <v>59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3" ht="15">
      <c r="A49" s="141" t="s">
        <v>60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7" ht="15.75">
      <c r="A50" s="237"/>
      <c r="B50" s="237"/>
      <c r="C50" s="92"/>
      <c r="D50" s="92"/>
      <c r="E50" s="92"/>
      <c r="F50" s="92"/>
      <c r="G50" s="29"/>
    </row>
    <row r="51" spans="1:7" ht="16.5" thickBot="1">
      <c r="A51" s="93" t="s">
        <v>61</v>
      </c>
      <c r="B51" s="94"/>
      <c r="C51" s="92"/>
      <c r="D51" s="92"/>
      <c r="E51" s="92"/>
      <c r="F51" s="92"/>
      <c r="G51" s="29"/>
    </row>
    <row r="52" spans="1:55" ht="15.75" thickBot="1">
      <c r="A52" s="95"/>
      <c r="B52" s="96"/>
      <c r="C52" s="97"/>
      <c r="D52" s="77"/>
      <c r="E52" s="222">
        <v>2014</v>
      </c>
      <c r="F52" s="223"/>
      <c r="G52" s="77"/>
      <c r="H52" s="222">
        <v>2015</v>
      </c>
      <c r="I52" s="223"/>
      <c r="J52" s="77"/>
      <c r="K52" s="222">
        <v>2016</v>
      </c>
      <c r="L52" s="223"/>
      <c r="M52" s="77"/>
      <c r="N52" s="222">
        <v>2017</v>
      </c>
      <c r="O52" s="223"/>
      <c r="P52" s="77"/>
      <c r="Q52" s="222">
        <v>2018</v>
      </c>
      <c r="R52" s="223"/>
      <c r="S52" s="77"/>
      <c r="T52" s="222">
        <v>2019</v>
      </c>
      <c r="U52" s="223"/>
      <c r="V52" s="77"/>
      <c r="W52" s="222">
        <v>2020</v>
      </c>
      <c r="X52" s="223"/>
      <c r="Y52" s="77"/>
      <c r="Z52" s="222">
        <v>2021</v>
      </c>
      <c r="AA52" s="223"/>
      <c r="AB52" s="77"/>
      <c r="AC52" s="222">
        <v>2022</v>
      </c>
      <c r="AD52" s="223"/>
      <c r="AE52" s="77"/>
      <c r="AF52" s="222">
        <v>2023</v>
      </c>
      <c r="AG52" s="223"/>
      <c r="AH52" s="213"/>
      <c r="AI52" s="222">
        <v>2024</v>
      </c>
      <c r="AJ52" s="223"/>
      <c r="AK52" s="213"/>
      <c r="AL52" s="222">
        <v>2025</v>
      </c>
      <c r="AM52" s="223"/>
      <c r="AN52" s="213"/>
      <c r="AO52" s="222">
        <v>2026</v>
      </c>
      <c r="AP52" s="223"/>
      <c r="AQ52" s="213"/>
      <c r="AR52" s="222">
        <v>2027</v>
      </c>
      <c r="AS52" s="223"/>
      <c r="AT52" s="213"/>
      <c r="AU52" s="222">
        <v>2028</v>
      </c>
      <c r="AV52" s="234"/>
      <c r="AW52" s="198"/>
      <c r="AX52" s="232"/>
      <c r="AY52" s="232"/>
      <c r="AZ52" s="232"/>
      <c r="BA52" s="232"/>
      <c r="BB52" s="232"/>
      <c r="BC52" s="232"/>
    </row>
    <row r="53" spans="1:55" ht="15">
      <c r="A53" s="98" t="s">
        <v>62</v>
      </c>
      <c r="B53" s="96"/>
      <c r="C53" s="97"/>
      <c r="D53" s="16"/>
      <c r="E53" s="3" t="s">
        <v>37</v>
      </c>
      <c r="F53" s="50" t="s">
        <v>38</v>
      </c>
      <c r="G53" s="16"/>
      <c r="H53" s="3" t="s">
        <v>37</v>
      </c>
      <c r="I53" s="50" t="s">
        <v>38</v>
      </c>
      <c r="J53" s="16"/>
      <c r="K53" s="3" t="s">
        <v>37</v>
      </c>
      <c r="L53" s="50" t="s">
        <v>38</v>
      </c>
      <c r="M53" s="16"/>
      <c r="N53" s="3" t="s">
        <v>37</v>
      </c>
      <c r="O53" s="50" t="s">
        <v>38</v>
      </c>
      <c r="P53" s="16"/>
      <c r="Q53" s="3" t="s">
        <v>37</v>
      </c>
      <c r="R53" s="50" t="s">
        <v>38</v>
      </c>
      <c r="S53" s="16"/>
      <c r="T53" s="3" t="s">
        <v>37</v>
      </c>
      <c r="U53" s="50" t="s">
        <v>38</v>
      </c>
      <c r="V53" s="16"/>
      <c r="W53" s="3" t="s">
        <v>37</v>
      </c>
      <c r="X53" s="50" t="s">
        <v>38</v>
      </c>
      <c r="Y53" s="16"/>
      <c r="Z53" s="3" t="s">
        <v>37</v>
      </c>
      <c r="AA53" s="50" t="s">
        <v>38</v>
      </c>
      <c r="AB53" s="16"/>
      <c r="AC53" s="3" t="s">
        <v>37</v>
      </c>
      <c r="AD53" s="50" t="s">
        <v>38</v>
      </c>
      <c r="AE53" s="16"/>
      <c r="AF53" s="3" t="s">
        <v>37</v>
      </c>
      <c r="AG53" s="50" t="s">
        <v>38</v>
      </c>
      <c r="AH53" s="16"/>
      <c r="AI53" s="3" t="s">
        <v>37</v>
      </c>
      <c r="AJ53" s="50" t="s">
        <v>38</v>
      </c>
      <c r="AK53" s="16"/>
      <c r="AL53" s="3" t="s">
        <v>37</v>
      </c>
      <c r="AM53" s="50" t="s">
        <v>38</v>
      </c>
      <c r="AN53" s="16"/>
      <c r="AO53" s="3" t="s">
        <v>37</v>
      </c>
      <c r="AP53" s="50" t="s">
        <v>38</v>
      </c>
      <c r="AQ53" s="16"/>
      <c r="AR53" s="3" t="s">
        <v>37</v>
      </c>
      <c r="AS53" s="50" t="s">
        <v>38</v>
      </c>
      <c r="AT53" s="16"/>
      <c r="AU53" s="3" t="s">
        <v>37</v>
      </c>
      <c r="AV53" s="50" t="s">
        <v>38</v>
      </c>
      <c r="AW53" s="184"/>
      <c r="AX53" s="23"/>
      <c r="AY53" s="199"/>
      <c r="AZ53" s="32"/>
      <c r="BA53" s="23"/>
      <c r="BB53" s="199"/>
      <c r="BC53" s="29"/>
    </row>
    <row r="54" spans="1:55" ht="15">
      <c r="A54" s="99"/>
      <c r="B54" s="96"/>
      <c r="C54" s="97"/>
      <c r="D54" s="52"/>
      <c r="E54" s="3"/>
      <c r="F54" s="50"/>
      <c r="G54" s="52"/>
      <c r="H54" s="3"/>
      <c r="I54" s="50"/>
      <c r="J54" s="52"/>
      <c r="K54" s="3"/>
      <c r="L54" s="50"/>
      <c r="M54" s="52" t="s">
        <v>39</v>
      </c>
      <c r="N54" s="3"/>
      <c r="O54" s="50"/>
      <c r="P54" s="52" t="s">
        <v>39</v>
      </c>
      <c r="Q54" s="3"/>
      <c r="R54" s="50"/>
      <c r="S54" s="52" t="s">
        <v>39</v>
      </c>
      <c r="T54" s="3"/>
      <c r="U54" s="50"/>
      <c r="V54" s="52" t="s">
        <v>39</v>
      </c>
      <c r="W54" s="3"/>
      <c r="X54" s="50"/>
      <c r="Y54" s="52" t="s">
        <v>39</v>
      </c>
      <c r="Z54" s="3"/>
      <c r="AA54" s="50"/>
      <c r="AB54" s="52" t="s">
        <v>39</v>
      </c>
      <c r="AC54" s="3"/>
      <c r="AD54" s="50"/>
      <c r="AE54" s="52" t="s">
        <v>39</v>
      </c>
      <c r="AF54" s="3"/>
      <c r="AG54" s="50"/>
      <c r="AH54" s="52" t="s">
        <v>39</v>
      </c>
      <c r="AI54" s="3"/>
      <c r="AJ54" s="50"/>
      <c r="AK54" s="52" t="s">
        <v>39</v>
      </c>
      <c r="AL54" s="3"/>
      <c r="AM54" s="50"/>
      <c r="AN54" s="52" t="s">
        <v>39</v>
      </c>
      <c r="AO54" s="3"/>
      <c r="AP54" s="50"/>
      <c r="AQ54" s="52" t="s">
        <v>39</v>
      </c>
      <c r="AR54" s="3"/>
      <c r="AS54" s="50"/>
      <c r="AT54" s="52" t="s">
        <v>39</v>
      </c>
      <c r="AU54" s="3"/>
      <c r="AV54" s="50"/>
      <c r="AW54" s="191"/>
      <c r="AX54" s="23"/>
      <c r="AY54" s="199"/>
      <c r="AZ54" s="52"/>
      <c r="BA54" s="23"/>
      <c r="BB54" s="199"/>
      <c r="BC54" s="29"/>
    </row>
    <row r="55" spans="1:55" ht="15">
      <c r="A55" s="95" t="s">
        <v>63</v>
      </c>
      <c r="B55" s="96"/>
      <c r="C55" s="97"/>
      <c r="D55" s="100"/>
      <c r="E55" s="100">
        <f>E33</f>
        <v>1064.2149923812985</v>
      </c>
      <c r="F55" s="101">
        <f>F33</f>
        <v>5195.873198096929</v>
      </c>
      <c r="G55" s="100"/>
      <c r="H55" s="100">
        <f>H33</f>
        <v>2123.4424366515973</v>
      </c>
      <c r="I55" s="101">
        <f>I33</f>
        <v>10367.395426004856</v>
      </c>
      <c r="J55" s="100"/>
      <c r="K55" s="100">
        <f>K33</f>
        <v>2089.488682414597</v>
      </c>
      <c r="L55" s="101">
        <f>L33</f>
        <v>10201.621214141856</v>
      </c>
      <c r="M55" s="100"/>
      <c r="N55" s="100">
        <f>N33</f>
        <v>2061.4512915525975</v>
      </c>
      <c r="O55" s="101">
        <f>O33</f>
        <v>10064.732776403856</v>
      </c>
      <c r="P55" s="100"/>
      <c r="Q55" s="100">
        <f>Q33</f>
        <v>2032.656490816597</v>
      </c>
      <c r="R55" s="101">
        <f>R33</f>
        <v>9924.146396339855</v>
      </c>
      <c r="S55" s="100"/>
      <c r="T55" s="100">
        <f>T33</f>
        <v>1973.2092588165974</v>
      </c>
      <c r="U55" s="101">
        <f>U33</f>
        <v>9633.904028339855</v>
      </c>
      <c r="V55" s="100"/>
      <c r="W55" s="100">
        <f>W33</f>
        <v>1913.7620268165972</v>
      </c>
      <c r="X55" s="101">
        <f>X33</f>
        <v>9343.661660339856</v>
      </c>
      <c r="Y55" s="100"/>
      <c r="Z55" s="100">
        <f>Z33</f>
        <v>1854.314794816597</v>
      </c>
      <c r="AA55" s="101">
        <f>AA33</f>
        <v>9053.419292339857</v>
      </c>
      <c r="AB55" s="100"/>
      <c r="AC55" s="100">
        <f>AC33</f>
        <v>1794.867562816597</v>
      </c>
      <c r="AD55" s="101">
        <f>AD33</f>
        <v>8763.176924339856</v>
      </c>
      <c r="AE55" s="100"/>
      <c r="AF55" s="100">
        <f>AF33</f>
        <v>1735.4203308165972</v>
      </c>
      <c r="AG55" s="101">
        <f>AG33</f>
        <v>8472.934556339856</v>
      </c>
      <c r="AH55" s="100"/>
      <c r="AI55" s="100">
        <f>AI33</f>
        <v>1675.9730988165973</v>
      </c>
      <c r="AJ55" s="101">
        <f>AJ33</f>
        <v>8182.692188339855</v>
      </c>
      <c r="AK55" s="100"/>
      <c r="AL55" s="100">
        <f>AL33</f>
        <v>1616.525866816597</v>
      </c>
      <c r="AM55" s="101">
        <f>AM33</f>
        <v>7892.449820339855</v>
      </c>
      <c r="AN55" s="100"/>
      <c r="AO55" s="100">
        <f>AO33</f>
        <v>1557.078634816597</v>
      </c>
      <c r="AP55" s="101">
        <f>AP33</f>
        <v>7602.207452339856</v>
      </c>
      <c r="AQ55" s="100"/>
      <c r="AR55" s="100">
        <f>AR33</f>
        <v>1497.631402816597</v>
      </c>
      <c r="AS55" s="101">
        <f>AS33</f>
        <v>7311.965084339855</v>
      </c>
      <c r="AT55" s="100"/>
      <c r="AU55" s="100">
        <f>AU33</f>
        <v>1438.184170816597</v>
      </c>
      <c r="AV55" s="101">
        <f>AV33</f>
        <v>7021.722716339857</v>
      </c>
      <c r="AW55" s="186"/>
      <c r="AX55" s="100"/>
      <c r="AY55" s="101"/>
      <c r="AZ55" s="100"/>
      <c r="BA55" s="100"/>
      <c r="BB55" s="101"/>
      <c r="BC55" s="29"/>
    </row>
    <row r="56" spans="1:55" ht="15">
      <c r="A56" s="95" t="s">
        <v>64</v>
      </c>
      <c r="B56" s="96"/>
      <c r="C56" s="97"/>
      <c r="D56" s="102"/>
      <c r="E56" s="103">
        <f>E37</f>
        <v>763.563426640056</v>
      </c>
      <c r="F56" s="103">
        <f>F37</f>
        <v>3727.9861418308615</v>
      </c>
      <c r="G56" s="102"/>
      <c r="H56" s="103">
        <f>H37</f>
        <v>1531.526352083334</v>
      </c>
      <c r="I56" s="103">
        <f>I37</f>
        <v>7477.452189583335</v>
      </c>
      <c r="J56" s="102"/>
      <c r="K56" s="103">
        <f>K37</f>
        <v>1547.3400708333338</v>
      </c>
      <c r="L56" s="103">
        <f>L37</f>
        <v>7554.660345833336</v>
      </c>
      <c r="M56" s="102"/>
      <c r="N56" s="103">
        <f>N37</f>
        <v>1567.5020000000002</v>
      </c>
      <c r="O56" s="103">
        <f>O37</f>
        <v>7653.098</v>
      </c>
      <c r="P56" s="102"/>
      <c r="Q56" s="103">
        <f>Q37</f>
        <v>1587.8000000000002</v>
      </c>
      <c r="R56" s="103">
        <f>R37</f>
        <v>7752.2</v>
      </c>
      <c r="S56" s="102"/>
      <c r="T56" s="103">
        <f>T37</f>
        <v>1587.8000000000002</v>
      </c>
      <c r="U56" s="103">
        <f>U37</f>
        <v>7752.2</v>
      </c>
      <c r="V56" s="102"/>
      <c r="W56" s="103">
        <f>W37</f>
        <v>1587.8000000000002</v>
      </c>
      <c r="X56" s="103">
        <f>X37</f>
        <v>7752.2</v>
      </c>
      <c r="Y56" s="102"/>
      <c r="Z56" s="103">
        <f>Z37</f>
        <v>1587.8000000000002</v>
      </c>
      <c r="AA56" s="103">
        <f>AA37</f>
        <v>7752.2</v>
      </c>
      <c r="AB56" s="102"/>
      <c r="AC56" s="103">
        <f>AC37</f>
        <v>1587.8000000000002</v>
      </c>
      <c r="AD56" s="103">
        <f>AD37</f>
        <v>7752.2</v>
      </c>
      <c r="AE56" s="102"/>
      <c r="AF56" s="103">
        <f>AF37</f>
        <v>1587.8000000000002</v>
      </c>
      <c r="AG56" s="103">
        <f>AG37</f>
        <v>7752.2</v>
      </c>
      <c r="AH56" s="102"/>
      <c r="AI56" s="103">
        <f>AI37</f>
        <v>1587.8000000000002</v>
      </c>
      <c r="AJ56" s="103">
        <f>AJ37</f>
        <v>7752.2</v>
      </c>
      <c r="AK56" s="102"/>
      <c r="AL56" s="103">
        <f>AL37</f>
        <v>1587.8000000000002</v>
      </c>
      <c r="AM56" s="103">
        <f>AM37</f>
        <v>7752.2</v>
      </c>
      <c r="AN56" s="102"/>
      <c r="AO56" s="103">
        <f>AO37</f>
        <v>1587.8000000000002</v>
      </c>
      <c r="AP56" s="103">
        <f>AP37</f>
        <v>7752.2</v>
      </c>
      <c r="AQ56" s="102"/>
      <c r="AR56" s="103">
        <f>AR37</f>
        <v>1587.8000000000002</v>
      </c>
      <c r="AS56" s="103">
        <f>AS37</f>
        <v>7752.2</v>
      </c>
      <c r="AT56" s="102"/>
      <c r="AU56" s="103">
        <f>AU37</f>
        <v>1587.8000000000002</v>
      </c>
      <c r="AV56" s="103">
        <f>AV37</f>
        <v>7752.2</v>
      </c>
      <c r="AW56" s="185"/>
      <c r="AX56" s="102"/>
      <c r="AY56" s="102"/>
      <c r="AZ56" s="102"/>
      <c r="BA56" s="102"/>
      <c r="BB56" s="102"/>
      <c r="BC56" s="29"/>
    </row>
    <row r="57" spans="1:55" ht="15">
      <c r="A57" s="95" t="s">
        <v>65</v>
      </c>
      <c r="B57" s="96"/>
      <c r="C57" s="97"/>
      <c r="D57" s="102"/>
      <c r="E57" s="102">
        <f>-D93*E$19</f>
        <v>-2304.5061960000007</v>
      </c>
      <c r="F57" s="102">
        <f>-D93*F$19</f>
        <v>-11251.412604000003</v>
      </c>
      <c r="G57" s="102"/>
      <c r="H57" s="102">
        <f>-E93*H$19</f>
        <v>-4475.255796320002</v>
      </c>
      <c r="I57" s="102">
        <f>-E93*I$19</f>
        <v>-21849.77829968001</v>
      </c>
      <c r="J57" s="102"/>
      <c r="K57" s="102">
        <f>-F93*K$19</f>
        <v>-4167.839232614401</v>
      </c>
      <c r="L57" s="102">
        <f>-F93*L$19</f>
        <v>-20348.862135705604</v>
      </c>
      <c r="M57" s="102"/>
      <c r="N57" s="102">
        <f>-G93*N$19</f>
        <v>-3899.0968220052496</v>
      </c>
      <c r="O57" s="102">
        <f>-G93*O$19</f>
        <v>-19036.766836849158</v>
      </c>
      <c r="P57" s="102"/>
      <c r="Q57" s="102">
        <f>-H93*Q$19</f>
        <v>-3651.85380424483</v>
      </c>
      <c r="R57" s="102">
        <f>-H93*R$19</f>
        <v>-17829.639161901225</v>
      </c>
      <c r="S57" s="102"/>
      <c r="T57" s="102">
        <f>-I93*T$19</f>
        <v>-3359.7054999052434</v>
      </c>
      <c r="U57" s="102">
        <f>-I93*U$19</f>
        <v>-16403.268028949125</v>
      </c>
      <c r="V57" s="102"/>
      <c r="W57" s="102">
        <f>-J93*W$19</f>
        <v>-3090.9290599128235</v>
      </c>
      <c r="X57" s="102">
        <f>-J93*X$19</f>
        <v>-15091.006586633195</v>
      </c>
      <c r="Y57" s="102"/>
      <c r="Z57" s="102">
        <f>-K93*Z$19</f>
        <v>-2843.6547351197983</v>
      </c>
      <c r="AA57" s="102">
        <f>-K93*AA$19</f>
        <v>-13883.726059702542</v>
      </c>
      <c r="AB57" s="102"/>
      <c r="AC57" s="102">
        <f>-M93*AC$19</f>
        <v>-2406.869367805397</v>
      </c>
      <c r="AD57" s="102">
        <f>-M93*AD$19</f>
        <v>-11751.185736932232</v>
      </c>
      <c r="AE57" s="102"/>
      <c r="AF57" s="102">
        <f>-P93*AF$19</f>
        <v>-1874.2002942776492</v>
      </c>
      <c r="AG57" s="102">
        <f>-P93*AG$19</f>
        <v>-9150.507319120286</v>
      </c>
      <c r="AH57" s="102"/>
      <c r="AI57" s="102">
        <f>-S93*AI$19</f>
        <v>0</v>
      </c>
      <c r="AJ57" s="102">
        <f>-S93*AJ$19</f>
        <v>0</v>
      </c>
      <c r="AK57" s="102"/>
      <c r="AL57" s="102">
        <f>-V93*AL$19</f>
        <v>0</v>
      </c>
      <c r="AM57" s="102">
        <f>-V93*AM$19</f>
        <v>0</v>
      </c>
      <c r="AN57" s="102"/>
      <c r="AO57" s="102">
        <f>-Y93*AO$19</f>
        <v>0</v>
      </c>
      <c r="AP57" s="102">
        <f>-Y93*AP$19</f>
        <v>0</v>
      </c>
      <c r="AQ57" s="102"/>
      <c r="AR57" s="102">
        <f>-AB93*AR$19</f>
        <v>0</v>
      </c>
      <c r="AS57" s="102">
        <f>-AB93*AS$19</f>
        <v>0</v>
      </c>
      <c r="AT57" s="102"/>
      <c r="AU57" s="102">
        <f>-AE93*AU$19</f>
        <v>0</v>
      </c>
      <c r="AV57" s="102">
        <f>-AE93*AV$19</f>
        <v>0</v>
      </c>
      <c r="AW57" s="185"/>
      <c r="AX57" s="102"/>
      <c r="AY57" s="102"/>
      <c r="AZ57" s="102"/>
      <c r="BA57" s="102"/>
      <c r="BB57" s="102"/>
      <c r="BC57" s="29"/>
    </row>
    <row r="58" spans="1:55" ht="15">
      <c r="A58" s="99" t="s">
        <v>66</v>
      </c>
      <c r="B58" s="96"/>
      <c r="C58" s="97"/>
      <c r="D58" s="102"/>
      <c r="E58" s="104">
        <f>SUM(E55:E57)</f>
        <v>-476.72777697864603</v>
      </c>
      <c r="F58" s="104">
        <f>SUM(F55:F57)</f>
        <v>-2327.553264072212</v>
      </c>
      <c r="G58" s="102"/>
      <c r="H58" s="104">
        <f>SUM(H55:H57)</f>
        <v>-820.2870075850715</v>
      </c>
      <c r="I58" s="104">
        <f>SUM(I55:I57)</f>
        <v>-4004.930684091818</v>
      </c>
      <c r="J58" s="102"/>
      <c r="K58" s="104">
        <f>SUM(K55:K57)</f>
        <v>-531.0104793664705</v>
      </c>
      <c r="L58" s="104">
        <f>SUM(L55:L57)</f>
        <v>-2592.5805757304115</v>
      </c>
      <c r="M58" s="104"/>
      <c r="N58" s="104">
        <f>SUM(N55:N57)</f>
        <v>-270.1435304526517</v>
      </c>
      <c r="O58" s="104">
        <f>SUM(O55:O57)</f>
        <v>-1318.9360604453032</v>
      </c>
      <c r="P58" s="104"/>
      <c r="Q58" s="104">
        <f>SUM(Q55:Q57)</f>
        <v>-31.397313428232792</v>
      </c>
      <c r="R58" s="104">
        <f>SUM(R55:R57)</f>
        <v>-153.2927655613712</v>
      </c>
      <c r="S58" s="104"/>
      <c r="T58" s="104">
        <f>SUM(T55:T57)</f>
        <v>201.30375891135418</v>
      </c>
      <c r="U58" s="104">
        <f>SUM(U55:U57)</f>
        <v>982.8359993907288</v>
      </c>
      <c r="V58" s="104"/>
      <c r="W58" s="104">
        <f>SUM(W55:W57)</f>
        <v>410.6329669037741</v>
      </c>
      <c r="X58" s="104">
        <f>SUM(X55:X57)</f>
        <v>2004.8550737066598</v>
      </c>
      <c r="Y58" s="104"/>
      <c r="Z58" s="104">
        <f>SUM(Z55:Z57)</f>
        <v>598.4600596967989</v>
      </c>
      <c r="AA58" s="104">
        <f>SUM(AA55:AA57)</f>
        <v>2921.893232637314</v>
      </c>
      <c r="AB58" s="104"/>
      <c r="AC58" s="104">
        <f>SUM(AC55:AC57)</f>
        <v>975.7981950112003</v>
      </c>
      <c r="AD58" s="104">
        <f>SUM(AD55:AD57)</f>
        <v>4764.191187407625</v>
      </c>
      <c r="AE58" s="104"/>
      <c r="AF58" s="104">
        <f>SUM(AF55:AF57)</f>
        <v>1449.020036538948</v>
      </c>
      <c r="AG58" s="104">
        <f>SUM(AG55:AG57)</f>
        <v>7074.627237219571</v>
      </c>
      <c r="AH58" s="104"/>
      <c r="AI58" s="104">
        <f>SUM(AI55:AI57)</f>
        <v>3263.7730988165977</v>
      </c>
      <c r="AJ58" s="104">
        <f>SUM(AJ55:AJ57)</f>
        <v>15934.892188339854</v>
      </c>
      <c r="AK58" s="104"/>
      <c r="AL58" s="104">
        <f>SUM(AL55:AL57)</f>
        <v>3204.325866816597</v>
      </c>
      <c r="AM58" s="104">
        <f>SUM(AM55:AM57)</f>
        <v>15644.649820339855</v>
      </c>
      <c r="AN58" s="104"/>
      <c r="AO58" s="104">
        <f>SUM(AO55:AO57)</f>
        <v>3144.8786348165972</v>
      </c>
      <c r="AP58" s="104">
        <f>SUM(AP55:AP57)</f>
        <v>15354.407452339856</v>
      </c>
      <c r="AQ58" s="104"/>
      <c r="AR58" s="104">
        <f>SUM(AR55:AR57)</f>
        <v>3085.4314028165973</v>
      </c>
      <c r="AS58" s="104">
        <f>SUM(AS55:AS57)</f>
        <v>15064.165084339855</v>
      </c>
      <c r="AT58" s="104"/>
      <c r="AU58" s="104">
        <f>SUM(AU55:AU57)</f>
        <v>3025.9841708165973</v>
      </c>
      <c r="AV58" s="104">
        <f>SUM(AV55:AV57)</f>
        <v>14773.922716339857</v>
      </c>
      <c r="AW58" s="185"/>
      <c r="AX58" s="102"/>
      <c r="AY58" s="102"/>
      <c r="AZ58" s="102"/>
      <c r="BA58" s="102"/>
      <c r="BB58" s="102"/>
      <c r="BC58" s="29"/>
    </row>
    <row r="59" spans="1:55" ht="15">
      <c r="A59" s="48"/>
      <c r="B59" s="96"/>
      <c r="C59" s="9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184"/>
      <c r="AX59" s="32"/>
      <c r="AY59" s="32"/>
      <c r="AZ59" s="32"/>
      <c r="BA59" s="32"/>
      <c r="BB59" s="32"/>
      <c r="BC59" s="29"/>
    </row>
    <row r="60" spans="1:55" ht="15">
      <c r="A60" s="95" t="s">
        <v>67</v>
      </c>
      <c r="B60" s="97"/>
      <c r="C60" s="97"/>
      <c r="D60" s="105"/>
      <c r="E60" s="106">
        <v>0.265</v>
      </c>
      <c r="F60" s="106">
        <v>0.265</v>
      </c>
      <c r="G60" s="105"/>
      <c r="H60" s="106">
        <v>0.265</v>
      </c>
      <c r="I60" s="106">
        <v>0.265</v>
      </c>
      <c r="J60" s="105"/>
      <c r="K60" s="106">
        <v>0.265</v>
      </c>
      <c r="L60" s="106">
        <v>0.265</v>
      </c>
      <c r="M60" s="105"/>
      <c r="N60" s="106">
        <v>0.265</v>
      </c>
      <c r="O60" s="106">
        <v>0.265</v>
      </c>
      <c r="P60" s="102"/>
      <c r="Q60" s="106">
        <v>0.265</v>
      </c>
      <c r="R60" s="106">
        <v>0.265</v>
      </c>
      <c r="S60" s="102"/>
      <c r="T60" s="106">
        <v>0.265</v>
      </c>
      <c r="U60" s="106">
        <v>0.265</v>
      </c>
      <c r="V60" s="102"/>
      <c r="W60" s="106">
        <v>0.265</v>
      </c>
      <c r="X60" s="106">
        <v>0.265</v>
      </c>
      <c r="Y60" s="102"/>
      <c r="Z60" s="106">
        <v>0.265</v>
      </c>
      <c r="AA60" s="106">
        <v>0.265</v>
      </c>
      <c r="AB60" s="102"/>
      <c r="AC60" s="106">
        <v>0.265</v>
      </c>
      <c r="AD60" s="106">
        <v>0.265</v>
      </c>
      <c r="AE60" s="102"/>
      <c r="AF60" s="106">
        <v>0.265</v>
      </c>
      <c r="AG60" s="106">
        <v>0.265</v>
      </c>
      <c r="AH60" s="102"/>
      <c r="AI60" s="106">
        <v>0.265</v>
      </c>
      <c r="AJ60" s="106">
        <v>0.265</v>
      </c>
      <c r="AK60" s="102"/>
      <c r="AL60" s="106">
        <v>0.265</v>
      </c>
      <c r="AM60" s="106">
        <v>0.265</v>
      </c>
      <c r="AN60" s="102"/>
      <c r="AO60" s="106">
        <v>0.265</v>
      </c>
      <c r="AP60" s="106">
        <v>0.265</v>
      </c>
      <c r="AQ60" s="102"/>
      <c r="AR60" s="106">
        <v>0.265</v>
      </c>
      <c r="AS60" s="106">
        <v>0.265</v>
      </c>
      <c r="AT60" s="102"/>
      <c r="AU60" s="106">
        <v>0.265</v>
      </c>
      <c r="AV60" s="106">
        <v>0.265</v>
      </c>
      <c r="AW60" s="185"/>
      <c r="AX60" s="212"/>
      <c r="AY60" s="212"/>
      <c r="AZ60" s="102"/>
      <c r="BA60" s="212"/>
      <c r="BB60" s="212"/>
      <c r="BC60" s="29"/>
    </row>
    <row r="61" spans="1:55" ht="15">
      <c r="A61" s="95"/>
      <c r="B61" s="97"/>
      <c r="C61" s="97"/>
      <c r="D61" s="105"/>
      <c r="E61" s="107"/>
      <c r="F61" s="107"/>
      <c r="G61" s="105"/>
      <c r="H61" s="107"/>
      <c r="I61" s="107"/>
      <c r="J61" s="105"/>
      <c r="K61" s="107"/>
      <c r="L61" s="107"/>
      <c r="M61" s="105"/>
      <c r="N61" s="107"/>
      <c r="O61" s="107"/>
      <c r="P61" s="102"/>
      <c r="Q61" s="107"/>
      <c r="R61" s="107"/>
      <c r="S61" s="102"/>
      <c r="T61" s="107"/>
      <c r="U61" s="107"/>
      <c r="V61" s="102"/>
      <c r="W61" s="107"/>
      <c r="X61" s="107"/>
      <c r="Y61" s="102"/>
      <c r="Z61" s="107"/>
      <c r="AA61" s="107"/>
      <c r="AB61" s="102"/>
      <c r="AC61" s="107"/>
      <c r="AD61" s="107"/>
      <c r="AE61" s="102"/>
      <c r="AF61" s="107"/>
      <c r="AG61" s="107"/>
      <c r="AH61" s="102"/>
      <c r="AI61" s="107"/>
      <c r="AJ61" s="107"/>
      <c r="AK61" s="102"/>
      <c r="AL61" s="107"/>
      <c r="AM61" s="107"/>
      <c r="AN61" s="102"/>
      <c r="AO61" s="107"/>
      <c r="AP61" s="107"/>
      <c r="AQ61" s="102"/>
      <c r="AR61" s="107"/>
      <c r="AS61" s="107"/>
      <c r="AT61" s="102"/>
      <c r="AU61" s="107"/>
      <c r="AV61" s="107"/>
      <c r="AW61" s="185"/>
      <c r="AX61" s="212"/>
      <c r="AY61" s="212"/>
      <c r="AZ61" s="102"/>
      <c r="BA61" s="212"/>
      <c r="BB61" s="212"/>
      <c r="BC61" s="29"/>
    </row>
    <row r="62" spans="1:55" ht="15">
      <c r="A62" s="95" t="s">
        <v>68</v>
      </c>
      <c r="B62" s="96"/>
      <c r="C62" s="97"/>
      <c r="D62" s="102"/>
      <c r="E62" s="108">
        <f>E58*E60</f>
        <v>-126.3328608993412</v>
      </c>
      <c r="F62" s="108">
        <f>F58*F60</f>
        <v>-616.8016149791363</v>
      </c>
      <c r="G62" s="102"/>
      <c r="H62" s="108">
        <f>H58*H60</f>
        <v>-217.37605701004395</v>
      </c>
      <c r="I62" s="108">
        <f>I58*I60</f>
        <v>-1061.3066312843318</v>
      </c>
      <c r="J62" s="102"/>
      <c r="K62" s="108">
        <f>K58*K60</f>
        <v>-140.71777703211467</v>
      </c>
      <c r="L62" s="108">
        <f>L58*L60</f>
        <v>-687.033852568559</v>
      </c>
      <c r="M62" s="102"/>
      <c r="N62" s="108">
        <f>N58*N60</f>
        <v>-71.58803556995271</v>
      </c>
      <c r="O62" s="108">
        <f>O58*O60</f>
        <v>-349.5180560180054</v>
      </c>
      <c r="P62" s="102"/>
      <c r="Q62" s="108">
        <f>Q58*Q60</f>
        <v>-8.32028805848169</v>
      </c>
      <c r="R62" s="108">
        <f>R58*R60</f>
        <v>-40.62258287376337</v>
      </c>
      <c r="S62" s="102"/>
      <c r="T62" s="108">
        <f>T58*T60</f>
        <v>53.34549611150886</v>
      </c>
      <c r="U62" s="108">
        <f>U58*U60</f>
        <v>260.45153983854317</v>
      </c>
      <c r="V62" s="102"/>
      <c r="W62" s="108">
        <f>W58*W60</f>
        <v>108.81773622950014</v>
      </c>
      <c r="X62" s="108">
        <f>X58*X60</f>
        <v>531.2865945322649</v>
      </c>
      <c r="Y62" s="102"/>
      <c r="Z62" s="108">
        <f>Z58*Z60</f>
        <v>158.59191581965172</v>
      </c>
      <c r="AA62" s="108">
        <f>AA58*AA60</f>
        <v>774.3017066488883</v>
      </c>
      <c r="AB62" s="102"/>
      <c r="AC62" s="108">
        <f>AC58*AC60</f>
        <v>258.5865216779681</v>
      </c>
      <c r="AD62" s="108">
        <f>AD58*AD60</f>
        <v>1262.5106646630206</v>
      </c>
      <c r="AE62" s="102"/>
      <c r="AF62" s="108">
        <f>AF58*AF60</f>
        <v>383.99030968282125</v>
      </c>
      <c r="AG62" s="108">
        <f>AG58*AG60</f>
        <v>1874.7762178631863</v>
      </c>
      <c r="AH62" s="102"/>
      <c r="AI62" s="108">
        <f>AI58*AI60</f>
        <v>864.8998711863984</v>
      </c>
      <c r="AJ62" s="108">
        <f>AJ58*AJ60</f>
        <v>4222.746429910062</v>
      </c>
      <c r="AK62" s="102"/>
      <c r="AL62" s="108">
        <f>AL58*AL60</f>
        <v>849.1463547063983</v>
      </c>
      <c r="AM62" s="108">
        <f>AM58*AM60</f>
        <v>4145.832202390062</v>
      </c>
      <c r="AN62" s="102"/>
      <c r="AO62" s="108">
        <f>AO58*AO60</f>
        <v>833.3928382263983</v>
      </c>
      <c r="AP62" s="108">
        <f>AP58*AP60</f>
        <v>4068.917974870062</v>
      </c>
      <c r="AQ62" s="102"/>
      <c r="AR62" s="108">
        <f>AR58*AR60</f>
        <v>817.6393217463983</v>
      </c>
      <c r="AS62" s="108">
        <f>AS58*AS60</f>
        <v>3992.0037473500615</v>
      </c>
      <c r="AT62" s="102"/>
      <c r="AU62" s="108">
        <f>AU58*AU60</f>
        <v>801.8858052663983</v>
      </c>
      <c r="AV62" s="108">
        <f>AV58*AV60</f>
        <v>3915.0895198300623</v>
      </c>
      <c r="AW62" s="185"/>
      <c r="AX62" s="111"/>
      <c r="AY62" s="111"/>
      <c r="AZ62" s="102"/>
      <c r="BA62" s="111"/>
      <c r="BB62" s="111"/>
      <c r="BC62" s="29"/>
    </row>
    <row r="63" spans="1:55" ht="15">
      <c r="A63" s="109" t="s">
        <v>69</v>
      </c>
      <c r="B63" s="96"/>
      <c r="C63" s="97"/>
      <c r="D63" s="110"/>
      <c r="E63" s="95"/>
      <c r="F63" s="95"/>
      <c r="G63" s="110"/>
      <c r="H63" s="95"/>
      <c r="I63" s="95"/>
      <c r="J63" s="110"/>
      <c r="K63" s="95"/>
      <c r="L63" s="95"/>
      <c r="M63" s="110"/>
      <c r="N63" s="95"/>
      <c r="O63" s="95"/>
      <c r="P63" s="110"/>
      <c r="Q63" s="95"/>
      <c r="R63" s="95"/>
      <c r="S63" s="110"/>
      <c r="T63" s="95"/>
      <c r="U63" s="95"/>
      <c r="V63" s="110"/>
      <c r="W63" s="95"/>
      <c r="X63" s="95"/>
      <c r="Y63" s="110"/>
      <c r="Z63" s="95"/>
      <c r="AA63" s="95"/>
      <c r="AB63" s="110"/>
      <c r="AC63" s="95"/>
      <c r="AD63" s="95"/>
      <c r="AE63" s="110"/>
      <c r="AF63" s="95"/>
      <c r="AG63" s="95"/>
      <c r="AH63" s="110"/>
      <c r="AI63" s="95"/>
      <c r="AJ63" s="95"/>
      <c r="AK63" s="110"/>
      <c r="AL63" s="95"/>
      <c r="AM63" s="95"/>
      <c r="AN63" s="110"/>
      <c r="AO63" s="95"/>
      <c r="AP63" s="95"/>
      <c r="AQ63" s="110"/>
      <c r="AR63" s="95"/>
      <c r="AS63" s="95"/>
      <c r="AT63" s="110"/>
      <c r="AU63" s="95"/>
      <c r="AV63" s="95"/>
      <c r="AW63" s="194"/>
      <c r="AX63" s="110"/>
      <c r="AY63" s="110"/>
      <c r="AZ63" s="110"/>
      <c r="BA63" s="110"/>
      <c r="BB63" s="110"/>
      <c r="BC63" s="29"/>
    </row>
    <row r="64" spans="1:55" ht="15">
      <c r="A64" s="95" t="s">
        <v>68</v>
      </c>
      <c r="B64" s="96"/>
      <c r="C64" s="97"/>
      <c r="D64" s="111"/>
      <c r="E64" s="112">
        <f>E62/(1-E60)</f>
        <v>-171.8814434004642</v>
      </c>
      <c r="F64" s="112">
        <f>F62/(1-F60)</f>
        <v>-839.1858707199133</v>
      </c>
      <c r="G64" s="111"/>
      <c r="H64" s="112">
        <f>H62/(1-H60)</f>
        <v>-295.74973742863125</v>
      </c>
      <c r="I64" s="112">
        <f>I62/(1-I60)</f>
        <v>-1443.954600386846</v>
      </c>
      <c r="J64" s="111"/>
      <c r="K64" s="112">
        <f>K62/(1-K60)</f>
        <v>-191.45275786682268</v>
      </c>
      <c r="L64" s="112">
        <f>L62/(1-L60)</f>
        <v>-934.7399354674272</v>
      </c>
      <c r="M64" s="111"/>
      <c r="N64" s="112">
        <f>N62/(1-N60)</f>
        <v>-97.39868785027579</v>
      </c>
      <c r="O64" s="112">
        <f>O62/(1-O60)</f>
        <v>-475.53477009252435</v>
      </c>
      <c r="P64" s="111"/>
      <c r="Q64" s="112">
        <f>Q62/(1-Q60)</f>
        <v>-11.320119807458083</v>
      </c>
      <c r="R64" s="112">
        <f>R62/(1-R60)</f>
        <v>-55.26882023641275</v>
      </c>
      <c r="S64" s="111"/>
      <c r="T64" s="112">
        <f>T62/(1-T60)</f>
        <v>72.57890627416171</v>
      </c>
      <c r="U64" s="112">
        <f>U62/(1-U60)</f>
        <v>354.35583651502475</v>
      </c>
      <c r="V64" s="111"/>
      <c r="W64" s="112">
        <f>W62/(1-W60)</f>
        <v>148.05134180884374</v>
      </c>
      <c r="X64" s="112">
        <f>X62/(1-X60)</f>
        <v>722.8389041255305</v>
      </c>
      <c r="Y64" s="111"/>
      <c r="Z64" s="112">
        <f>Z62/(1-Z60)</f>
        <v>215.77131404034247</v>
      </c>
      <c r="AA64" s="112">
        <f>AA62/(1-AA60)</f>
        <v>1053.4717097263785</v>
      </c>
      <c r="AB64" s="111"/>
      <c r="AC64" s="112">
        <f>AC62/(1-AC60)</f>
        <v>351.81839684077295</v>
      </c>
      <c r="AD64" s="112">
        <f>AD62/(1-AD60)</f>
        <v>1717.7015845755384</v>
      </c>
      <c r="AE64" s="111"/>
      <c r="AF64" s="112">
        <f>AF62/(1-AF60)</f>
        <v>522.4357954868317</v>
      </c>
      <c r="AG64" s="112">
        <f>AG62/(1-AG60)</f>
        <v>2550.715942671002</v>
      </c>
      <c r="AH64" s="111"/>
      <c r="AI64" s="112">
        <f>AI62/(1-AI60)</f>
        <v>1176.7345186209502</v>
      </c>
      <c r="AJ64" s="112">
        <f>AJ62/(1-AJ60)</f>
        <v>5745.233237972873</v>
      </c>
      <c r="AK64" s="111"/>
      <c r="AL64" s="112">
        <f>AL62/(1-AL60)</f>
        <v>1155.301162865848</v>
      </c>
      <c r="AM64" s="112">
        <f>AM62/(1-AM60)</f>
        <v>5640.588030462669</v>
      </c>
      <c r="AN64" s="111"/>
      <c r="AO64" s="112">
        <f>AO62/(1-AO60)</f>
        <v>1133.867807110746</v>
      </c>
      <c r="AP64" s="112">
        <f>AP62/(1-AP60)</f>
        <v>5535.942822952466</v>
      </c>
      <c r="AQ64" s="111"/>
      <c r="AR64" s="112">
        <f>AR62/(1-AR60)</f>
        <v>1112.434451355644</v>
      </c>
      <c r="AS64" s="112">
        <f>AS62/(1-AS60)</f>
        <v>5431.29761544226</v>
      </c>
      <c r="AT64" s="111"/>
      <c r="AU64" s="112">
        <f>AU62/(1-AU60)</f>
        <v>1091.001095600542</v>
      </c>
      <c r="AV64" s="112">
        <f>AV62/(1-AV60)</f>
        <v>5326.652407932058</v>
      </c>
      <c r="AW64" s="195"/>
      <c r="AX64" s="111"/>
      <c r="AY64" s="111"/>
      <c r="AZ64" s="111"/>
      <c r="BA64" s="111"/>
      <c r="BB64" s="111"/>
      <c r="BC64" s="29"/>
    </row>
    <row r="65" spans="1:55" ht="15">
      <c r="A65" s="99" t="s">
        <v>70</v>
      </c>
      <c r="B65" s="96"/>
      <c r="C65" s="97"/>
      <c r="D65" s="113"/>
      <c r="E65" s="114">
        <f>SUM(E64:E64)</f>
        <v>-171.8814434004642</v>
      </c>
      <c r="F65" s="114">
        <f>SUM(F64:F64)</f>
        <v>-839.1858707199133</v>
      </c>
      <c r="G65" s="113"/>
      <c r="H65" s="114">
        <f>SUM(H64:H64)</f>
        <v>-295.74973742863125</v>
      </c>
      <c r="I65" s="114">
        <f>SUM(I64:I64)</f>
        <v>-1443.954600386846</v>
      </c>
      <c r="J65" s="113"/>
      <c r="K65" s="114">
        <f>SUM(K64:K64)</f>
        <v>-191.45275786682268</v>
      </c>
      <c r="L65" s="114">
        <f>SUM(L64:L64)</f>
        <v>-934.7399354674272</v>
      </c>
      <c r="M65" s="113"/>
      <c r="N65" s="114">
        <f>SUM(N64:N64)</f>
        <v>-97.39868785027579</v>
      </c>
      <c r="O65" s="114">
        <f>SUM(O64:O64)</f>
        <v>-475.53477009252435</v>
      </c>
      <c r="P65" s="113"/>
      <c r="Q65" s="114">
        <f>SUM(Q64:Q64)</f>
        <v>-11.320119807458083</v>
      </c>
      <c r="R65" s="114">
        <f>SUM(R64:R64)</f>
        <v>-55.26882023641275</v>
      </c>
      <c r="S65" s="113"/>
      <c r="T65" s="114">
        <f>SUM(T64:T64)</f>
        <v>72.57890627416171</v>
      </c>
      <c r="U65" s="114">
        <f>SUM(U64:U64)</f>
        <v>354.35583651502475</v>
      </c>
      <c r="V65" s="113"/>
      <c r="W65" s="114">
        <f>SUM(W64:W64)</f>
        <v>148.05134180884374</v>
      </c>
      <c r="X65" s="114">
        <f>SUM(X64:X64)</f>
        <v>722.8389041255305</v>
      </c>
      <c r="Y65" s="113"/>
      <c r="Z65" s="114">
        <f>SUM(Z64:Z64)</f>
        <v>215.77131404034247</v>
      </c>
      <c r="AA65" s="114">
        <f>SUM(AA64:AA64)</f>
        <v>1053.4717097263785</v>
      </c>
      <c r="AB65" s="113"/>
      <c r="AC65" s="114">
        <f>SUM(AC64:AC64)</f>
        <v>351.81839684077295</v>
      </c>
      <c r="AD65" s="114">
        <f>SUM(AD64:AD64)</f>
        <v>1717.7015845755384</v>
      </c>
      <c r="AE65" s="113"/>
      <c r="AF65" s="114">
        <f>SUM(AF64:AF64)</f>
        <v>522.4357954868317</v>
      </c>
      <c r="AG65" s="114">
        <f>SUM(AG64:AG64)</f>
        <v>2550.715942671002</v>
      </c>
      <c r="AH65" s="113"/>
      <c r="AI65" s="114">
        <f>SUM(AI64:AI64)</f>
        <v>1176.7345186209502</v>
      </c>
      <c r="AJ65" s="114">
        <f>SUM(AJ64:AJ64)</f>
        <v>5745.233237972873</v>
      </c>
      <c r="AK65" s="113"/>
      <c r="AL65" s="114">
        <f>SUM(AL64:AL64)</f>
        <v>1155.301162865848</v>
      </c>
      <c r="AM65" s="114">
        <f>SUM(AM64:AM64)</f>
        <v>5640.588030462669</v>
      </c>
      <c r="AN65" s="113"/>
      <c r="AO65" s="114">
        <f>SUM(AO64:AO64)</f>
        <v>1133.867807110746</v>
      </c>
      <c r="AP65" s="114">
        <f>SUM(AP64:AP64)</f>
        <v>5535.942822952466</v>
      </c>
      <c r="AQ65" s="113"/>
      <c r="AR65" s="114">
        <f>SUM(AR64:AR64)</f>
        <v>1112.434451355644</v>
      </c>
      <c r="AS65" s="114">
        <f>SUM(AS64:AS64)</f>
        <v>5431.29761544226</v>
      </c>
      <c r="AT65" s="113"/>
      <c r="AU65" s="114">
        <f>SUM(AU64:AU64)</f>
        <v>1091.001095600542</v>
      </c>
      <c r="AV65" s="114">
        <f>SUM(AV64:AV64)</f>
        <v>5326.652407932058</v>
      </c>
      <c r="AW65" s="113"/>
      <c r="AX65" s="190"/>
      <c r="AY65" s="190"/>
      <c r="AZ65" s="113"/>
      <c r="BA65" s="190"/>
      <c r="BB65" s="190"/>
      <c r="BC65" s="29"/>
    </row>
    <row r="66" spans="1:55" ht="15">
      <c r="A66" s="16"/>
      <c r="B66" s="90"/>
      <c r="C66" s="115"/>
      <c r="D66" s="115"/>
      <c r="E66" s="115"/>
      <c r="F66" s="1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W66" s="179"/>
      <c r="AX66" s="29"/>
      <c r="AY66" s="29"/>
      <c r="AZ66" s="29"/>
      <c r="BA66" s="29"/>
      <c r="BB66" s="29"/>
      <c r="BC66" s="29"/>
    </row>
    <row r="67" spans="1:55" ht="15.75" thickBot="1">
      <c r="A67" s="16"/>
      <c r="B67" s="90"/>
      <c r="C67" s="115"/>
      <c r="D67" s="115"/>
      <c r="E67" s="115"/>
      <c r="F67" s="115"/>
      <c r="G67" s="16"/>
      <c r="H67" s="16"/>
      <c r="AW67" s="179"/>
      <c r="AX67" s="29"/>
      <c r="AY67" s="29"/>
      <c r="AZ67" s="29"/>
      <c r="BA67" s="29"/>
      <c r="BB67" s="29"/>
      <c r="BC67" s="29"/>
    </row>
    <row r="68" spans="1:55" ht="15.75" thickBot="1">
      <c r="A68" s="116" t="s">
        <v>71</v>
      </c>
      <c r="B68" s="117"/>
      <c r="C68" s="118"/>
      <c r="D68" s="119">
        <v>2014</v>
      </c>
      <c r="E68" s="120">
        <v>2015</v>
      </c>
      <c r="F68" s="120">
        <v>2016</v>
      </c>
      <c r="G68" s="120">
        <v>2017</v>
      </c>
      <c r="H68" s="121">
        <v>2018</v>
      </c>
      <c r="I68" s="121">
        <v>2019</v>
      </c>
      <c r="J68" s="121">
        <v>2020</v>
      </c>
      <c r="K68" s="121">
        <v>2021</v>
      </c>
      <c r="L68" s="121">
        <v>2022</v>
      </c>
      <c r="M68" s="121">
        <v>2023</v>
      </c>
      <c r="N68" s="121">
        <v>2024</v>
      </c>
      <c r="O68" s="121">
        <v>2025</v>
      </c>
      <c r="P68" s="121">
        <v>2026</v>
      </c>
      <c r="Q68" s="121">
        <v>2027</v>
      </c>
      <c r="R68" s="150">
        <v>2028</v>
      </c>
      <c r="S68" s="183"/>
      <c r="U68" s="151"/>
      <c r="V68" s="151"/>
      <c r="W68" s="151"/>
      <c r="AW68" s="179"/>
      <c r="AX68" s="29"/>
      <c r="AY68" s="29"/>
      <c r="AZ68" s="29"/>
      <c r="BA68" s="29"/>
      <c r="BB68" s="29"/>
      <c r="BC68" s="29"/>
    </row>
    <row r="69" spans="1:23" ht="15">
      <c r="A69" s="117"/>
      <c r="B69" s="122" t="s">
        <v>72</v>
      </c>
      <c r="C69" s="123">
        <v>40</v>
      </c>
      <c r="D69" s="103"/>
      <c r="E69" s="103"/>
      <c r="F69" s="48"/>
      <c r="G69" s="103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184"/>
      <c r="T69" s="32"/>
      <c r="U69" s="32"/>
      <c r="V69" s="32"/>
      <c r="W69" s="32"/>
    </row>
    <row r="70" spans="1:23" ht="15">
      <c r="A70" s="117" t="s">
        <v>73</v>
      </c>
      <c r="B70" s="117"/>
      <c r="C70" s="102"/>
      <c r="D70" s="104"/>
      <c r="E70" s="104">
        <f aca="true" t="shared" si="0" ref="E70:K70">D72</f>
        <v>338897.9700000001</v>
      </c>
      <c r="F70" s="104">
        <f t="shared" si="0"/>
        <v>346339.7200000001</v>
      </c>
      <c r="G70" s="104">
        <f t="shared" si="0"/>
        <v>346339.7200000001</v>
      </c>
      <c r="H70" s="104">
        <f t="shared" si="0"/>
        <v>355852.1800000001</v>
      </c>
      <c r="I70" s="104">
        <f t="shared" si="0"/>
        <v>355852.1800000001</v>
      </c>
      <c r="J70" s="104">
        <f t="shared" si="0"/>
        <v>355852.1800000001</v>
      </c>
      <c r="K70" s="104">
        <f t="shared" si="0"/>
        <v>355852.1800000001</v>
      </c>
      <c r="L70" s="104">
        <f aca="true" t="shared" si="1" ref="L70:R70">K72</f>
        <v>355852.1800000001</v>
      </c>
      <c r="M70" s="104">
        <f t="shared" si="1"/>
        <v>355852.1800000001</v>
      </c>
      <c r="N70" s="104">
        <f t="shared" si="1"/>
        <v>355852.1800000001</v>
      </c>
      <c r="O70" s="104">
        <f t="shared" si="1"/>
        <v>355852.1800000001</v>
      </c>
      <c r="P70" s="104">
        <f t="shared" si="1"/>
        <v>355852.1800000001</v>
      </c>
      <c r="Q70" s="104">
        <f t="shared" si="1"/>
        <v>355852.1800000001</v>
      </c>
      <c r="R70" s="104">
        <f t="shared" si="1"/>
        <v>355852.1800000001</v>
      </c>
      <c r="S70" s="185"/>
      <c r="T70" s="151"/>
      <c r="U70" s="102"/>
      <c r="V70" s="102"/>
      <c r="W70" s="102"/>
    </row>
    <row r="71" spans="1:23" ht="15">
      <c r="A71" s="117" t="s">
        <v>74</v>
      </c>
      <c r="B71" s="117"/>
      <c r="C71" s="124"/>
      <c r="D71" s="125">
        <f>'Projects Listings'!C90</f>
        <v>338897.9700000001</v>
      </c>
      <c r="E71" s="125">
        <f>'Projects Listings'!D90</f>
        <v>7441.75</v>
      </c>
      <c r="F71" s="125">
        <f>'Projects Listings'!E90</f>
        <v>0</v>
      </c>
      <c r="G71" s="125">
        <v>9512.46</v>
      </c>
      <c r="H71" s="125">
        <f>'Projects Listings'!G90</f>
        <v>0</v>
      </c>
      <c r="I71" s="125">
        <f>'Projects Listings'!H90</f>
        <v>0</v>
      </c>
      <c r="J71" s="125">
        <f>'Projects Listings'!I90</f>
        <v>0</v>
      </c>
      <c r="K71" s="125">
        <f>'Projects Listings'!J90</f>
        <v>0</v>
      </c>
      <c r="L71" s="125">
        <f>'Projects Listings'!K90</f>
        <v>0</v>
      </c>
      <c r="M71" s="125">
        <f>'Projects Listings'!L90</f>
        <v>0</v>
      </c>
      <c r="N71" s="125">
        <f>'Projects Listings'!M90</f>
        <v>0</v>
      </c>
      <c r="O71" s="125">
        <f>'Projects Listings'!N90</f>
        <v>0</v>
      </c>
      <c r="P71" s="125">
        <f>'Projects Listings'!O90</f>
        <v>0</v>
      </c>
      <c r="Q71" s="125">
        <f>'Projects Listings'!P90</f>
        <v>0</v>
      </c>
      <c r="R71" s="125">
        <f>'Projects Listings'!Q90</f>
        <v>0</v>
      </c>
      <c r="S71" s="186"/>
      <c r="T71" s="100"/>
      <c r="U71" s="100"/>
      <c r="V71" s="100"/>
      <c r="W71" s="100"/>
    </row>
    <row r="72" spans="1:23" ht="15">
      <c r="A72" s="117" t="s">
        <v>75</v>
      </c>
      <c r="B72" s="117"/>
      <c r="C72" s="102"/>
      <c r="D72" s="104">
        <f aca="true" t="shared" si="2" ref="D72:I72">SUM(D70:D71)</f>
        <v>338897.9700000001</v>
      </c>
      <c r="E72" s="104">
        <f t="shared" si="2"/>
        <v>346339.7200000001</v>
      </c>
      <c r="F72" s="104">
        <f t="shared" si="2"/>
        <v>346339.7200000001</v>
      </c>
      <c r="G72" s="104">
        <f t="shared" si="2"/>
        <v>355852.1800000001</v>
      </c>
      <c r="H72" s="104">
        <f t="shared" si="2"/>
        <v>355852.1800000001</v>
      </c>
      <c r="I72" s="104">
        <f t="shared" si="2"/>
        <v>355852.1800000001</v>
      </c>
      <c r="J72" s="104">
        <f aca="true" t="shared" si="3" ref="J72:R72">SUM(J70:J71)</f>
        <v>355852.1800000001</v>
      </c>
      <c r="K72" s="104">
        <f t="shared" si="3"/>
        <v>355852.1800000001</v>
      </c>
      <c r="L72" s="104">
        <f t="shared" si="3"/>
        <v>355852.1800000001</v>
      </c>
      <c r="M72" s="104">
        <f t="shared" si="3"/>
        <v>355852.1800000001</v>
      </c>
      <c r="N72" s="104">
        <f t="shared" si="3"/>
        <v>355852.1800000001</v>
      </c>
      <c r="O72" s="104">
        <f t="shared" si="3"/>
        <v>355852.1800000001</v>
      </c>
      <c r="P72" s="104">
        <f t="shared" si="3"/>
        <v>355852.1800000001</v>
      </c>
      <c r="Q72" s="104">
        <f t="shared" si="3"/>
        <v>355852.1800000001</v>
      </c>
      <c r="R72" s="104">
        <f t="shared" si="3"/>
        <v>355852.1800000001</v>
      </c>
      <c r="S72" s="185"/>
      <c r="T72" s="102"/>
      <c r="U72" s="102"/>
      <c r="V72" s="102"/>
      <c r="W72" s="102"/>
    </row>
    <row r="73" spans="1:23" ht="15">
      <c r="A73" s="117"/>
      <c r="B73" s="117"/>
      <c r="C73" s="102"/>
      <c r="D73" s="102"/>
      <c r="E73" s="103"/>
      <c r="F73" s="48"/>
      <c r="G73" s="103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184"/>
      <c r="T73" s="32"/>
      <c r="U73" s="32"/>
      <c r="V73" s="32"/>
      <c r="W73" s="32"/>
    </row>
    <row r="74" spans="1:23" ht="15">
      <c r="A74" s="117" t="s">
        <v>76</v>
      </c>
      <c r="B74" s="117"/>
      <c r="C74" s="102"/>
      <c r="D74" s="104"/>
      <c r="E74" s="104">
        <f aca="true" t="shared" si="4" ref="E74:K74">D77</f>
        <v>4491.549568470918</v>
      </c>
      <c r="F74" s="104">
        <f t="shared" si="4"/>
        <v>13500.528110137586</v>
      </c>
      <c r="G74" s="104">
        <f t="shared" si="4"/>
        <v>22602.528526804257</v>
      </c>
      <c r="H74" s="104">
        <f t="shared" si="4"/>
        <v>31823.12852680426</v>
      </c>
      <c r="I74" s="104">
        <f t="shared" si="4"/>
        <v>41163.128526804256</v>
      </c>
      <c r="J74" s="104">
        <f t="shared" si="4"/>
        <v>50503.128526804256</v>
      </c>
      <c r="K74" s="104">
        <f t="shared" si="4"/>
        <v>59843.128526804256</v>
      </c>
      <c r="L74" s="104">
        <f aca="true" t="shared" si="5" ref="L74:R74">K77</f>
        <v>69183.12852680426</v>
      </c>
      <c r="M74" s="104">
        <f t="shared" si="5"/>
        <v>78523.12852680426</v>
      </c>
      <c r="N74" s="104">
        <f t="shared" si="5"/>
        <v>87863.12852680426</v>
      </c>
      <c r="O74" s="104">
        <f t="shared" si="5"/>
        <v>97203.12852680426</v>
      </c>
      <c r="P74" s="104">
        <f t="shared" si="5"/>
        <v>106543.12852680426</v>
      </c>
      <c r="Q74" s="104">
        <f t="shared" si="5"/>
        <v>115883.12852680426</v>
      </c>
      <c r="R74" s="104">
        <f t="shared" si="5"/>
        <v>125223.12852680426</v>
      </c>
      <c r="S74" s="185"/>
      <c r="T74" s="102"/>
      <c r="U74" s="102"/>
      <c r="V74" s="102"/>
      <c r="W74" s="102"/>
    </row>
    <row r="75" spans="1:23" ht="15">
      <c r="A75" s="117" t="s">
        <v>77</v>
      </c>
      <c r="B75" s="117"/>
      <c r="C75" s="102"/>
      <c r="D75" s="127"/>
      <c r="E75" s="111">
        <f>'[5]Depreciation Calculations'!$H$18</f>
        <v>8915.956666666669</v>
      </c>
      <c r="F75" s="102">
        <f>'[5]Depreciation Calculations'!$I$18+'[5]Depreciation Calculations'!$I$21</f>
        <v>9102.00041666667</v>
      </c>
      <c r="G75" s="102">
        <f>9102-0.3</f>
        <v>9101.7</v>
      </c>
      <c r="H75" s="102">
        <v>9340</v>
      </c>
      <c r="I75" s="102">
        <v>9340</v>
      </c>
      <c r="J75" s="102">
        <v>9340</v>
      </c>
      <c r="K75" s="102">
        <v>9340</v>
      </c>
      <c r="L75" s="102">
        <v>9340</v>
      </c>
      <c r="M75" s="102">
        <v>9340</v>
      </c>
      <c r="N75" s="102">
        <v>9340</v>
      </c>
      <c r="O75" s="102">
        <v>9340</v>
      </c>
      <c r="P75" s="102">
        <v>9340</v>
      </c>
      <c r="Q75" s="102">
        <v>9340</v>
      </c>
      <c r="R75" s="102">
        <v>9340</v>
      </c>
      <c r="S75" s="185"/>
      <c r="T75" s="102"/>
      <c r="U75" s="102"/>
      <c r="V75" s="102"/>
      <c r="W75" s="102"/>
    </row>
    <row r="76" spans="1:23" ht="15">
      <c r="A76" s="117" t="s">
        <v>78</v>
      </c>
      <c r="B76" s="16"/>
      <c r="C76" s="16"/>
      <c r="D76" s="214">
        <f>'[2]Sheet1'!$G$24</f>
        <v>4491.549568470918</v>
      </c>
      <c r="E76" s="112">
        <f>'[4]Sheet1'!$E$5</f>
        <v>93.021875</v>
      </c>
      <c r="F76" s="103">
        <f>F71/C69/2</f>
        <v>0</v>
      </c>
      <c r="G76" s="112">
        <v>118.9</v>
      </c>
      <c r="H76" s="103">
        <f>H71/C69/2</f>
        <v>0</v>
      </c>
      <c r="I76" s="103">
        <f>I71/C69/2</f>
        <v>0</v>
      </c>
      <c r="J76" s="103">
        <f>J71/C69/2</f>
        <v>0</v>
      </c>
      <c r="K76" s="103">
        <f>K71/C69/2</f>
        <v>0</v>
      </c>
      <c r="L76" s="103">
        <f>L71/C69/2</f>
        <v>0</v>
      </c>
      <c r="M76" s="103">
        <f aca="true" t="shared" si="6" ref="M76:R76">M71/$C69/2</f>
        <v>0</v>
      </c>
      <c r="N76" s="103">
        <f t="shared" si="6"/>
        <v>0</v>
      </c>
      <c r="O76" s="103">
        <f t="shared" si="6"/>
        <v>0</v>
      </c>
      <c r="P76" s="103">
        <f t="shared" si="6"/>
        <v>0</v>
      </c>
      <c r="Q76" s="103">
        <f t="shared" si="6"/>
        <v>0</v>
      </c>
      <c r="R76" s="103">
        <f t="shared" si="6"/>
        <v>0</v>
      </c>
      <c r="S76" s="185"/>
      <c r="T76" s="102"/>
      <c r="U76" s="102"/>
      <c r="V76" s="102"/>
      <c r="W76" s="102"/>
    </row>
    <row r="77" spans="1:23" ht="15">
      <c r="A77" s="117" t="s">
        <v>79</v>
      </c>
      <c r="B77" s="117"/>
      <c r="C77" s="102"/>
      <c r="D77" s="104">
        <f>SUM(D74+D76)</f>
        <v>4491.549568470918</v>
      </c>
      <c r="E77" s="104">
        <f aca="true" t="shared" si="7" ref="E77:J77">SUM(E74:E76)</f>
        <v>13500.528110137586</v>
      </c>
      <c r="F77" s="104">
        <f t="shared" si="7"/>
        <v>22602.528526804257</v>
      </c>
      <c r="G77" s="104">
        <f t="shared" si="7"/>
        <v>31823.12852680426</v>
      </c>
      <c r="H77" s="104">
        <f t="shared" si="7"/>
        <v>41163.128526804256</v>
      </c>
      <c r="I77" s="104">
        <f t="shared" si="7"/>
        <v>50503.128526804256</v>
      </c>
      <c r="J77" s="104">
        <f t="shared" si="7"/>
        <v>59843.128526804256</v>
      </c>
      <c r="K77" s="104">
        <f aca="true" t="shared" si="8" ref="K77:R77">SUM(K74:K76)</f>
        <v>69183.12852680426</v>
      </c>
      <c r="L77" s="104">
        <f t="shared" si="8"/>
        <v>78523.12852680426</v>
      </c>
      <c r="M77" s="104">
        <f t="shared" si="8"/>
        <v>87863.12852680426</v>
      </c>
      <c r="N77" s="104">
        <f t="shared" si="8"/>
        <v>97203.12852680426</v>
      </c>
      <c r="O77" s="104">
        <f t="shared" si="8"/>
        <v>106543.12852680426</v>
      </c>
      <c r="P77" s="104">
        <f t="shared" si="8"/>
        <v>115883.12852680426</v>
      </c>
      <c r="Q77" s="104">
        <f t="shared" si="8"/>
        <v>125223.12852680426</v>
      </c>
      <c r="R77" s="104">
        <f t="shared" si="8"/>
        <v>134563.12852680427</v>
      </c>
      <c r="S77" s="185"/>
      <c r="T77" s="102"/>
      <c r="U77" s="102"/>
      <c r="V77" s="102"/>
      <c r="W77" s="102"/>
    </row>
    <row r="78" spans="1:23" ht="15">
      <c r="A78" s="117"/>
      <c r="B78" s="117"/>
      <c r="C78" s="34"/>
      <c r="D78" s="58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85"/>
      <c r="T78" s="102"/>
      <c r="U78" s="102"/>
      <c r="V78" s="102"/>
      <c r="W78" s="102"/>
    </row>
    <row r="79" spans="1:23" ht="15">
      <c r="A79" s="117" t="s">
        <v>80</v>
      </c>
      <c r="B79" s="117"/>
      <c r="C79" s="102"/>
      <c r="D79" s="103">
        <f>D70-D74</f>
        <v>0</v>
      </c>
      <c r="E79" s="103">
        <f aca="true" t="shared" si="9" ref="E79:K79">D80</f>
        <v>334406.4204315292</v>
      </c>
      <c r="F79" s="103">
        <f t="shared" si="9"/>
        <v>332839.19188986253</v>
      </c>
      <c r="G79" s="103">
        <f t="shared" si="9"/>
        <v>323737.19147319585</v>
      </c>
      <c r="H79" s="103">
        <f t="shared" si="9"/>
        <v>324029.05147319584</v>
      </c>
      <c r="I79" s="103">
        <f t="shared" si="9"/>
        <v>314689.05147319584</v>
      </c>
      <c r="J79" s="103">
        <f t="shared" si="9"/>
        <v>305349.05147319584</v>
      </c>
      <c r="K79" s="103">
        <f t="shared" si="9"/>
        <v>296009.05147319584</v>
      </c>
      <c r="L79" s="103">
        <f aca="true" t="shared" si="10" ref="L79:R79">K80</f>
        <v>286669.05147319584</v>
      </c>
      <c r="M79" s="103">
        <f t="shared" si="10"/>
        <v>277329.05147319584</v>
      </c>
      <c r="N79" s="103">
        <f t="shared" si="10"/>
        <v>267989.05147319584</v>
      </c>
      <c r="O79" s="103">
        <f t="shared" si="10"/>
        <v>258649.05147319584</v>
      </c>
      <c r="P79" s="103">
        <f t="shared" si="10"/>
        <v>249309.05147319584</v>
      </c>
      <c r="Q79" s="103">
        <f t="shared" si="10"/>
        <v>239969.05147319584</v>
      </c>
      <c r="R79" s="103">
        <f t="shared" si="10"/>
        <v>230629.05147319584</v>
      </c>
      <c r="S79" s="185"/>
      <c r="T79" s="102"/>
      <c r="U79" s="102"/>
      <c r="V79" s="102"/>
      <c r="W79" s="102"/>
    </row>
    <row r="80" spans="1:23" ht="14.25">
      <c r="A80" s="117" t="s">
        <v>81</v>
      </c>
      <c r="B80" s="117"/>
      <c r="C80" s="102"/>
      <c r="D80" s="104">
        <f aca="true" t="shared" si="11" ref="D80:I80">D72-D77</f>
        <v>334406.4204315292</v>
      </c>
      <c r="E80" s="104">
        <f t="shared" si="11"/>
        <v>332839.19188986253</v>
      </c>
      <c r="F80" s="104">
        <f t="shared" si="11"/>
        <v>323737.19147319585</v>
      </c>
      <c r="G80" s="104">
        <f t="shared" si="11"/>
        <v>324029.05147319584</v>
      </c>
      <c r="H80" s="104">
        <f t="shared" si="11"/>
        <v>314689.05147319584</v>
      </c>
      <c r="I80" s="104">
        <f t="shared" si="11"/>
        <v>305349.05147319584</v>
      </c>
      <c r="J80" s="104">
        <f aca="true" t="shared" si="12" ref="J80:R80">J72-J77</f>
        <v>296009.05147319584</v>
      </c>
      <c r="K80" s="104">
        <f t="shared" si="12"/>
        <v>286669.05147319584</v>
      </c>
      <c r="L80" s="104">
        <f t="shared" si="12"/>
        <v>277329.05147319584</v>
      </c>
      <c r="M80" s="104">
        <f t="shared" si="12"/>
        <v>267989.05147319584</v>
      </c>
      <c r="N80" s="104">
        <f t="shared" si="12"/>
        <v>258649.05147319584</v>
      </c>
      <c r="O80" s="104">
        <f t="shared" si="12"/>
        <v>249309.05147319584</v>
      </c>
      <c r="P80" s="104">
        <f t="shared" si="12"/>
        <v>239969.05147319584</v>
      </c>
      <c r="Q80" s="104">
        <f t="shared" si="12"/>
        <v>230629.05147319584</v>
      </c>
      <c r="R80" s="104">
        <f t="shared" si="12"/>
        <v>221289.05147319584</v>
      </c>
      <c r="S80" s="185"/>
      <c r="T80" s="102"/>
      <c r="U80" s="102"/>
      <c r="V80" s="102"/>
      <c r="W80" s="102"/>
    </row>
    <row r="81" spans="1:23" ht="14.25" thickBot="1">
      <c r="A81" s="128" t="s">
        <v>82</v>
      </c>
      <c r="B81" s="117"/>
      <c r="C81" s="102"/>
      <c r="D81" s="129">
        <f aca="true" t="shared" si="13" ref="D81:I81">SUM(D79:D80)/2</f>
        <v>167203.2102157646</v>
      </c>
      <c r="E81" s="129">
        <f t="shared" si="13"/>
        <v>333622.80616069585</v>
      </c>
      <c r="F81" s="129">
        <f t="shared" si="13"/>
        <v>328288.19168152916</v>
      </c>
      <c r="G81" s="129">
        <f t="shared" si="13"/>
        <v>323883.12147319585</v>
      </c>
      <c r="H81" s="129">
        <f t="shared" si="13"/>
        <v>319359.05147319584</v>
      </c>
      <c r="I81" s="129">
        <f t="shared" si="13"/>
        <v>310019.05147319584</v>
      </c>
      <c r="J81" s="129">
        <f aca="true" t="shared" si="14" ref="J81:R81">SUM(J79:J80)/2</f>
        <v>300679.05147319584</v>
      </c>
      <c r="K81" s="129">
        <f t="shared" si="14"/>
        <v>291339.05147319584</v>
      </c>
      <c r="L81" s="129">
        <f t="shared" si="14"/>
        <v>281999.05147319584</v>
      </c>
      <c r="M81" s="129">
        <f t="shared" si="14"/>
        <v>272659.05147319584</v>
      </c>
      <c r="N81" s="129">
        <f t="shared" si="14"/>
        <v>263319.05147319584</v>
      </c>
      <c r="O81" s="129">
        <f t="shared" si="14"/>
        <v>253979.05147319584</v>
      </c>
      <c r="P81" s="129">
        <f t="shared" si="14"/>
        <v>244639.05147319584</v>
      </c>
      <c r="Q81" s="129">
        <f t="shared" si="14"/>
        <v>235299.05147319584</v>
      </c>
      <c r="R81" s="129">
        <f t="shared" si="14"/>
        <v>225959.05147319584</v>
      </c>
      <c r="S81" s="185"/>
      <c r="T81" s="102"/>
      <c r="U81" s="102"/>
      <c r="V81" s="102"/>
      <c r="W81" s="102"/>
    </row>
    <row r="82" spans="1:23" ht="14.25">
      <c r="A82" s="117"/>
      <c r="B82" s="117"/>
      <c r="C82" s="102"/>
      <c r="D82" s="103"/>
      <c r="E82" s="103"/>
      <c r="F82" s="48"/>
      <c r="G82" s="103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184"/>
      <c r="T82" s="32"/>
      <c r="U82" s="32"/>
      <c r="V82" s="32"/>
      <c r="W82" s="32"/>
    </row>
    <row r="83" spans="1:23" ht="14.25" thickBot="1">
      <c r="A83" s="116" t="s">
        <v>83</v>
      </c>
      <c r="B83" s="128"/>
      <c r="C83" s="103"/>
      <c r="D83" s="103"/>
      <c r="E83" s="103"/>
      <c r="F83" s="48"/>
      <c r="G83" s="103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184"/>
      <c r="T83" s="32"/>
      <c r="U83" s="32"/>
      <c r="V83" s="32"/>
      <c r="W83" s="32"/>
    </row>
    <row r="84" spans="1:23" ht="14.25" thickBot="1">
      <c r="A84" s="128"/>
      <c r="B84" s="48"/>
      <c r="C84" s="128"/>
      <c r="D84" s="119">
        <v>2014</v>
      </c>
      <c r="E84" s="120">
        <v>2015</v>
      </c>
      <c r="F84" s="120">
        <v>2016</v>
      </c>
      <c r="G84" s="120">
        <v>2017</v>
      </c>
      <c r="H84" s="121">
        <v>2018</v>
      </c>
      <c r="I84" s="121">
        <v>2019</v>
      </c>
      <c r="J84" s="121">
        <v>2020</v>
      </c>
      <c r="K84" s="121">
        <v>2021</v>
      </c>
      <c r="L84" s="121">
        <v>2022</v>
      </c>
      <c r="M84" s="121">
        <v>2023</v>
      </c>
      <c r="N84" s="121">
        <v>2024</v>
      </c>
      <c r="O84" s="121">
        <v>2025</v>
      </c>
      <c r="P84" s="121">
        <v>2026</v>
      </c>
      <c r="Q84" s="121">
        <v>2027</v>
      </c>
      <c r="R84" s="150">
        <v>2028</v>
      </c>
      <c r="S84" s="183"/>
      <c r="T84" s="151"/>
      <c r="U84" s="151"/>
      <c r="V84" s="151"/>
      <c r="W84" s="151"/>
    </row>
    <row r="85" spans="1:23" ht="14.25">
      <c r="A85" s="117"/>
      <c r="B85" s="48"/>
      <c r="C85" s="117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85"/>
      <c r="T85" s="102"/>
      <c r="U85" s="102"/>
      <c r="V85" s="102"/>
      <c r="W85" s="102"/>
    </row>
    <row r="86" spans="1:23" ht="14.25">
      <c r="A86" s="117" t="s">
        <v>84</v>
      </c>
      <c r="B86" s="48"/>
      <c r="C86" s="117"/>
      <c r="D86" s="104"/>
      <c r="E86" s="104">
        <f aca="true" t="shared" si="15" ref="E86:K86">D94</f>
        <v>325342.0512000001</v>
      </c>
      <c r="F86" s="104">
        <f t="shared" si="15"/>
        <v>306458.7671040001</v>
      </c>
      <c r="G86" s="104">
        <f t="shared" si="15"/>
        <v>281942.06573568005</v>
      </c>
      <c r="H86" s="104">
        <f t="shared" si="15"/>
        <v>268518.6620768257</v>
      </c>
      <c r="I86" s="104">
        <f t="shared" si="15"/>
        <v>247037.16911067962</v>
      </c>
      <c r="J86" s="104">
        <f t="shared" si="15"/>
        <v>227274.19558182525</v>
      </c>
      <c r="K86" s="104">
        <f t="shared" si="15"/>
        <v>209092.25993527923</v>
      </c>
      <c r="L86" s="104">
        <f aca="true" t="shared" si="16" ref="L86:R86">K94</f>
        <v>192364.8791404569</v>
      </c>
      <c r="M86" s="104">
        <f t="shared" si="16"/>
        <v>176975.68880922036</v>
      </c>
      <c r="N86" s="104">
        <f t="shared" si="16"/>
        <v>162817.63370448272</v>
      </c>
      <c r="O86" s="104">
        <f t="shared" si="16"/>
        <v>149792.2230081241</v>
      </c>
      <c r="P86" s="104">
        <f t="shared" si="16"/>
        <v>137808.84516747418</v>
      </c>
      <c r="Q86" s="104">
        <f t="shared" si="16"/>
        <v>126784.13755407624</v>
      </c>
      <c r="R86" s="104">
        <f t="shared" si="16"/>
        <v>116641.40654975014</v>
      </c>
      <c r="S86" s="185"/>
      <c r="T86" s="102"/>
      <c r="U86" s="102"/>
      <c r="V86" s="102"/>
      <c r="W86" s="102"/>
    </row>
    <row r="87" spans="1:23" ht="14.25">
      <c r="A87" s="117" t="s">
        <v>85</v>
      </c>
      <c r="B87" s="48"/>
      <c r="C87" s="117"/>
      <c r="D87" s="103">
        <f aca="true" t="shared" si="17" ref="D87:I87">D71</f>
        <v>338897.9700000001</v>
      </c>
      <c r="E87" s="103">
        <f t="shared" si="17"/>
        <v>7441.75</v>
      </c>
      <c r="F87" s="103">
        <f t="shared" si="17"/>
        <v>0</v>
      </c>
      <c r="G87" s="103">
        <f t="shared" si="17"/>
        <v>9512.46</v>
      </c>
      <c r="H87" s="103">
        <f t="shared" si="17"/>
        <v>0</v>
      </c>
      <c r="I87" s="103">
        <f t="shared" si="17"/>
        <v>0</v>
      </c>
      <c r="J87" s="103">
        <f aca="true" t="shared" si="18" ref="J87:R87">J71</f>
        <v>0</v>
      </c>
      <c r="K87" s="103">
        <f t="shared" si="18"/>
        <v>0</v>
      </c>
      <c r="L87" s="103">
        <f t="shared" si="18"/>
        <v>0</v>
      </c>
      <c r="M87" s="103">
        <f t="shared" si="18"/>
        <v>0</v>
      </c>
      <c r="N87" s="103">
        <f t="shared" si="18"/>
        <v>0</v>
      </c>
      <c r="O87" s="103">
        <f t="shared" si="18"/>
        <v>0</v>
      </c>
      <c r="P87" s="103">
        <f t="shared" si="18"/>
        <v>0</v>
      </c>
      <c r="Q87" s="103">
        <f t="shared" si="18"/>
        <v>0</v>
      </c>
      <c r="R87" s="103">
        <f t="shared" si="18"/>
        <v>0</v>
      </c>
      <c r="S87" s="185"/>
      <c r="T87" s="102"/>
      <c r="U87" s="102"/>
      <c r="V87" s="102"/>
      <c r="W87" s="102"/>
    </row>
    <row r="88" spans="1:23" ht="14.25">
      <c r="A88" s="117" t="s">
        <v>86</v>
      </c>
      <c r="B88" s="48"/>
      <c r="C88" s="117"/>
      <c r="D88" s="104">
        <f aca="true" t="shared" si="19" ref="D88:I88">SUM(D86:D87)</f>
        <v>338897.9700000001</v>
      </c>
      <c r="E88" s="104">
        <f t="shared" si="19"/>
        <v>332783.8012000001</v>
      </c>
      <c r="F88" s="104">
        <f t="shared" si="19"/>
        <v>306458.7671040001</v>
      </c>
      <c r="G88" s="104">
        <f t="shared" si="19"/>
        <v>291454.5257356801</v>
      </c>
      <c r="H88" s="104">
        <f t="shared" si="19"/>
        <v>268518.6620768257</v>
      </c>
      <c r="I88" s="104">
        <f t="shared" si="19"/>
        <v>247037.16911067962</v>
      </c>
      <c r="J88" s="104">
        <f aca="true" t="shared" si="20" ref="J88:R88">SUM(J86:J87)</f>
        <v>227274.19558182525</v>
      </c>
      <c r="K88" s="104">
        <f t="shared" si="20"/>
        <v>209092.25993527923</v>
      </c>
      <c r="L88" s="104">
        <f t="shared" si="20"/>
        <v>192364.8791404569</v>
      </c>
      <c r="M88" s="104">
        <f t="shared" si="20"/>
        <v>176975.68880922036</v>
      </c>
      <c r="N88" s="104">
        <f t="shared" si="20"/>
        <v>162817.63370448272</v>
      </c>
      <c r="O88" s="104">
        <f t="shared" si="20"/>
        <v>149792.2230081241</v>
      </c>
      <c r="P88" s="104">
        <f t="shared" si="20"/>
        <v>137808.84516747418</v>
      </c>
      <c r="Q88" s="104">
        <f t="shared" si="20"/>
        <v>126784.13755407624</v>
      </c>
      <c r="R88" s="104">
        <f t="shared" si="20"/>
        <v>116641.40654975014</v>
      </c>
      <c r="S88" s="185"/>
      <c r="T88" s="102"/>
      <c r="U88" s="102"/>
      <c r="V88" s="102"/>
      <c r="W88" s="102"/>
    </row>
    <row r="89" spans="1:23" ht="14.25">
      <c r="A89" s="117" t="s">
        <v>87</v>
      </c>
      <c r="B89" s="48"/>
      <c r="C89" s="117"/>
      <c r="D89" s="103">
        <f aca="true" t="shared" si="21" ref="D89:I89">D87/2</f>
        <v>169448.98500000004</v>
      </c>
      <c r="E89" s="103">
        <f t="shared" si="21"/>
        <v>3720.875</v>
      </c>
      <c r="F89" s="103">
        <f t="shared" si="21"/>
        <v>0</v>
      </c>
      <c r="G89" s="103">
        <f t="shared" si="21"/>
        <v>4756.23</v>
      </c>
      <c r="H89" s="103">
        <f t="shared" si="21"/>
        <v>0</v>
      </c>
      <c r="I89" s="103">
        <f t="shared" si="21"/>
        <v>0</v>
      </c>
      <c r="J89" s="103">
        <f aca="true" t="shared" si="22" ref="J89:R89">J87/2</f>
        <v>0</v>
      </c>
      <c r="K89" s="103">
        <f t="shared" si="22"/>
        <v>0</v>
      </c>
      <c r="L89" s="103">
        <f t="shared" si="22"/>
        <v>0</v>
      </c>
      <c r="M89" s="103">
        <f t="shared" si="22"/>
        <v>0</v>
      </c>
      <c r="N89" s="103">
        <f t="shared" si="22"/>
        <v>0</v>
      </c>
      <c r="O89" s="103">
        <f t="shared" si="22"/>
        <v>0</v>
      </c>
      <c r="P89" s="103">
        <f t="shared" si="22"/>
        <v>0</v>
      </c>
      <c r="Q89" s="103">
        <f t="shared" si="22"/>
        <v>0</v>
      </c>
      <c r="R89" s="103">
        <f t="shared" si="22"/>
        <v>0</v>
      </c>
      <c r="S89" s="185"/>
      <c r="T89" s="102"/>
      <c r="U89" s="102"/>
      <c r="V89" s="102"/>
      <c r="W89" s="102"/>
    </row>
    <row r="90" spans="1:23" ht="14.25">
      <c r="A90" s="117" t="s">
        <v>88</v>
      </c>
      <c r="B90" s="48"/>
      <c r="C90" s="117"/>
      <c r="D90" s="104">
        <f aca="true" t="shared" si="23" ref="D90:I90">D88-D89</f>
        <v>169448.98500000004</v>
      </c>
      <c r="E90" s="104">
        <f t="shared" si="23"/>
        <v>329062.9262000001</v>
      </c>
      <c r="F90" s="104">
        <f t="shared" si="23"/>
        <v>306458.7671040001</v>
      </c>
      <c r="G90" s="104">
        <f t="shared" si="23"/>
        <v>286698.2957356801</v>
      </c>
      <c r="H90" s="104">
        <f t="shared" si="23"/>
        <v>268518.6620768257</v>
      </c>
      <c r="I90" s="104">
        <f t="shared" si="23"/>
        <v>247037.16911067962</v>
      </c>
      <c r="J90" s="104">
        <f aca="true" t="shared" si="24" ref="J90:R90">J88-J89</f>
        <v>227274.19558182525</v>
      </c>
      <c r="K90" s="104">
        <f t="shared" si="24"/>
        <v>209092.25993527923</v>
      </c>
      <c r="L90" s="104">
        <f t="shared" si="24"/>
        <v>192364.8791404569</v>
      </c>
      <c r="M90" s="104">
        <f t="shared" si="24"/>
        <v>176975.68880922036</v>
      </c>
      <c r="N90" s="104">
        <f t="shared" si="24"/>
        <v>162817.63370448272</v>
      </c>
      <c r="O90" s="104">
        <f t="shared" si="24"/>
        <v>149792.2230081241</v>
      </c>
      <c r="P90" s="104">
        <f t="shared" si="24"/>
        <v>137808.84516747418</v>
      </c>
      <c r="Q90" s="104">
        <f t="shared" si="24"/>
        <v>126784.13755407624</v>
      </c>
      <c r="R90" s="104">
        <f t="shared" si="24"/>
        <v>116641.40654975014</v>
      </c>
      <c r="S90" s="185"/>
      <c r="T90" s="102"/>
      <c r="U90" s="102"/>
      <c r="V90" s="102"/>
      <c r="W90" s="102"/>
    </row>
    <row r="91" spans="1:23" ht="14.25">
      <c r="A91" s="117" t="s">
        <v>89</v>
      </c>
      <c r="B91" s="48"/>
      <c r="C91" s="130">
        <v>47</v>
      </c>
      <c r="D91" s="130">
        <f>C91</f>
        <v>47</v>
      </c>
      <c r="E91" s="130">
        <f>C91</f>
        <v>47</v>
      </c>
      <c r="F91" s="130">
        <f>C91</f>
        <v>47</v>
      </c>
      <c r="G91" s="130">
        <f>C91</f>
        <v>47</v>
      </c>
      <c r="H91" s="130">
        <f aca="true" t="shared" si="25" ref="H91:K92">C91</f>
        <v>47</v>
      </c>
      <c r="I91" s="130">
        <f t="shared" si="25"/>
        <v>47</v>
      </c>
      <c r="J91" s="130">
        <f t="shared" si="25"/>
        <v>47</v>
      </c>
      <c r="K91" s="130">
        <f t="shared" si="25"/>
        <v>47</v>
      </c>
      <c r="L91" s="130">
        <f aca="true" t="shared" si="26" ref="L91:R92">G91</f>
        <v>47</v>
      </c>
      <c r="M91" s="130">
        <f t="shared" si="26"/>
        <v>47</v>
      </c>
      <c r="N91" s="130">
        <f t="shared" si="26"/>
        <v>47</v>
      </c>
      <c r="O91" s="130">
        <f t="shared" si="26"/>
        <v>47</v>
      </c>
      <c r="P91" s="130">
        <f t="shared" si="26"/>
        <v>47</v>
      </c>
      <c r="Q91" s="130">
        <f t="shared" si="26"/>
        <v>47</v>
      </c>
      <c r="R91" s="130">
        <f t="shared" si="26"/>
        <v>47</v>
      </c>
      <c r="S91" s="187"/>
      <c r="T91" s="160"/>
      <c r="U91" s="152"/>
      <c r="V91" s="152"/>
      <c r="W91" s="152"/>
    </row>
    <row r="92" spans="1:23" ht="14.25">
      <c r="A92" s="117" t="s">
        <v>90</v>
      </c>
      <c r="B92" s="48"/>
      <c r="C92" s="131">
        <v>0.08</v>
      </c>
      <c r="D92" s="131">
        <f>C92</f>
        <v>0.08</v>
      </c>
      <c r="E92" s="131">
        <f>C92</f>
        <v>0.08</v>
      </c>
      <c r="F92" s="131">
        <f>C92</f>
        <v>0.08</v>
      </c>
      <c r="G92" s="131">
        <f>C92</f>
        <v>0.08</v>
      </c>
      <c r="H92" s="131">
        <f t="shared" si="25"/>
        <v>0.08</v>
      </c>
      <c r="I92" s="131">
        <f t="shared" si="25"/>
        <v>0.08</v>
      </c>
      <c r="J92" s="131">
        <f t="shared" si="25"/>
        <v>0.08</v>
      </c>
      <c r="K92" s="131">
        <f t="shared" si="25"/>
        <v>0.08</v>
      </c>
      <c r="L92" s="131">
        <f t="shared" si="26"/>
        <v>0.08</v>
      </c>
      <c r="M92" s="131">
        <f t="shared" si="26"/>
        <v>0.08</v>
      </c>
      <c r="N92" s="131">
        <f t="shared" si="26"/>
        <v>0.08</v>
      </c>
      <c r="O92" s="131">
        <f t="shared" si="26"/>
        <v>0.08</v>
      </c>
      <c r="P92" s="131">
        <f t="shared" si="26"/>
        <v>0.08</v>
      </c>
      <c r="Q92" s="131">
        <f t="shared" si="26"/>
        <v>0.08</v>
      </c>
      <c r="R92" s="131">
        <f t="shared" si="26"/>
        <v>0.08</v>
      </c>
      <c r="S92" s="188"/>
      <c r="T92" s="161"/>
      <c r="U92" s="153"/>
      <c r="V92" s="153"/>
      <c r="W92" s="153"/>
    </row>
    <row r="93" spans="1:23" ht="14.25">
      <c r="A93" s="117" t="s">
        <v>91</v>
      </c>
      <c r="B93" s="48"/>
      <c r="C93" s="117"/>
      <c r="D93" s="104">
        <f aca="true" t="shared" si="27" ref="D93:I93">D90*D$92</f>
        <v>13555.918800000003</v>
      </c>
      <c r="E93" s="104">
        <f t="shared" si="27"/>
        <v>26325.03409600001</v>
      </c>
      <c r="F93" s="104">
        <f t="shared" si="27"/>
        <v>24516.701368320006</v>
      </c>
      <c r="G93" s="104">
        <f t="shared" si="27"/>
        <v>22935.863658854407</v>
      </c>
      <c r="H93" s="108">
        <f t="shared" si="27"/>
        <v>21481.492966146056</v>
      </c>
      <c r="I93" s="104">
        <f t="shared" si="27"/>
        <v>19762.97352885437</v>
      </c>
      <c r="J93" s="104">
        <f aca="true" t="shared" si="28" ref="J93:R93">J90*J$92</f>
        <v>18181.93564654602</v>
      </c>
      <c r="K93" s="104">
        <f t="shared" si="28"/>
        <v>16727.38079482234</v>
      </c>
      <c r="L93" s="104">
        <f t="shared" si="28"/>
        <v>15389.190331236552</v>
      </c>
      <c r="M93" s="104">
        <f t="shared" si="28"/>
        <v>14158.055104737628</v>
      </c>
      <c r="N93" s="104">
        <f t="shared" si="28"/>
        <v>13025.410696358618</v>
      </c>
      <c r="O93" s="104">
        <f t="shared" si="28"/>
        <v>11983.377840649928</v>
      </c>
      <c r="P93" s="104">
        <f t="shared" si="28"/>
        <v>11024.707613397935</v>
      </c>
      <c r="Q93" s="104">
        <f t="shared" si="28"/>
        <v>10142.731004326099</v>
      </c>
      <c r="R93" s="104">
        <f t="shared" si="28"/>
        <v>9331.312523980012</v>
      </c>
      <c r="S93" s="185"/>
      <c r="T93" s="102"/>
      <c r="U93" s="102"/>
      <c r="V93" s="102"/>
      <c r="W93" s="102"/>
    </row>
    <row r="94" spans="1:23" ht="14.25" thickBot="1">
      <c r="A94" s="128" t="s">
        <v>92</v>
      </c>
      <c r="B94" s="48"/>
      <c r="C94" s="117"/>
      <c r="D94" s="129">
        <f aca="true" t="shared" si="29" ref="D94:I94">D88-D93</f>
        <v>325342.0512000001</v>
      </c>
      <c r="E94" s="129">
        <f t="shared" si="29"/>
        <v>306458.7671040001</v>
      </c>
      <c r="F94" s="129">
        <f t="shared" si="29"/>
        <v>281942.06573568005</v>
      </c>
      <c r="G94" s="129">
        <f t="shared" si="29"/>
        <v>268518.6620768257</v>
      </c>
      <c r="H94" s="129">
        <f t="shared" si="29"/>
        <v>247037.16911067962</v>
      </c>
      <c r="I94" s="129">
        <f t="shared" si="29"/>
        <v>227274.19558182525</v>
      </c>
      <c r="J94" s="129">
        <f aca="true" t="shared" si="30" ref="J94:R94">J88-J93</f>
        <v>209092.25993527923</v>
      </c>
      <c r="K94" s="129">
        <f t="shared" si="30"/>
        <v>192364.8791404569</v>
      </c>
      <c r="L94" s="129">
        <f t="shared" si="30"/>
        <v>176975.68880922036</v>
      </c>
      <c r="M94" s="129">
        <f t="shared" si="30"/>
        <v>162817.63370448272</v>
      </c>
      <c r="N94" s="129">
        <f t="shared" si="30"/>
        <v>149792.2230081241</v>
      </c>
      <c r="O94" s="129">
        <f t="shared" si="30"/>
        <v>137808.84516747418</v>
      </c>
      <c r="P94" s="129">
        <f t="shared" si="30"/>
        <v>126784.13755407624</v>
      </c>
      <c r="Q94" s="129">
        <f t="shared" si="30"/>
        <v>116641.40654975014</v>
      </c>
      <c r="R94" s="129">
        <f t="shared" si="30"/>
        <v>107310.09402577013</v>
      </c>
      <c r="S94" s="185"/>
      <c r="T94" s="102"/>
      <c r="U94" s="102"/>
      <c r="V94" s="102"/>
      <c r="W94" s="102"/>
    </row>
    <row r="95" spans="1:15" ht="14.25">
      <c r="A95" s="117"/>
      <c r="B95" s="117"/>
      <c r="C95" s="103"/>
      <c r="D95" s="103"/>
      <c r="E95" s="103"/>
      <c r="F95" s="48"/>
      <c r="G95" s="103"/>
      <c r="H95" s="48"/>
      <c r="J95" s="48"/>
      <c r="K95" s="54"/>
      <c r="L95" s="54"/>
      <c r="M95" s="54"/>
      <c r="N95" s="54"/>
      <c r="O95" s="54"/>
    </row>
    <row r="96" spans="10:15" ht="14.25">
      <c r="J96" s="48"/>
      <c r="K96" s="54"/>
      <c r="L96" s="54"/>
      <c r="M96" s="54"/>
      <c r="N96" s="54"/>
      <c r="O96" s="54"/>
    </row>
    <row r="97" spans="10:15" ht="14.25">
      <c r="J97" s="48"/>
      <c r="K97" s="54"/>
      <c r="L97" s="54"/>
      <c r="M97" s="54"/>
      <c r="N97" s="54"/>
      <c r="O97" s="54"/>
    </row>
    <row r="98" spans="10:15" ht="14.25">
      <c r="J98" s="48"/>
      <c r="K98" s="54"/>
      <c r="L98" s="54"/>
      <c r="M98" s="54"/>
      <c r="N98" s="54"/>
      <c r="O98" s="54"/>
    </row>
    <row r="99" spans="10:15" ht="14.25">
      <c r="J99" s="48"/>
      <c r="K99" s="54"/>
      <c r="L99" s="126"/>
      <c r="M99" s="48"/>
      <c r="N99" s="54"/>
      <c r="O99" s="54"/>
    </row>
    <row r="100" spans="10:15" ht="14.25">
      <c r="J100" s="48"/>
      <c r="K100" s="54"/>
      <c r="L100" s="48"/>
      <c r="M100" s="54"/>
      <c r="N100" s="54"/>
      <c r="O100" s="54"/>
    </row>
    <row r="101" spans="4:15" ht="14.25">
      <c r="D101" s="48"/>
      <c r="J101" s="48"/>
      <c r="K101" s="54"/>
      <c r="L101" s="54"/>
      <c r="M101" s="54"/>
      <c r="N101" s="54"/>
      <c r="O101" s="54"/>
    </row>
    <row r="104" ht="14.25">
      <c r="J104" s="48"/>
    </row>
    <row r="105" ht="14.25">
      <c r="J105" s="48"/>
    </row>
    <row r="106" ht="14.25">
      <c r="J106" s="48"/>
    </row>
    <row r="107" ht="14.25">
      <c r="J107" s="48"/>
    </row>
    <row r="108" ht="14.25">
      <c r="J108" s="48"/>
    </row>
    <row r="109" ht="14.25">
      <c r="J109" s="48"/>
    </row>
    <row r="110" ht="14.25">
      <c r="J110" s="48"/>
    </row>
    <row r="111" spans="10:13" ht="14.25">
      <c r="J111" s="48"/>
      <c r="L111" s="21"/>
      <c r="M111" s="48"/>
    </row>
    <row r="112" spans="10:12" ht="14.25">
      <c r="J112" s="48"/>
      <c r="L112" s="48"/>
    </row>
    <row r="113" ht="14.25">
      <c r="J113" s="48"/>
    </row>
  </sheetData>
  <sheetProtection/>
  <mergeCells count="41">
    <mergeCell ref="AR52:AS52"/>
    <mergeCell ref="AU52:AV52"/>
    <mergeCell ref="AZ17:BB17"/>
    <mergeCell ref="AX52:AZ52"/>
    <mergeCell ref="BA52:BC52"/>
    <mergeCell ref="AQ17:AS17"/>
    <mergeCell ref="AT17:AV17"/>
    <mergeCell ref="AW17:AY17"/>
    <mergeCell ref="AE17:AG17"/>
    <mergeCell ref="AH17:AJ17"/>
    <mergeCell ref="AK17:AM17"/>
    <mergeCell ref="AN17:AP17"/>
    <mergeCell ref="AF52:AG52"/>
    <mergeCell ref="AI52:AJ52"/>
    <mergeCell ref="AL52:AM52"/>
    <mergeCell ref="AO52:AP52"/>
    <mergeCell ref="AC52:AD52"/>
    <mergeCell ref="Y17:AA17"/>
    <mergeCell ref="Z52:AA52"/>
    <mergeCell ref="W52:X52"/>
    <mergeCell ref="J17:L17"/>
    <mergeCell ref="T52:U52"/>
    <mergeCell ref="N52:O52"/>
    <mergeCell ref="A47:L47"/>
    <mergeCell ref="A50:B50"/>
    <mergeCell ref="V17:X17"/>
    <mergeCell ref="G17:I17"/>
    <mergeCell ref="P17:R17"/>
    <mergeCell ref="S17:U17"/>
    <mergeCell ref="D17:F17"/>
    <mergeCell ref="AB17:AD17"/>
    <mergeCell ref="K52:L52"/>
    <mergeCell ref="E52:F52"/>
    <mergeCell ref="H52:I52"/>
    <mergeCell ref="Q52:R52"/>
    <mergeCell ref="M17:O17"/>
    <mergeCell ref="A9:F9"/>
    <mergeCell ref="A10:F10"/>
    <mergeCell ref="A12:F12"/>
    <mergeCell ref="A13:F13"/>
    <mergeCell ref="A14:F14"/>
  </mergeCells>
  <dataValidations count="1">
    <dataValidation allowBlank="1" showInputMessage="1" showErrorMessage="1" promptTitle="Date Format" prompt="E.g:  &quot;August 1, 2011&quot;" sqref="IS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3"/>
  <headerFooter>
    <oddFooter>&amp;L&amp;Z&amp;F&amp;R&amp;A</oddFooter>
  </headerFooter>
  <rowBreaks count="1" manualBreakCount="1">
    <brk id="6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PageLayoutView="0" workbookViewId="0" topLeftCell="G1">
      <selection activeCell="M20" sqref="M20"/>
    </sheetView>
  </sheetViews>
  <sheetFormatPr defaultColWidth="9.140625" defaultRowHeight="15"/>
  <cols>
    <col min="1" max="1" width="17.8515625" style="0" customWidth="1"/>
    <col min="2" max="2" width="38.8515625" style="0" bestFit="1" customWidth="1"/>
    <col min="3" max="3" width="10.140625" style="0" bestFit="1" customWidth="1"/>
    <col min="4" max="4" width="11.7109375" style="0" bestFit="1" customWidth="1"/>
    <col min="5" max="7" width="10.8515625" style="0" bestFit="1" customWidth="1"/>
    <col min="8" max="8" width="10.8515625" style="0" customWidth="1"/>
    <col min="9" max="9" width="11.8515625" style="0" bestFit="1" customWidth="1"/>
    <col min="10" max="10" width="14.7109375" style="0" bestFit="1" customWidth="1"/>
    <col min="11" max="11" width="22.8515625" style="0" customWidth="1"/>
    <col min="12" max="20" width="10.57421875" style="0" customWidth="1"/>
    <col min="21" max="21" width="12.7109375" style="0" customWidth="1"/>
    <col min="23" max="23" width="14.8515625" style="0" customWidth="1"/>
  </cols>
  <sheetData>
    <row r="1" ht="14.25">
      <c r="A1" s="149" t="s">
        <v>105</v>
      </c>
    </row>
    <row r="2" spans="3:21" ht="14.25">
      <c r="C2" s="147">
        <v>2014</v>
      </c>
      <c r="D2" s="147">
        <v>2015</v>
      </c>
      <c r="E2" s="147">
        <v>2016</v>
      </c>
      <c r="F2" s="147">
        <v>2017</v>
      </c>
      <c r="G2" s="147">
        <v>2018</v>
      </c>
      <c r="H2" s="147">
        <v>2019</v>
      </c>
      <c r="I2" s="147">
        <v>2020</v>
      </c>
      <c r="J2" s="147" t="s">
        <v>112</v>
      </c>
      <c r="K2" s="177" t="s">
        <v>116</v>
      </c>
      <c r="L2" s="177">
        <v>2021</v>
      </c>
      <c r="M2" s="177">
        <v>2022</v>
      </c>
      <c r="N2" s="177">
        <v>2023</v>
      </c>
      <c r="O2" s="177">
        <v>2024</v>
      </c>
      <c r="P2" s="177">
        <v>2025</v>
      </c>
      <c r="Q2" s="177">
        <v>2026</v>
      </c>
      <c r="R2" s="177">
        <v>2027</v>
      </c>
      <c r="S2" s="177">
        <v>2028</v>
      </c>
      <c r="T2" s="157"/>
      <c r="U2" s="157"/>
    </row>
    <row r="3" spans="2:19" ht="14.25">
      <c r="B3" t="s">
        <v>106</v>
      </c>
      <c r="C3" s="145">
        <f>1928*6</f>
        <v>11568</v>
      </c>
      <c r="D3" s="145">
        <f>1446*4+3088*8</f>
        <v>30488</v>
      </c>
      <c r="E3" s="145">
        <f>3088*4+3031*8</f>
        <v>36600</v>
      </c>
      <c r="F3" s="145">
        <f>3031*4+2974*8</f>
        <v>35916</v>
      </c>
      <c r="G3" s="145">
        <f>2974*4+2917*8</f>
        <v>35232</v>
      </c>
      <c r="H3" s="145">
        <f>2917*12</f>
        <v>35004</v>
      </c>
      <c r="I3" s="145">
        <f>18166*12</f>
        <v>217992</v>
      </c>
      <c r="J3" s="145">
        <f>SUM(C3:I3)</f>
        <v>402800</v>
      </c>
      <c r="K3" s="170"/>
      <c r="L3" s="170"/>
      <c r="M3" s="170"/>
      <c r="N3" s="170"/>
      <c r="O3" s="170"/>
      <c r="P3" s="170"/>
      <c r="Q3" s="181"/>
      <c r="R3" s="181"/>
      <c r="S3" s="181"/>
    </row>
    <row r="4" spans="2:21" ht="14.25">
      <c r="B4" t="s">
        <v>107</v>
      </c>
      <c r="C4" s="145">
        <f>'Expansion Projects'!F45*8+REI!F45*8</f>
        <v>8027.31709078508</v>
      </c>
      <c r="D4" s="145">
        <f>'Expansion Projects'!I45*12+REI!I45*12</f>
        <v>24294.955750365512</v>
      </c>
      <c r="E4" s="145">
        <f>'Expansion Projects'!L45*12+REI!L45*12</f>
        <v>52721.44077092911</v>
      </c>
      <c r="F4" s="145">
        <f>'Expansion Projects'!O45*12+REI!O45*12</f>
        <v>80253.59467758021</v>
      </c>
      <c r="G4" s="145">
        <f>'Expansion Projects'!R45*12+REI!R45*12</f>
        <v>79281.78210262765</v>
      </c>
      <c r="H4" s="145">
        <f>'Expansion Projects'!U45*12+REI!U45*12</f>
        <v>77865.09661640873</v>
      </c>
      <c r="I4" s="145">
        <f>'Expansion Projects'!X45*12+REI!X45*12</f>
        <v>76341.47037901243</v>
      </c>
      <c r="J4" s="145">
        <f>SUM(C4:I4)</f>
        <v>398785.65738770866</v>
      </c>
      <c r="K4" s="172" t="s">
        <v>117</v>
      </c>
      <c r="L4" s="171">
        <f>'Expansion Projects'!AA45*12+REI!AA45*12</f>
        <v>74719.45865053296</v>
      </c>
      <c r="M4" s="171">
        <f>'Expansion Projects'!AD45*12+REI!AD45*12</f>
        <v>74506.66493551744</v>
      </c>
      <c r="N4" s="171">
        <f>'Expansion Projects'!AG45*12+REI!AG45*12</f>
        <v>74070.54039624971</v>
      </c>
      <c r="O4" s="171">
        <f>'Expansion Projects'!AJ45*12+REI!AJ45*12</f>
        <v>79470.60521847536</v>
      </c>
      <c r="P4" s="171">
        <f>'Expansion Projects'!AM45*12+REI!AM45*12</f>
        <v>76717.16034253931</v>
      </c>
      <c r="Q4" s="182">
        <f>'Expansion Projects'!AP45*12+REI!AP45*12</f>
        <v>73963.71546660329</v>
      </c>
      <c r="R4" s="182">
        <f>'Expansion Projects'!AS45*12+REI!AS45*12</f>
        <v>71210.27059066725</v>
      </c>
      <c r="S4" s="182">
        <f>'Expansion Projects'!AV45*12+REI!AV45*12</f>
        <v>68456.82571473121</v>
      </c>
      <c r="T4" s="178"/>
      <c r="U4" s="178"/>
    </row>
    <row r="5" spans="2:21" ht="14.25">
      <c r="B5" t="s">
        <v>108</v>
      </c>
      <c r="C5" s="148">
        <f>C4-C3</f>
        <v>-3540.68290921492</v>
      </c>
      <c r="D5" s="148">
        <f aca="true" t="shared" si="0" ref="D5:I5">D4-D3</f>
        <v>-6193.044249634488</v>
      </c>
      <c r="E5" s="148">
        <f t="shared" si="0"/>
        <v>16121.440770929112</v>
      </c>
      <c r="F5" s="148">
        <f t="shared" si="0"/>
        <v>44337.594677580215</v>
      </c>
      <c r="G5" s="148">
        <f t="shared" si="0"/>
        <v>44049.78210262765</v>
      </c>
      <c r="H5" s="148">
        <f t="shared" si="0"/>
        <v>42861.09661640873</v>
      </c>
      <c r="I5" s="148">
        <f t="shared" si="0"/>
        <v>-141650.52962098757</v>
      </c>
      <c r="J5" s="148">
        <f>J4-J3</f>
        <v>-4014.342612291337</v>
      </c>
      <c r="K5" s="172" t="s">
        <v>115</v>
      </c>
      <c r="L5" s="171">
        <f>+J5</f>
        <v>-4014.342612291337</v>
      </c>
      <c r="M5" s="170"/>
      <c r="N5" s="170"/>
      <c r="O5" s="170"/>
      <c r="P5" s="170"/>
      <c r="Q5" s="181"/>
      <c r="R5" s="181"/>
      <c r="S5" s="181"/>
      <c r="T5" s="179"/>
      <c r="U5" s="216" t="s">
        <v>39</v>
      </c>
    </row>
    <row r="6" spans="11:23" ht="14.25">
      <c r="K6" s="172" t="s">
        <v>118</v>
      </c>
      <c r="L6" s="173">
        <f>SUM(L4:L5)</f>
        <v>70705.11603824163</v>
      </c>
      <c r="M6" s="173">
        <f aca="true" t="shared" si="1" ref="M6:S6">SUM(M4:M5)</f>
        <v>74506.66493551744</v>
      </c>
      <c r="N6" s="173">
        <f t="shared" si="1"/>
        <v>74070.54039624971</v>
      </c>
      <c r="O6" s="173">
        <f t="shared" si="1"/>
        <v>79470.60521847536</v>
      </c>
      <c r="P6" s="173">
        <f t="shared" si="1"/>
        <v>76717.16034253931</v>
      </c>
      <c r="Q6" s="173">
        <f t="shared" si="1"/>
        <v>73963.71546660329</v>
      </c>
      <c r="R6" s="173">
        <f t="shared" si="1"/>
        <v>71210.27059066725</v>
      </c>
      <c r="S6" s="173">
        <f t="shared" si="1"/>
        <v>68456.82571473121</v>
      </c>
      <c r="T6" s="180"/>
      <c r="U6" s="215">
        <f>+SUM(L6:S6)</f>
        <v>589100.8987030252</v>
      </c>
      <c r="W6" s="145"/>
    </row>
    <row r="7" spans="11:21" ht="14.25">
      <c r="K7" s="172"/>
      <c r="L7" s="171"/>
      <c r="M7" s="171"/>
      <c r="N7" s="171"/>
      <c r="O7" s="171"/>
      <c r="P7" s="171"/>
      <c r="Q7" s="173"/>
      <c r="R7" s="173"/>
      <c r="S7" s="173"/>
      <c r="T7" s="176"/>
      <c r="U7" s="145"/>
    </row>
    <row r="8" spans="11:21" ht="14.25">
      <c r="K8" s="172" t="s">
        <v>119</v>
      </c>
      <c r="L8" s="174">
        <f>+L6/12</f>
        <v>5892.093003186802</v>
      </c>
      <c r="M8" s="174">
        <f aca="true" t="shared" si="2" ref="M8:S8">+M6/12</f>
        <v>6208.888744626453</v>
      </c>
      <c r="N8" s="174">
        <f t="shared" si="2"/>
        <v>6172.545033020809</v>
      </c>
      <c r="O8" s="174">
        <f t="shared" si="2"/>
        <v>6622.550434872947</v>
      </c>
      <c r="P8" s="174">
        <f t="shared" si="2"/>
        <v>6393.09669521161</v>
      </c>
      <c r="Q8" s="173">
        <f t="shared" si="2"/>
        <v>6163.642955550274</v>
      </c>
      <c r="R8" s="173">
        <f t="shared" si="2"/>
        <v>5934.189215888938</v>
      </c>
      <c r="S8" s="173">
        <f t="shared" si="2"/>
        <v>5704.735476227601</v>
      </c>
      <c r="T8" s="176"/>
      <c r="U8" s="145"/>
    </row>
    <row r="9" spans="11:23" ht="14.25">
      <c r="K9" s="158"/>
      <c r="L9" s="145"/>
      <c r="W9" s="145"/>
    </row>
    <row r="10" spans="11:12" ht="14.25">
      <c r="K10" s="158"/>
      <c r="L10" s="145"/>
    </row>
    <row r="11" ht="14.25">
      <c r="A11" s="149" t="s">
        <v>111</v>
      </c>
    </row>
    <row r="12" spans="1:10" ht="14.25">
      <c r="A12" t="s">
        <v>103</v>
      </c>
      <c r="B12" t="s">
        <v>109</v>
      </c>
      <c r="C12" s="145">
        <f aca="true" t="shared" si="3" ref="C12:H12">-C5</f>
        <v>3540.68290921492</v>
      </c>
      <c r="D12" s="145">
        <f t="shared" si="3"/>
        <v>6193.044249634488</v>
      </c>
      <c r="E12" s="145">
        <f t="shared" si="3"/>
        <v>-16121.440770929112</v>
      </c>
      <c r="F12" s="145">
        <f t="shared" si="3"/>
        <v>-44337.594677580215</v>
      </c>
      <c r="G12" s="145">
        <f t="shared" si="3"/>
        <v>-44049.78210262765</v>
      </c>
      <c r="H12" s="145">
        <f t="shared" si="3"/>
        <v>-42861.09661640873</v>
      </c>
      <c r="I12" s="145">
        <f>-I5</f>
        <v>141650.52962098757</v>
      </c>
      <c r="J12" s="145">
        <f>SUM(C12:I12)</f>
        <v>4014.3426122912497</v>
      </c>
    </row>
    <row r="13" spans="1:10" ht="14.25">
      <c r="A13" t="s">
        <v>104</v>
      </c>
      <c r="B13" t="s">
        <v>110</v>
      </c>
      <c r="C13" s="145">
        <f aca="true" t="shared" si="4" ref="C13:H13">C5</f>
        <v>-3540.68290921492</v>
      </c>
      <c r="D13" s="145">
        <f t="shared" si="4"/>
        <v>-6193.044249634488</v>
      </c>
      <c r="E13" s="145">
        <f t="shared" si="4"/>
        <v>16121.440770929112</v>
      </c>
      <c r="F13" s="145">
        <f t="shared" si="4"/>
        <v>44337.594677580215</v>
      </c>
      <c r="G13" s="145">
        <f t="shared" si="4"/>
        <v>44049.78210262765</v>
      </c>
      <c r="H13" s="145">
        <f t="shared" si="4"/>
        <v>42861.09661640873</v>
      </c>
      <c r="I13" s="145">
        <f>I5</f>
        <v>-141650.52962098757</v>
      </c>
      <c r="J13" s="145">
        <f>SUM(C13:I13)</f>
        <v>-4014.3426122912497</v>
      </c>
    </row>
    <row r="19" spans="3:10" ht="14.25">
      <c r="C19" s="217"/>
      <c r="D19" s="217"/>
      <c r="E19" s="217"/>
      <c r="F19" s="217"/>
      <c r="G19" s="217"/>
      <c r="H19" s="217"/>
      <c r="I19" s="217"/>
      <c r="J19" s="217"/>
    </row>
    <row r="20" spans="3:10" ht="14.25">
      <c r="C20" s="217"/>
      <c r="D20" s="217"/>
      <c r="E20" s="217"/>
      <c r="F20" s="217"/>
      <c r="G20" s="217"/>
      <c r="H20" s="217"/>
      <c r="I20" s="217"/>
      <c r="J20" s="217"/>
    </row>
    <row r="21" spans="3:10" ht="14.25">
      <c r="C21" s="217"/>
      <c r="D21" s="217"/>
      <c r="E21" s="217"/>
      <c r="F21" s="217"/>
      <c r="G21" s="217"/>
      <c r="H21" s="217"/>
      <c r="I21" s="217"/>
      <c r="J21" s="217"/>
    </row>
    <row r="28" spans="3:10" ht="14.25">
      <c r="C28" s="217"/>
      <c r="D28" s="217"/>
      <c r="E28" s="217"/>
      <c r="F28" s="217"/>
      <c r="G28" s="217"/>
      <c r="H28" s="217"/>
      <c r="I28" s="217"/>
      <c r="J28" s="217"/>
    </row>
    <row r="29" spans="3:10" ht="14.25">
      <c r="C29" s="217"/>
      <c r="D29" s="217"/>
      <c r="E29" s="217"/>
      <c r="F29" s="217"/>
      <c r="G29" s="217"/>
      <c r="H29" s="217"/>
      <c r="I29" s="217"/>
      <c r="J29" s="2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Mclorg</dc:creator>
  <cp:keywords/>
  <dc:description/>
  <cp:lastModifiedBy>Christine Dade</cp:lastModifiedBy>
  <cp:lastPrinted>2020-10-13T16:23:03Z</cp:lastPrinted>
  <dcterms:created xsi:type="dcterms:W3CDTF">2013-08-24T20:25:41Z</dcterms:created>
  <dcterms:modified xsi:type="dcterms:W3CDTF">2020-12-03T20:43:31Z</dcterms:modified>
  <cp:category/>
  <cp:version/>
  <cp:contentType/>
  <cp:contentStatus/>
</cp:coreProperties>
</file>