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120" windowWidth="26850" windowHeight="9105" activeTab="1"/>
  </bookViews>
  <sheets>
    <sheet name="Jan-Apr 2021 projections" sheetId="4" r:id="rId1"/>
    <sheet name="Advanced Revenue Rate Rider" sheetId="2" r:id="rId2"/>
    <sheet name="Sheet3" sheetId="3" r:id="rId3"/>
  </sheets>
  <definedNames>
    <definedName name="_xlnm.Print_Area" localSheetId="1">'Advanced Revenue Rate Rider'!$A$4:$L$27</definedName>
    <definedName name="_xlnm.Print_Area" localSheetId="0">'Jan-Apr 2021 projections'!$A$4:$R$52</definedName>
  </definedNames>
  <calcPr calcId="145621"/>
</workbook>
</file>

<file path=xl/calcChain.xml><?xml version="1.0" encoding="utf-8"?>
<calcChain xmlns="http://schemas.openxmlformats.org/spreadsheetml/2006/main">
  <c r="H20" i="2" l="1"/>
  <c r="G17" i="2" l="1"/>
  <c r="H25" i="2" l="1"/>
  <c r="G25" i="2"/>
  <c r="H24" i="2"/>
  <c r="G24" i="2"/>
  <c r="H23" i="2"/>
  <c r="G23" i="2"/>
  <c r="H22" i="2"/>
  <c r="G22" i="2"/>
  <c r="H21" i="2"/>
  <c r="G21" i="2"/>
  <c r="G20" i="2"/>
  <c r="H19" i="2"/>
  <c r="J19" i="2" s="1"/>
  <c r="G19" i="2"/>
  <c r="H18" i="2"/>
  <c r="J18" i="2" s="1"/>
  <c r="G18" i="2"/>
  <c r="H17" i="2"/>
  <c r="J17" i="2" s="1"/>
  <c r="O19" i="4" l="1"/>
  <c r="O20" i="4"/>
  <c r="O21" i="4"/>
  <c r="O22" i="4"/>
  <c r="O23" i="4"/>
  <c r="O24" i="4"/>
  <c r="O25" i="4"/>
  <c r="O26" i="4"/>
  <c r="O18" i="4"/>
  <c r="A10" i="2"/>
  <c r="A11" i="2"/>
  <c r="A12" i="2"/>
  <c r="A13" i="2"/>
  <c r="A9" i="2"/>
  <c r="B18" i="2"/>
  <c r="B19" i="2"/>
  <c r="B20" i="2"/>
  <c r="B21" i="2"/>
  <c r="B22" i="2"/>
  <c r="B23" i="2"/>
  <c r="B24" i="2"/>
  <c r="B25" i="2"/>
  <c r="B17" i="2"/>
  <c r="A18" i="2"/>
  <c r="A19" i="2"/>
  <c r="A20" i="2"/>
  <c r="A21" i="2"/>
  <c r="A22" i="2"/>
  <c r="A23" i="2"/>
  <c r="A24" i="2"/>
  <c r="A25" i="2"/>
  <c r="A17" i="2"/>
  <c r="B13" i="2" l="1"/>
  <c r="B12" i="2"/>
  <c r="B11" i="2"/>
  <c r="I17" i="2" s="1"/>
  <c r="B10" i="2"/>
  <c r="B9" i="2"/>
  <c r="P26" i="4"/>
  <c r="P25" i="4"/>
  <c r="P24" i="4"/>
  <c r="P23" i="4"/>
  <c r="P22" i="4"/>
  <c r="P21" i="4"/>
  <c r="P20" i="4"/>
  <c r="P19" i="4"/>
  <c r="P18" i="4"/>
  <c r="P50" i="4"/>
  <c r="O50" i="4"/>
  <c r="P49" i="4"/>
  <c r="O49" i="4"/>
  <c r="P48" i="4"/>
  <c r="O48" i="4"/>
  <c r="P47" i="4"/>
  <c r="O47" i="4"/>
  <c r="O46" i="4"/>
  <c r="A46" i="4"/>
  <c r="O45" i="4"/>
  <c r="A45" i="4"/>
  <c r="P44" i="4"/>
  <c r="A44" i="4"/>
  <c r="O43" i="4"/>
  <c r="A43" i="4"/>
  <c r="O42" i="4"/>
  <c r="A42" i="4"/>
  <c r="O41" i="4"/>
  <c r="A41" i="4"/>
  <c r="P40" i="4"/>
  <c r="A40" i="4"/>
  <c r="P39" i="4"/>
  <c r="A39" i="4"/>
  <c r="P38" i="4"/>
  <c r="O38" i="4"/>
  <c r="A38" i="4"/>
  <c r="C36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I18" i="2" l="1"/>
  <c r="I25" i="2"/>
  <c r="I20" i="2"/>
  <c r="I19" i="2"/>
  <c r="I22" i="2"/>
  <c r="I21" i="2"/>
  <c r="I24" i="2"/>
  <c r="I23" i="2"/>
  <c r="L17" i="2"/>
  <c r="K21" i="2" l="1"/>
  <c r="K17" i="2"/>
  <c r="K19" i="2"/>
  <c r="K18" i="2"/>
  <c r="K22" i="2"/>
  <c r="K23" i="2"/>
  <c r="K24" i="2"/>
  <c r="K20" i="2"/>
  <c r="K25" i="2"/>
  <c r="Q39" i="4" l="1"/>
  <c r="O44" i="4" l="1"/>
  <c r="J23" i="2" s="1"/>
  <c r="L23" i="2" s="1"/>
  <c r="P42" i="4"/>
  <c r="J21" i="2" s="1"/>
  <c r="L21" i="2" s="1"/>
  <c r="P43" i="4" l="1"/>
  <c r="J22" i="2" s="1"/>
  <c r="L22" i="2" s="1"/>
  <c r="O40" i="4" l="1"/>
  <c r="L19" i="2" s="1"/>
  <c r="P41" i="4"/>
  <c r="J20" i="2" s="1"/>
  <c r="L20" i="2" s="1"/>
  <c r="P46" i="4"/>
  <c r="J25" i="2" s="1"/>
  <c r="L25" i="2" s="1"/>
  <c r="P45" i="4"/>
  <c r="J24" i="2" s="1"/>
  <c r="L24" i="2" s="1"/>
  <c r="O39" i="4"/>
  <c r="L18" i="2" s="1"/>
  <c r="J27" i="2" l="1"/>
</calcChain>
</file>

<file path=xl/sharedStrings.xml><?xml version="1.0" encoding="utf-8"?>
<sst xmlns="http://schemas.openxmlformats.org/spreadsheetml/2006/main" count="68" uniqueCount="43">
  <si>
    <t>Rate Effective Date</t>
  </si>
  <si>
    <t>Advanced Implementation Date</t>
  </si>
  <si>
    <t>Advanced Period (number of months)</t>
  </si>
  <si>
    <t>Sunset Date of the Advanced Revenue Rate Rider</t>
  </si>
  <si>
    <t xml:space="preserve">Number of Customers/Connections </t>
  </si>
  <si>
    <t>Rate Class</t>
  </si>
  <si>
    <t>Monthly Average for Jan 2021 to Apr 2021</t>
  </si>
  <si>
    <t>Forecast</t>
  </si>
  <si>
    <t>RESIDENTIAL SERVICE CLASSIFICATION</t>
  </si>
  <si>
    <t>SEASONAL RESIDENTIAL SERVICE CLASSIFICATION</t>
  </si>
  <si>
    <t>GENERAL SERVICE LESS THAN 50 KW SERVICE CLASSIFICATION</t>
  </si>
  <si>
    <t>GENERAL SERVICE 50 TO 2,999 KW SERVICE CLASSIFICATION</t>
  </si>
  <si>
    <t>GENERAL SERVICE 3,000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</si>
  <si>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</si>
  <si>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</si>
  <si>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</si>
  <si>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</si>
  <si>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Consumption and Demand</t>
  </si>
  <si>
    <t>Unit</t>
  </si>
  <si>
    <t>Total kWh</t>
  </si>
  <si>
    <t>Total kW</t>
  </si>
  <si>
    <t>kWh</t>
  </si>
  <si>
    <t>kW</t>
  </si>
  <si>
    <t>Note: The quantities entered in the Consumption and Demand table above should reflect the calendar month quantities. The billed and unbilled quantities may both be taken into consideration.</t>
  </si>
  <si>
    <t>Total for Jan 2021 to Apr 2021</t>
  </si>
  <si>
    <t>Base Distribution Rates</t>
  </si>
  <si>
    <t>Difference in MFC</t>
  </si>
  <si>
    <t>Difference in DVR</t>
  </si>
  <si>
    <t>Proposed 2021 Monthly Fixed Charge (MFC)</t>
  </si>
  <si>
    <t>Proposed 2021 Distribution Volumetric Rate (DVR)</t>
  </si>
  <si>
    <t>2020 Approved Monthly Fixed Charge to Customers</t>
  </si>
  <si>
    <t>2020 Approved Volumetric Charge to Customers</t>
  </si>
  <si>
    <t>Advanced Period</t>
  </si>
  <si>
    <t>n/a</t>
  </si>
  <si>
    <t>Rate Year Alignment Rate Rider (DVR)</t>
  </si>
  <si>
    <t>Rate Year Alignment Rate Rider (MFC)</t>
  </si>
  <si>
    <t>Rate Year Alignment Rate Rider Model</t>
  </si>
  <si>
    <t>Total Rate Year Alignment Revenue for Base Distribution Rates</t>
  </si>
  <si>
    <t>Elexicon - Veridian Rate Zone</t>
  </si>
  <si>
    <t>Proposed Refund Period (number of months)</t>
  </si>
  <si>
    <t>Refund Period</t>
  </si>
  <si>
    <t>Rate Year Alignment Revenue to Refund to Customers (MFC)</t>
  </si>
  <si>
    <t>Rate Year Alignment Revenue to Refund to Customers (DVR)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</si>
</sst>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.00;[Red]\(&quot;$&quot;#,##0.00\);\-"/>
    <numFmt numFmtId="167" formatCode="&quot;$&quot;#,##0.0000;[Red]\(&quot;$&quot;#,##0.0000\);\-"/>
    <numFmt numFmtId="168" formatCode="0.0000"/>
    <numFmt numFmtId="169" formatCode="_(&quot;$&quot;* #,##0.0000_);_(&quot;$&quot;* \(#,##0.0000\);_(&quot;$&quot;* &quot;-&quot;??_);_(@_)"/>
    <numFmt numFmtId="170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83">
    <xf numFmtId="0" fontId="0" fillId="0" borderId="0" xfId="0"/>
    <xf numFmtId="0" fontId="0" fillId="0" borderId="2" xfId="0" applyBorder="1"/>
    <xf numFmtId="0" fontId="4" fillId="3" borderId="2" xfId="0" applyFont="1" applyFill="1" applyBorder="1"/>
    <xf numFmtId="0" fontId="0" fillId="4" borderId="2" xfId="0" applyFill="1" applyBorder="1"/>
    <xf numFmtId="165" fontId="0" fillId="0" borderId="2" xfId="0" applyNumberFormat="1" applyBorder="1"/>
    <xf numFmtId="17" fontId="4" fillId="3" borderId="2" xfId="0" applyNumberFormat="1" applyFont="1" applyFill="1" applyBorder="1" applyAlignment="1">
      <alignment horizontal="center" wrapText="1"/>
    </xf>
    <xf numFmtId="17" fontId="4" fillId="0" borderId="2" xfId="0" applyNumberFormat="1" applyFont="1" applyBorder="1" applyAlignment="1">
      <alignment horizontal="center" wrapText="1"/>
    </xf>
    <xf numFmtId="17" fontId="4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1" applyNumberFormat="1" applyFont="1" applyFill="1" applyBorder="1" applyProtection="1">
      <protection locked="0"/>
    </xf>
    <xf numFmtId="165" fontId="0" fillId="5" borderId="2" xfId="1" applyNumberFormat="1" applyFont="1" applyFill="1" applyBorder="1" applyProtection="1">
      <protection locked="0"/>
    </xf>
    <xf numFmtId="17" fontId="2" fillId="2" borderId="1" xfId="4" applyNumberFormat="1" applyAlignment="1" applyProtection="1">
      <alignment horizontal="center"/>
    </xf>
    <xf numFmtId="0" fontId="2" fillId="2" borderId="1" xfId="4" applyProtection="1"/>
    <xf numFmtId="0" fontId="2" fillId="2" borderId="9" xfId="4" applyBorder="1" applyAlignment="1" applyProtection="1"/>
    <xf numFmtId="17" fontId="2" fillId="2" borderId="10" xfId="4" applyNumberFormat="1" applyBorder="1" applyAlignment="1" applyProtection="1">
      <alignment wrapText="1"/>
    </xf>
    <xf numFmtId="17" fontId="2" fillId="2" borderId="1" xfId="4" applyNumberFormat="1" applyAlignment="1" applyProtection="1">
      <alignment wrapText="1"/>
      <protection locked="0"/>
    </xf>
    <xf numFmtId="0" fontId="0" fillId="0" borderId="2" xfId="0" applyBorder="1" applyProtection="1"/>
    <xf numFmtId="0" fontId="0" fillId="0" borderId="11" xfId="0" applyBorder="1" applyProtection="1"/>
    <xf numFmtId="0" fontId="0" fillId="4" borderId="2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Font="1" applyBorder="1" applyAlignment="1" applyProtection="1">
      <alignment wrapText="1"/>
    </xf>
    <xf numFmtId="0" fontId="0" fillId="6" borderId="2" xfId="0" applyFill="1" applyBorder="1" applyAlignment="1" applyProtection="1">
      <alignment horizontal="center" vertical="center"/>
      <protection locked="0"/>
    </xf>
    <xf numFmtId="17" fontId="2" fillId="2" borderId="1" xfId="4" applyNumberFormat="1" applyAlignment="1" applyProtection="1">
      <alignment horizontal="center" wrapText="1"/>
    </xf>
    <xf numFmtId="165" fontId="0" fillId="5" borderId="2" xfId="1" applyNumberFormat="1" applyFont="1" applyFill="1" applyBorder="1" applyAlignment="1" applyProtection="1">
      <alignment horizontal="center"/>
      <protection locked="0"/>
    </xf>
    <xf numFmtId="0" fontId="6" fillId="7" borderId="0" xfId="0" applyFont="1" applyFill="1"/>
    <xf numFmtId="0" fontId="0" fillId="7" borderId="0" xfId="0" applyFill="1"/>
    <xf numFmtId="0" fontId="0" fillId="7" borderId="2" xfId="0" applyFont="1" applyFill="1" applyBorder="1" applyAlignment="1">
      <alignment horizontal="left" vertical="center"/>
    </xf>
    <xf numFmtId="0" fontId="3" fillId="7" borderId="0" xfId="0" applyFont="1" applyFill="1"/>
    <xf numFmtId="0" fontId="0" fillId="7" borderId="0" xfId="0" applyFill="1" applyAlignment="1">
      <alignment horizontal="center"/>
    </xf>
    <xf numFmtId="0" fontId="0" fillId="7" borderId="2" xfId="0" applyFill="1" applyBorder="1" applyProtection="1"/>
    <xf numFmtId="4" fontId="0" fillId="7" borderId="2" xfId="0" applyNumberFormat="1" applyFill="1" applyBorder="1"/>
    <xf numFmtId="170" fontId="0" fillId="7" borderId="2" xfId="0" applyNumberFormat="1" applyFill="1" applyBorder="1"/>
    <xf numFmtId="44" fontId="0" fillId="7" borderId="2" xfId="1" applyNumberFormat="1" applyFont="1" applyFill="1" applyBorder="1"/>
    <xf numFmtId="169" fontId="0" fillId="7" borderId="2" xfId="0" applyNumberFormat="1" applyFill="1" applyBorder="1"/>
    <xf numFmtId="44" fontId="0" fillId="7" borderId="2" xfId="0" applyNumberFormat="1" applyFill="1" applyBorder="1"/>
    <xf numFmtId="9" fontId="0" fillId="7" borderId="0" xfId="3" applyFont="1" applyFill="1"/>
    <xf numFmtId="166" fontId="0" fillId="7" borderId="2" xfId="0" applyNumberFormat="1" applyFill="1" applyBorder="1"/>
    <xf numFmtId="167" fontId="0" fillId="7" borderId="2" xfId="0" applyNumberFormat="1" applyFill="1" applyBorder="1"/>
    <xf numFmtId="0" fontId="0" fillId="7" borderId="0" xfId="0" applyFill="1" applyBorder="1" applyProtection="1"/>
    <xf numFmtId="2" fontId="0" fillId="7" borderId="0" xfId="0" applyNumberFormat="1" applyFill="1" applyBorder="1"/>
    <xf numFmtId="168" fontId="0" fillId="7" borderId="0" xfId="0" applyNumberFormat="1" applyFill="1" applyBorder="1"/>
    <xf numFmtId="44" fontId="0" fillId="7" borderId="0" xfId="0" applyNumberFormat="1" applyFill="1" applyBorder="1"/>
    <xf numFmtId="169" fontId="0" fillId="7" borderId="0" xfId="2" applyNumberFormat="1" applyFont="1" applyFill="1" applyBorder="1"/>
    <xf numFmtId="0" fontId="0" fillId="7" borderId="0" xfId="0" applyFill="1" applyBorder="1" applyAlignment="1" applyProtection="1">
      <alignment horizontal="center"/>
    </xf>
    <xf numFmtId="44" fontId="0" fillId="7" borderId="0" xfId="2" applyNumberFormat="1" applyFont="1" applyFill="1" applyBorder="1"/>
    <xf numFmtId="44" fontId="5" fillId="7" borderId="0" xfId="2" applyNumberFormat="1" applyFont="1" applyFill="1" applyBorder="1"/>
    <xf numFmtId="0" fontId="0" fillId="7" borderId="0" xfId="0" applyFill="1" applyAlignment="1" applyProtection="1">
      <alignment horizontal="center"/>
    </xf>
    <xf numFmtId="0" fontId="2" fillId="4" borderId="1" xfId="4" applyFill="1" applyAlignment="1">
      <alignment horizontal="center" vertical="center"/>
    </xf>
    <xf numFmtId="0" fontId="2" fillId="4" borderId="1" xfId="4" applyFill="1" applyAlignment="1" applyProtection="1"/>
    <xf numFmtId="0" fontId="2" fillId="4" borderId="1" xfId="4" applyFill="1" applyAlignment="1" applyProtection="1">
      <alignment horizontal="center" wrapText="1"/>
    </xf>
    <xf numFmtId="0" fontId="2" fillId="4" borderId="1" xfId="4" applyFill="1" applyAlignment="1">
      <alignment horizontal="center" wrapText="1"/>
    </xf>
    <xf numFmtId="0" fontId="0" fillId="7" borderId="2" xfId="0" applyFill="1" applyBorder="1" applyAlignment="1" applyProtection="1">
      <alignment wrapText="1"/>
    </xf>
    <xf numFmtId="0" fontId="4" fillId="7" borderId="0" xfId="0" applyFont="1" applyFill="1"/>
    <xf numFmtId="0" fontId="0" fillId="7" borderId="2" xfId="0" applyFill="1" applyBorder="1"/>
    <xf numFmtId="164" fontId="0" fillId="7" borderId="2" xfId="0" applyNumberFormat="1" applyFill="1" applyBorder="1"/>
    <xf numFmtId="164" fontId="0" fillId="7" borderId="0" xfId="0" applyNumberFormat="1" applyFill="1"/>
    <xf numFmtId="1" fontId="0" fillId="7" borderId="2" xfId="0" applyNumberFormat="1" applyFill="1" applyBorder="1"/>
    <xf numFmtId="1" fontId="0" fillId="7" borderId="0" xfId="0" applyNumberFormat="1" applyFill="1"/>
    <xf numFmtId="0" fontId="4" fillId="7" borderId="0" xfId="0" applyFont="1" applyFill="1" applyBorder="1" applyAlignment="1">
      <alignment horizontal="center" wrapText="1"/>
    </xf>
    <xf numFmtId="0" fontId="0" fillId="7" borderId="0" xfId="0" applyFill="1" applyBorder="1"/>
    <xf numFmtId="38" fontId="0" fillId="7" borderId="0" xfId="1" applyNumberFormat="1" applyFont="1" applyFill="1" applyBorder="1" applyProtection="1">
      <protection locked="0"/>
    </xf>
    <xf numFmtId="165" fontId="0" fillId="7" borderId="0" xfId="0" applyNumberFormat="1" applyFill="1"/>
    <xf numFmtId="10" fontId="0" fillId="7" borderId="0" xfId="3" applyNumberFormat="1" applyFont="1" applyFill="1"/>
    <xf numFmtId="0" fontId="0" fillId="7" borderId="0" xfId="0" applyFill="1" applyAlignment="1">
      <alignment horizontal="center" wrapText="1"/>
    </xf>
    <xf numFmtId="17" fontId="2" fillId="7" borderId="0" xfId="4" applyNumberFormat="1" applyFill="1" applyBorder="1" applyAlignment="1" applyProtection="1">
      <alignment horizontal="center" wrapText="1"/>
    </xf>
    <xf numFmtId="43" fontId="0" fillId="7" borderId="0" xfId="0" applyNumberFormat="1" applyFill="1"/>
    <xf numFmtId="0" fontId="0" fillId="7" borderId="0" xfId="0" applyFill="1" applyProtection="1"/>
    <xf numFmtId="0" fontId="7" fillId="7" borderId="0" xfId="0" applyFont="1" applyFill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6" xfId="4" applyBorder="1" applyAlignment="1" applyProtection="1">
      <alignment horizontal="center"/>
    </xf>
    <xf numFmtId="0" fontId="2" fillId="2" borderId="7" xfId="4" applyBorder="1" applyAlignment="1" applyProtection="1">
      <alignment horizontal="center"/>
    </xf>
    <xf numFmtId="0" fontId="2" fillId="2" borderId="8" xfId="4" applyBorder="1" applyAlignment="1" applyProtection="1">
      <alignment horizontal="center"/>
    </xf>
    <xf numFmtId="0" fontId="2" fillId="2" borderId="1" xfId="4" applyAlignment="1" applyProtection="1">
      <alignment horizontal="center"/>
    </xf>
    <xf numFmtId="0" fontId="4" fillId="7" borderId="0" xfId="0" applyFont="1" applyFill="1" applyProtection="1"/>
    <xf numFmtId="44" fontId="0" fillId="7" borderId="12" xfId="2" applyNumberFormat="1" applyFont="1" applyFill="1" applyBorder="1" applyAlignment="1">
      <alignment horizontal="center"/>
    </xf>
    <xf numFmtId="44" fontId="0" fillId="7" borderId="13" xfId="2" applyNumberFormat="1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center" vertical="center"/>
    </xf>
    <xf numFmtId="1" fontId="0" fillId="7" borderId="2" xfId="0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0"/>
  <sheetViews>
    <sheetView topLeftCell="A15" workbookViewId="0">
      <selection activeCell="P41" sqref="P41"/>
    </sheetView>
  </sheetViews>
  <sheetFormatPr defaultRowHeight="15" x14ac:dyDescent="0.25"/>
  <cols>
    <col min="1" max="1" width="56.7109375" bestFit="1" customWidth="1"/>
    <col min="2" max="2" width="14.7109375" customWidth="1"/>
    <col min="3" max="6" width="11.5703125" bestFit="1" customWidth="1"/>
    <col min="7" max="14" width="11.5703125" hidden="1" customWidth="1"/>
    <col min="15" max="15" width="13.42578125" customWidth="1"/>
    <col min="16" max="16" width="11.140625" customWidth="1"/>
    <col min="17" max="17" width="12.5703125" bestFit="1" customWidth="1"/>
    <col min="19" max="19" width="10.85546875" style="27" customWidth="1"/>
    <col min="20" max="20" width="13.85546875" style="27" customWidth="1"/>
    <col min="21" max="21" width="9.140625" style="27"/>
    <col min="22" max="22" width="12.5703125" style="27" bestFit="1" customWidth="1"/>
    <col min="23" max="28" width="9.140625" style="27"/>
  </cols>
  <sheetData>
    <row r="1" spans="1:19" s="27" customFormat="1" x14ac:dyDescent="0.25"/>
    <row r="2" spans="1:19" s="27" customFormat="1" x14ac:dyDescent="0.25"/>
    <row r="3" spans="1:19" s="27" customFormat="1" x14ac:dyDescent="0.25"/>
    <row r="4" spans="1:19" s="27" customFormat="1" ht="26.25" x14ac:dyDescent="0.4">
      <c r="A4" s="26" t="s">
        <v>36</v>
      </c>
    </row>
    <row r="5" spans="1:19" s="27" customFormat="1" x14ac:dyDescent="0.25"/>
    <row r="6" spans="1:19" s="27" customFormat="1" hidden="1" x14ac:dyDescent="0.25"/>
    <row r="7" spans="1:19" s="27" customFormat="1" hidden="1" x14ac:dyDescent="0.25"/>
    <row r="8" spans="1:19" s="27" customFormat="1" hidden="1" x14ac:dyDescent="0.25"/>
    <row r="9" spans="1:19" s="27" customFormat="1" x14ac:dyDescent="0.25">
      <c r="A9" s="55" t="s">
        <v>0</v>
      </c>
      <c r="B9" s="56">
        <v>44197</v>
      </c>
      <c r="C9" s="57"/>
    </row>
    <row r="10" spans="1:19" s="27" customFormat="1" x14ac:dyDescent="0.25">
      <c r="A10" s="55" t="s">
        <v>1</v>
      </c>
      <c r="B10" s="56">
        <v>44197</v>
      </c>
      <c r="C10" s="57"/>
    </row>
    <row r="11" spans="1:19" s="27" customFormat="1" x14ac:dyDescent="0.25">
      <c r="A11" s="55" t="s">
        <v>2</v>
      </c>
      <c r="B11" s="58">
        <v>4</v>
      </c>
      <c r="C11" s="59"/>
    </row>
    <row r="12" spans="1:19" s="27" customFormat="1" x14ac:dyDescent="0.25">
      <c r="A12" s="55" t="s">
        <v>39</v>
      </c>
      <c r="B12" s="58">
        <v>4</v>
      </c>
      <c r="C12" s="59"/>
    </row>
    <row r="13" spans="1:19" s="27" customFormat="1" x14ac:dyDescent="0.25">
      <c r="A13" s="55" t="s">
        <v>3</v>
      </c>
      <c r="B13" s="56">
        <v>44316</v>
      </c>
      <c r="C13" s="57"/>
      <c r="D13" s="54" t="s">
        <v>38</v>
      </c>
    </row>
    <row r="14" spans="1:19" s="27" customFormat="1" x14ac:dyDescent="0.25"/>
    <row r="15" spans="1:19" ht="30" x14ac:dyDescent="0.25">
      <c r="A15" s="2" t="s">
        <v>4</v>
      </c>
      <c r="B15" s="71" t="s">
        <v>32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3"/>
      <c r="P15" s="70" t="s">
        <v>40</v>
      </c>
      <c r="Q15" s="27"/>
      <c r="R15" s="27"/>
    </row>
    <row r="16" spans="1:19" ht="75" x14ac:dyDescent="0.25">
      <c r="A16" s="2" t="s">
        <v>5</v>
      </c>
      <c r="B16" s="2"/>
      <c r="C16" s="7">
        <v>44197</v>
      </c>
      <c r="D16" s="7">
        <v>44228</v>
      </c>
      <c r="E16" s="7">
        <v>44256</v>
      </c>
      <c r="F16" s="7">
        <v>44287</v>
      </c>
      <c r="G16" s="7">
        <v>44317</v>
      </c>
      <c r="H16" s="7">
        <v>44348</v>
      </c>
      <c r="I16" s="7">
        <v>44378</v>
      </c>
      <c r="J16" s="7">
        <v>44409</v>
      </c>
      <c r="K16" s="7">
        <v>44440</v>
      </c>
      <c r="L16" s="7">
        <v>44470</v>
      </c>
      <c r="M16" s="7">
        <v>44501</v>
      </c>
      <c r="N16" s="7">
        <v>44531</v>
      </c>
      <c r="O16" s="5" t="s">
        <v>6</v>
      </c>
      <c r="P16" s="6" t="s">
        <v>6</v>
      </c>
      <c r="Q16" s="27"/>
      <c r="R16" s="27"/>
      <c r="S16" s="60"/>
    </row>
    <row r="17" spans="1:21" x14ac:dyDescent="0.25">
      <c r="A17" s="1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8" t="s">
        <v>7</v>
      </c>
      <c r="Q17" s="27"/>
      <c r="R17" s="27"/>
      <c r="S17" s="61"/>
    </row>
    <row r="18" spans="1:21" x14ac:dyDescent="0.25">
      <c r="A18" s="1" t="s">
        <v>8</v>
      </c>
      <c r="B18" s="1"/>
      <c r="C18" s="10">
        <v>113542</v>
      </c>
      <c r="D18" s="10">
        <v>113637</v>
      </c>
      <c r="E18" s="10">
        <v>113732</v>
      </c>
      <c r="F18" s="10">
        <v>113827</v>
      </c>
      <c r="G18" s="10"/>
      <c r="H18" s="10"/>
      <c r="I18" s="10"/>
      <c r="J18" s="10"/>
      <c r="K18" s="10"/>
      <c r="L18" s="10"/>
      <c r="M18" s="10"/>
      <c r="N18" s="10"/>
      <c r="O18" s="9">
        <f>IFERROR(AVERAGE(C18:F18),0)</f>
        <v>113684.5</v>
      </c>
      <c r="P18" s="10">
        <f>AVERAGE(C18:F18)</f>
        <v>113684.5</v>
      </c>
      <c r="Q18" s="27"/>
      <c r="R18" s="27"/>
      <c r="S18" s="62"/>
      <c r="T18" s="63"/>
      <c r="U18" s="64"/>
    </row>
    <row r="19" spans="1:21" x14ac:dyDescent="0.25">
      <c r="A19" s="1" t="s">
        <v>9</v>
      </c>
      <c r="B19" s="1"/>
      <c r="C19" s="10">
        <v>1588</v>
      </c>
      <c r="D19" s="10">
        <v>1588</v>
      </c>
      <c r="E19" s="10">
        <v>1588</v>
      </c>
      <c r="F19" s="10">
        <v>1588</v>
      </c>
      <c r="G19" s="10"/>
      <c r="H19" s="10"/>
      <c r="I19" s="10"/>
      <c r="J19" s="10"/>
      <c r="K19" s="10"/>
      <c r="L19" s="10"/>
      <c r="M19" s="10"/>
      <c r="N19" s="10"/>
      <c r="O19" s="9">
        <f t="shared" ref="O19:O26" si="0">IFERROR(AVERAGE(C19:F19),0)</f>
        <v>1588</v>
      </c>
      <c r="P19" s="10">
        <f t="shared" ref="P19:P26" si="1">AVERAGE(C19:F19)</f>
        <v>1588</v>
      </c>
      <c r="Q19" s="27"/>
      <c r="R19" s="27"/>
      <c r="S19" s="62"/>
      <c r="T19" s="63"/>
      <c r="U19" s="64"/>
    </row>
    <row r="20" spans="1:21" x14ac:dyDescent="0.25">
      <c r="A20" s="1" t="s">
        <v>10</v>
      </c>
      <c r="B20" s="1"/>
      <c r="C20" s="10">
        <v>9253</v>
      </c>
      <c r="D20" s="10">
        <v>9253</v>
      </c>
      <c r="E20" s="10">
        <v>9253</v>
      </c>
      <c r="F20" s="10">
        <v>9253</v>
      </c>
      <c r="G20" s="10"/>
      <c r="H20" s="10"/>
      <c r="I20" s="10"/>
      <c r="J20" s="10"/>
      <c r="K20" s="10"/>
      <c r="L20" s="10"/>
      <c r="M20" s="10"/>
      <c r="N20" s="10"/>
      <c r="O20" s="9">
        <f t="shared" si="0"/>
        <v>9253</v>
      </c>
      <c r="P20" s="10">
        <f t="shared" si="1"/>
        <v>9253</v>
      </c>
      <c r="Q20" s="27"/>
      <c r="R20" s="27"/>
      <c r="S20" s="62"/>
      <c r="T20" s="63"/>
      <c r="U20" s="64"/>
    </row>
    <row r="21" spans="1:21" x14ac:dyDescent="0.25">
      <c r="A21" s="1" t="s">
        <v>11</v>
      </c>
      <c r="B21" s="1"/>
      <c r="C21" s="10">
        <v>1026.4000000000001</v>
      </c>
      <c r="D21" s="10">
        <v>1026.8000000000002</v>
      </c>
      <c r="E21" s="10">
        <v>1027.2000000000003</v>
      </c>
      <c r="F21" s="10">
        <v>1027.6000000000004</v>
      </c>
      <c r="G21" s="10"/>
      <c r="H21" s="10"/>
      <c r="I21" s="10"/>
      <c r="J21" s="10"/>
      <c r="K21" s="10"/>
      <c r="L21" s="10"/>
      <c r="M21" s="10"/>
      <c r="N21" s="10"/>
      <c r="O21" s="9">
        <f t="shared" si="0"/>
        <v>1027.0000000000002</v>
      </c>
      <c r="P21" s="10">
        <f t="shared" si="1"/>
        <v>1027.0000000000002</v>
      </c>
      <c r="Q21" s="27"/>
      <c r="R21" s="27"/>
      <c r="S21" s="62"/>
      <c r="T21" s="63"/>
      <c r="U21" s="64"/>
    </row>
    <row r="22" spans="1:21" x14ac:dyDescent="0.25">
      <c r="A22" s="1" t="s">
        <v>12</v>
      </c>
      <c r="B22" s="1"/>
      <c r="C22" s="10">
        <v>5</v>
      </c>
      <c r="D22" s="10">
        <v>5</v>
      </c>
      <c r="E22" s="10">
        <v>5</v>
      </c>
      <c r="F22" s="10">
        <v>5</v>
      </c>
      <c r="G22" s="10"/>
      <c r="H22" s="10"/>
      <c r="I22" s="10"/>
      <c r="J22" s="10"/>
      <c r="K22" s="10"/>
      <c r="L22" s="10"/>
      <c r="M22" s="10"/>
      <c r="N22" s="10"/>
      <c r="O22" s="9">
        <f t="shared" si="0"/>
        <v>5</v>
      </c>
      <c r="P22" s="10">
        <f t="shared" si="1"/>
        <v>5</v>
      </c>
      <c r="Q22" s="27"/>
      <c r="R22" s="27"/>
      <c r="S22" s="62"/>
      <c r="T22" s="63"/>
      <c r="U22" s="64"/>
    </row>
    <row r="23" spans="1:21" x14ac:dyDescent="0.25">
      <c r="A23" s="1" t="s">
        <v>13</v>
      </c>
      <c r="B23" s="1"/>
      <c r="C23" s="10">
        <v>4</v>
      </c>
      <c r="D23" s="10">
        <v>4</v>
      </c>
      <c r="E23" s="10">
        <v>4</v>
      </c>
      <c r="F23" s="10">
        <v>4</v>
      </c>
      <c r="G23" s="10"/>
      <c r="H23" s="10"/>
      <c r="I23" s="10"/>
      <c r="J23" s="10"/>
      <c r="K23" s="10"/>
      <c r="L23" s="10"/>
      <c r="M23" s="10"/>
      <c r="N23" s="10"/>
      <c r="O23" s="9">
        <f t="shared" si="0"/>
        <v>4</v>
      </c>
      <c r="P23" s="10">
        <f t="shared" si="1"/>
        <v>4</v>
      </c>
      <c r="Q23" s="27"/>
      <c r="R23" s="27"/>
      <c r="S23" s="62"/>
      <c r="T23" s="63"/>
      <c r="U23" s="64"/>
    </row>
    <row r="24" spans="1:21" x14ac:dyDescent="0.25">
      <c r="A24" s="1" t="s">
        <v>14</v>
      </c>
      <c r="B24" s="1"/>
      <c r="C24" s="10">
        <v>850</v>
      </c>
      <c r="D24" s="10">
        <v>850</v>
      </c>
      <c r="E24" s="10">
        <v>850</v>
      </c>
      <c r="F24" s="10">
        <v>850</v>
      </c>
      <c r="G24" s="10"/>
      <c r="H24" s="10"/>
      <c r="I24" s="10"/>
      <c r="J24" s="10"/>
      <c r="K24" s="10"/>
      <c r="L24" s="10"/>
      <c r="M24" s="10"/>
      <c r="N24" s="10"/>
      <c r="O24" s="9">
        <f t="shared" si="0"/>
        <v>850</v>
      </c>
      <c r="P24" s="10">
        <f t="shared" si="1"/>
        <v>850</v>
      </c>
      <c r="Q24" s="27"/>
      <c r="R24" s="27"/>
      <c r="S24" s="62"/>
      <c r="T24" s="63"/>
      <c r="U24" s="64"/>
    </row>
    <row r="25" spans="1:21" x14ac:dyDescent="0.25">
      <c r="A25" s="1" t="s">
        <v>15</v>
      </c>
      <c r="B25" s="1"/>
      <c r="C25" s="10">
        <v>260.21666666666664</v>
      </c>
      <c r="D25" s="10">
        <v>260.21666666666664</v>
      </c>
      <c r="E25" s="10">
        <v>260.21666666666664</v>
      </c>
      <c r="F25" s="10">
        <v>260.21666666666664</v>
      </c>
      <c r="G25" s="10"/>
      <c r="H25" s="10"/>
      <c r="I25" s="10"/>
      <c r="J25" s="10"/>
      <c r="K25" s="10"/>
      <c r="L25" s="10"/>
      <c r="M25" s="10"/>
      <c r="N25" s="10"/>
      <c r="O25" s="9">
        <f t="shared" si="0"/>
        <v>260.21666666666664</v>
      </c>
      <c r="P25" s="10">
        <f t="shared" si="1"/>
        <v>260.21666666666664</v>
      </c>
      <c r="Q25" s="27"/>
      <c r="R25" s="27"/>
      <c r="S25" s="62"/>
      <c r="T25" s="63"/>
      <c r="U25" s="64"/>
    </row>
    <row r="26" spans="1:21" x14ac:dyDescent="0.25">
      <c r="A26" s="1" t="s">
        <v>16</v>
      </c>
      <c r="B26" s="1"/>
      <c r="C26" s="10">
        <v>31463.104166666668</v>
      </c>
      <c r="D26" s="10">
        <v>31476.104166666668</v>
      </c>
      <c r="E26" s="10">
        <v>31489.104166666668</v>
      </c>
      <c r="F26" s="10">
        <v>31502.104166666668</v>
      </c>
      <c r="G26" s="10"/>
      <c r="H26" s="10"/>
      <c r="I26" s="10"/>
      <c r="J26" s="10"/>
      <c r="K26" s="10"/>
      <c r="L26" s="10"/>
      <c r="M26" s="10"/>
      <c r="N26" s="10"/>
      <c r="O26" s="9">
        <f t="shared" si="0"/>
        <v>31482.604166666668</v>
      </c>
      <c r="P26" s="10">
        <f t="shared" si="1"/>
        <v>31482.604166666668</v>
      </c>
      <c r="Q26" s="27"/>
      <c r="R26" s="27"/>
      <c r="S26" s="62"/>
      <c r="T26" s="63"/>
      <c r="U26" s="64"/>
    </row>
    <row r="27" spans="1:21" x14ac:dyDescent="0.25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</row>
    <row r="28" spans="1:21" x14ac:dyDescent="0.25">
      <c r="A28" s="27"/>
      <c r="B28" s="2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27"/>
      <c r="R28" s="27"/>
    </row>
    <row r="29" spans="1:21" hidden="1" x14ac:dyDescent="0.25">
      <c r="A29" s="27"/>
      <c r="B29" s="27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27"/>
      <c r="R29" s="27"/>
    </row>
    <row r="30" spans="1:21" hidden="1" x14ac:dyDescent="0.25">
      <c r="A30" s="27"/>
      <c r="B30" s="27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27"/>
      <c r="R30" s="27"/>
    </row>
    <row r="31" spans="1:21" hidden="1" x14ac:dyDescent="0.25">
      <c r="A31" s="27"/>
      <c r="B31" s="27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27"/>
      <c r="R31" s="27"/>
    </row>
    <row r="32" spans="1:21" hidden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2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2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22" x14ac:dyDescent="0.25">
      <c r="A35" s="11" t="s">
        <v>17</v>
      </c>
      <c r="B35" s="12"/>
      <c r="C35" s="74" t="s">
        <v>32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6"/>
      <c r="Q35" s="77" t="s">
        <v>40</v>
      </c>
      <c r="R35" s="77"/>
    </row>
    <row r="36" spans="1:22" ht="60" x14ac:dyDescent="0.25">
      <c r="A36" s="13" t="s">
        <v>5</v>
      </c>
      <c r="B36" s="13" t="s">
        <v>18</v>
      </c>
      <c r="C36" s="14">
        <f>B9</f>
        <v>44197</v>
      </c>
      <c r="D36" s="14">
        <f>EDATE(C36,1)</f>
        <v>44228</v>
      </c>
      <c r="E36" s="14">
        <f t="shared" ref="E36:M36" si="2">EDATE(D36,1)</f>
        <v>44256</v>
      </c>
      <c r="F36" s="14">
        <f t="shared" si="2"/>
        <v>44287</v>
      </c>
      <c r="G36" s="14">
        <f t="shared" si="2"/>
        <v>44317</v>
      </c>
      <c r="H36" s="14">
        <f t="shared" si="2"/>
        <v>44348</v>
      </c>
      <c r="I36" s="14">
        <f t="shared" si="2"/>
        <v>44378</v>
      </c>
      <c r="J36" s="14">
        <f t="shared" si="2"/>
        <v>44409</v>
      </c>
      <c r="K36" s="14">
        <f t="shared" si="2"/>
        <v>44440</v>
      </c>
      <c r="L36" s="14">
        <f t="shared" si="2"/>
        <v>44470</v>
      </c>
      <c r="M36" s="14">
        <f t="shared" si="2"/>
        <v>44501</v>
      </c>
      <c r="N36" s="14">
        <v>44531</v>
      </c>
      <c r="O36" s="15" t="s">
        <v>19</v>
      </c>
      <c r="P36" s="15" t="s">
        <v>20</v>
      </c>
      <c r="Q36" s="24" t="s">
        <v>24</v>
      </c>
      <c r="R36" s="24" t="s">
        <v>24</v>
      </c>
      <c r="T36" s="65"/>
      <c r="V36" s="66"/>
    </row>
    <row r="37" spans="1:22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20"/>
      <c r="Q37" s="21" t="s">
        <v>7</v>
      </c>
      <c r="R37" s="21" t="s">
        <v>7</v>
      </c>
    </row>
    <row r="38" spans="1:22" x14ac:dyDescent="0.25">
      <c r="A38" s="22" t="str">
        <f>A18</f>
        <v>RESIDENTIAL SERVICE CLASSIFICATION</v>
      </c>
      <c r="B38" s="23" t="s">
        <v>21</v>
      </c>
      <c r="C38" s="25" t="s">
        <v>33</v>
      </c>
      <c r="D38" s="25" t="s">
        <v>33</v>
      </c>
      <c r="E38" s="25" t="s">
        <v>33</v>
      </c>
      <c r="F38" s="25" t="s">
        <v>33</v>
      </c>
      <c r="G38" s="10"/>
      <c r="H38" s="10"/>
      <c r="I38" s="10"/>
      <c r="J38" s="10"/>
      <c r="K38" s="10"/>
      <c r="L38" s="10"/>
      <c r="M38" s="10"/>
      <c r="N38" s="10"/>
      <c r="O38" s="9">
        <f>IF(B38="kWh",SUM(C38:N38),0)</f>
        <v>0</v>
      </c>
      <c r="P38" s="9">
        <f>IF(B38="kW",SUM(C38:N38),0)</f>
        <v>0</v>
      </c>
      <c r="Q38" s="10"/>
      <c r="R38" s="10"/>
      <c r="T38" s="63"/>
    </row>
    <row r="39" spans="1:22" x14ac:dyDescent="0.25">
      <c r="A39" s="22" t="str">
        <f t="shared" ref="A39:A46" si="3">A19</f>
        <v>SEASONAL RESIDENTIAL SERVICE CLASSIFICATION</v>
      </c>
      <c r="B39" s="23" t="s">
        <v>21</v>
      </c>
      <c r="C39" s="25" t="s">
        <v>33</v>
      </c>
      <c r="D39" s="25" t="s">
        <v>33</v>
      </c>
      <c r="E39" s="25" t="s">
        <v>33</v>
      </c>
      <c r="F39" s="25" t="s">
        <v>33</v>
      </c>
      <c r="G39" s="10"/>
      <c r="H39" s="10"/>
      <c r="I39" s="10"/>
      <c r="J39" s="10"/>
      <c r="K39" s="10"/>
      <c r="L39" s="10"/>
      <c r="M39" s="10"/>
      <c r="N39" s="10"/>
      <c r="O39" s="9">
        <f t="shared" ref="O39:O50" si="4">IF(B39="kWh",SUM(C39:N39),0)</f>
        <v>0</v>
      </c>
      <c r="P39" s="9">
        <f t="shared" ref="P39:P50" si="5">IF(B39="kW",SUM(C39:N39),0)</f>
        <v>0</v>
      </c>
      <c r="Q39" s="10">
        <f>SUM(C39:F39)</f>
        <v>0</v>
      </c>
      <c r="R39" s="10"/>
      <c r="T39" s="63"/>
      <c r="V39" s="63"/>
    </row>
    <row r="40" spans="1:22" x14ac:dyDescent="0.25">
      <c r="A40" s="22" t="str">
        <f t="shared" si="3"/>
        <v>GENERAL SERVICE LESS THAN 50 KW SERVICE CLASSIFICATION</v>
      </c>
      <c r="B40" s="23" t="s">
        <v>21</v>
      </c>
      <c r="C40" s="10">
        <v>24520450</v>
      </c>
      <c r="D40" s="10">
        <v>24520450</v>
      </c>
      <c r="E40" s="10">
        <v>24520450</v>
      </c>
      <c r="F40" s="10">
        <v>24520450</v>
      </c>
      <c r="G40" s="10"/>
      <c r="H40" s="10"/>
      <c r="I40" s="10"/>
      <c r="J40" s="10"/>
      <c r="K40" s="10"/>
      <c r="L40" s="10"/>
      <c r="M40" s="10"/>
      <c r="N40" s="10"/>
      <c r="O40" s="9">
        <f t="shared" si="4"/>
        <v>98081800</v>
      </c>
      <c r="P40" s="9">
        <f t="shared" si="5"/>
        <v>0</v>
      </c>
      <c r="Q40" s="10">
        <v>98081800</v>
      </c>
      <c r="R40" s="10"/>
      <c r="T40" s="63"/>
      <c r="V40" s="63"/>
    </row>
    <row r="41" spans="1:22" x14ac:dyDescent="0.25">
      <c r="A41" s="22" t="str">
        <f t="shared" si="3"/>
        <v>GENERAL SERVICE 50 TO 2,999 KW SERVICE CLASSIFICATION</v>
      </c>
      <c r="B41" s="23" t="s">
        <v>22</v>
      </c>
      <c r="C41" s="10">
        <v>192963.20000000001</v>
      </c>
      <c r="D41" s="10">
        <v>193038.40000000002</v>
      </c>
      <c r="E41" s="10">
        <v>193113.60000000006</v>
      </c>
      <c r="F41" s="10">
        <v>193188.80000000008</v>
      </c>
      <c r="G41" s="10"/>
      <c r="H41" s="10"/>
      <c r="I41" s="10"/>
      <c r="J41" s="10"/>
      <c r="K41" s="10"/>
      <c r="L41" s="10"/>
      <c r="M41" s="10"/>
      <c r="N41" s="10"/>
      <c r="O41" s="9">
        <f t="shared" si="4"/>
        <v>0</v>
      </c>
      <c r="P41" s="9">
        <f t="shared" si="5"/>
        <v>772304.00000000012</v>
      </c>
      <c r="Q41" s="10">
        <v>772304.00000000012</v>
      </c>
      <c r="R41" s="10"/>
      <c r="T41" s="63"/>
      <c r="V41" s="63"/>
    </row>
    <row r="42" spans="1:22" x14ac:dyDescent="0.25">
      <c r="A42" s="22" t="str">
        <f t="shared" si="3"/>
        <v>GENERAL SERVICE 3,000 TO 4,999 KW SERVICE CLASSIFICATION</v>
      </c>
      <c r="B42" s="23" t="s">
        <v>22</v>
      </c>
      <c r="C42" s="10">
        <v>20987.5</v>
      </c>
      <c r="D42" s="10">
        <v>20987.5</v>
      </c>
      <c r="E42" s="10">
        <v>20987.5</v>
      </c>
      <c r="F42" s="10">
        <v>20987.5</v>
      </c>
      <c r="G42" s="10"/>
      <c r="H42" s="10"/>
      <c r="I42" s="10"/>
      <c r="J42" s="10"/>
      <c r="K42" s="10"/>
      <c r="L42" s="10"/>
      <c r="M42" s="10"/>
      <c r="N42" s="10"/>
      <c r="O42" s="9">
        <f t="shared" si="4"/>
        <v>0</v>
      </c>
      <c r="P42" s="9">
        <f t="shared" si="5"/>
        <v>83950</v>
      </c>
      <c r="Q42" s="10">
        <v>83950</v>
      </c>
      <c r="R42" s="10"/>
      <c r="T42" s="63"/>
      <c r="V42" s="63"/>
    </row>
    <row r="43" spans="1:22" x14ac:dyDescent="0.25">
      <c r="A43" s="22" t="str">
        <f t="shared" si="3"/>
        <v>LARGE USE SERVICE CLASSIFICATION</v>
      </c>
      <c r="B43" s="23" t="s">
        <v>22</v>
      </c>
      <c r="C43" s="10">
        <v>35397</v>
      </c>
      <c r="D43" s="10">
        <v>35397</v>
      </c>
      <c r="E43" s="10">
        <v>35397</v>
      </c>
      <c r="F43" s="10">
        <v>35397</v>
      </c>
      <c r="G43" s="10"/>
      <c r="H43" s="10"/>
      <c r="I43" s="10"/>
      <c r="J43" s="10"/>
      <c r="K43" s="10"/>
      <c r="L43" s="10"/>
      <c r="M43" s="10"/>
      <c r="N43" s="10"/>
      <c r="O43" s="9">
        <f t="shared" si="4"/>
        <v>0</v>
      </c>
      <c r="P43" s="9">
        <f t="shared" si="5"/>
        <v>141588</v>
      </c>
      <c r="Q43" s="10">
        <v>141588</v>
      </c>
      <c r="R43" s="10">
        <v>0</v>
      </c>
      <c r="T43" s="63"/>
      <c r="V43" s="63"/>
    </row>
    <row r="44" spans="1:22" x14ac:dyDescent="0.25">
      <c r="A44" s="22" t="str">
        <f t="shared" si="3"/>
        <v>UNMETERED SCATTERED LOAD SERVICE CLASSIFICATION</v>
      </c>
      <c r="B44" s="23" t="s">
        <v>21</v>
      </c>
      <c r="C44" s="10">
        <v>395250</v>
      </c>
      <c r="D44" s="10">
        <v>395250</v>
      </c>
      <c r="E44" s="10">
        <v>395250</v>
      </c>
      <c r="F44" s="10">
        <v>395250</v>
      </c>
      <c r="G44" s="10"/>
      <c r="H44" s="10"/>
      <c r="I44" s="10"/>
      <c r="J44" s="10"/>
      <c r="K44" s="10"/>
      <c r="L44" s="10"/>
      <c r="M44" s="10"/>
      <c r="N44" s="10"/>
      <c r="O44" s="9">
        <f t="shared" si="4"/>
        <v>1581000</v>
      </c>
      <c r="P44" s="9">
        <f t="shared" si="5"/>
        <v>0</v>
      </c>
      <c r="Q44" s="10">
        <v>1581000</v>
      </c>
      <c r="R44" s="10">
        <v>0</v>
      </c>
      <c r="T44" s="63"/>
      <c r="V44" s="63"/>
    </row>
    <row r="45" spans="1:22" x14ac:dyDescent="0.25">
      <c r="A45" s="22" t="str">
        <f t="shared" si="3"/>
        <v>SENTINEL LIGHTING SERVICE CLASSIFICATION</v>
      </c>
      <c r="B45" s="23" t="s">
        <v>22</v>
      </c>
      <c r="C45" s="10">
        <v>33.490299924069852</v>
      </c>
      <c r="D45" s="10">
        <v>33.490299924069852</v>
      </c>
      <c r="E45" s="10">
        <v>33.490299924069852</v>
      </c>
      <c r="F45" s="10">
        <v>33.490299924069852</v>
      </c>
      <c r="G45" s="10"/>
      <c r="H45" s="10"/>
      <c r="I45" s="10"/>
      <c r="J45" s="10"/>
      <c r="K45" s="10"/>
      <c r="L45" s="10"/>
      <c r="M45" s="10"/>
      <c r="N45" s="10"/>
      <c r="O45" s="9">
        <f t="shared" si="4"/>
        <v>0</v>
      </c>
      <c r="P45" s="9">
        <f t="shared" si="5"/>
        <v>133.96119969627941</v>
      </c>
      <c r="Q45" s="10">
        <v>133.96119969627941</v>
      </c>
      <c r="R45" s="10">
        <v>0</v>
      </c>
      <c r="T45" s="67"/>
      <c r="V45" s="63"/>
    </row>
    <row r="46" spans="1:22" x14ac:dyDescent="0.25">
      <c r="A46" s="22" t="str">
        <f t="shared" si="3"/>
        <v>STREET LIGHTING SERVICE CLASSIFICATION</v>
      </c>
      <c r="B46" s="23" t="s">
        <v>22</v>
      </c>
      <c r="C46" s="10">
        <v>3083.3842083333334</v>
      </c>
      <c r="D46" s="10">
        <v>3084.6582083333337</v>
      </c>
      <c r="E46" s="10">
        <v>3085.9322083333336</v>
      </c>
      <c r="F46" s="10">
        <v>3087.2062083333335</v>
      </c>
      <c r="G46" s="10"/>
      <c r="H46" s="10"/>
      <c r="I46" s="10"/>
      <c r="J46" s="10"/>
      <c r="K46" s="10"/>
      <c r="L46" s="10"/>
      <c r="M46" s="10"/>
      <c r="N46" s="10"/>
      <c r="O46" s="9">
        <f t="shared" si="4"/>
        <v>0</v>
      </c>
      <c r="P46" s="9">
        <f t="shared" si="5"/>
        <v>12341.180833333334</v>
      </c>
      <c r="Q46" s="10">
        <v>12341.180833333334</v>
      </c>
      <c r="R46" s="10">
        <v>0</v>
      </c>
      <c r="T46" s="67"/>
      <c r="V46" s="63"/>
    </row>
    <row r="47" spans="1:22" x14ac:dyDescent="0.25">
      <c r="A47" s="22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9">
        <f t="shared" si="4"/>
        <v>0</v>
      </c>
      <c r="P47" s="9">
        <f t="shared" si="5"/>
        <v>0</v>
      </c>
      <c r="Q47" s="10"/>
      <c r="R47" s="10"/>
    </row>
    <row r="48" spans="1:22" hidden="1" x14ac:dyDescent="0.25">
      <c r="A48" s="22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9">
        <f t="shared" si="4"/>
        <v>0</v>
      </c>
      <c r="P48" s="9">
        <f t="shared" si="5"/>
        <v>0</v>
      </c>
      <c r="Q48" s="10"/>
      <c r="R48" s="10"/>
    </row>
    <row r="49" spans="1:18" hidden="1" x14ac:dyDescent="0.25">
      <c r="A49" s="22"/>
      <c r="B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9">
        <f t="shared" si="4"/>
        <v>0</v>
      </c>
      <c r="P49" s="9">
        <f t="shared" si="5"/>
        <v>0</v>
      </c>
      <c r="Q49" s="10"/>
      <c r="R49" s="10"/>
    </row>
    <row r="50" spans="1:18" hidden="1" x14ac:dyDescent="0.25">
      <c r="A50" s="22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9">
        <f t="shared" si="4"/>
        <v>0</v>
      </c>
      <c r="P50" s="9">
        <f t="shared" si="5"/>
        <v>0</v>
      </c>
      <c r="Q50" s="10"/>
      <c r="R50" s="10"/>
    </row>
    <row r="51" spans="1:18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18" x14ac:dyDescent="0.25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1:18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1:18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1:18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s="27" customFormat="1" x14ac:dyDescent="0.25"/>
    <row r="69" spans="1:18" s="27" customFormat="1" x14ac:dyDescent="0.25"/>
    <row r="70" spans="1:18" s="27" customFormat="1" x14ac:dyDescent="0.25"/>
    <row r="71" spans="1:18" s="27" customFormat="1" x14ac:dyDescent="0.25"/>
    <row r="72" spans="1:18" s="27" customFormat="1" x14ac:dyDescent="0.25"/>
    <row r="73" spans="1:18" s="27" customFormat="1" x14ac:dyDescent="0.25"/>
    <row r="74" spans="1:18" s="27" customFormat="1" x14ac:dyDescent="0.25"/>
    <row r="75" spans="1:18" s="27" customFormat="1" x14ac:dyDescent="0.25"/>
    <row r="76" spans="1:18" s="27" customFormat="1" x14ac:dyDescent="0.25"/>
    <row r="77" spans="1:18" s="27" customFormat="1" x14ac:dyDescent="0.25"/>
    <row r="78" spans="1:18" s="27" customFormat="1" x14ac:dyDescent="0.25"/>
    <row r="79" spans="1:18" s="27" customFormat="1" x14ac:dyDescent="0.25"/>
    <row r="80" spans="1:18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</sheetData>
  <mergeCells count="4">
    <mergeCell ref="B15:O15"/>
    <mergeCell ref="C35:P35"/>
    <mergeCell ref="Q35:R35"/>
    <mergeCell ref="A52:R52"/>
  </mergeCells>
  <dataValidations disablePrompts="1" count="2">
    <dataValidation type="list" allowBlank="1" showInputMessage="1" showErrorMessage="1" sqref="B38:B46">
      <formula1>"kWh, kW"</formula1>
    </dataValidation>
    <dataValidation type="list" allowBlank="1" showInputMessage="1" showErrorMessage="1" sqref="C37:N37">
      <formula1>"Actual,Forecast"</formula1>
    </dataValidation>
  </dataValidations>
  <pageMargins left="0.45" right="0.45" top="0.5" bottom="0.5" header="0.3" footer="0.3"/>
  <pageSetup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9"/>
  <sheetViews>
    <sheetView tabSelected="1" topLeftCell="A10" workbookViewId="0">
      <selection activeCell="L25" sqref="L25"/>
    </sheetView>
  </sheetViews>
  <sheetFormatPr defaultRowHeight="15" x14ac:dyDescent="0.25"/>
  <cols>
    <col min="1" max="1" width="34.7109375" style="27" customWidth="1"/>
    <col min="2" max="2" width="5.7109375" style="27" customWidth="1"/>
    <col min="3" max="3" width="11.42578125" style="27" customWidth="1"/>
    <col min="4" max="4" width="11.5703125" style="27" bestFit="1" customWidth="1"/>
    <col min="5" max="5" width="10.5703125" style="27" bestFit="1" customWidth="1"/>
    <col min="6" max="6" width="10.85546875" style="27" bestFit="1" customWidth="1"/>
    <col min="7" max="8" width="10.42578125" style="27" bestFit="1" customWidth="1"/>
    <col min="9" max="10" width="13.42578125" style="27" bestFit="1" customWidth="1"/>
    <col min="11" max="11" width="10.28515625" style="27" bestFit="1" customWidth="1"/>
    <col min="12" max="12" width="10.28515625" style="27" customWidth="1"/>
    <col min="13" max="16384" width="9.140625" style="27"/>
  </cols>
  <sheetData>
    <row r="4" spans="1:13" ht="26.25" x14ac:dyDescent="0.4">
      <c r="A4" s="26" t="s">
        <v>36</v>
      </c>
    </row>
    <row r="6" spans="1:13" ht="18.75" x14ac:dyDescent="0.3">
      <c r="A6" s="69" t="s">
        <v>38</v>
      </c>
    </row>
    <row r="9" spans="1:13" x14ac:dyDescent="0.25">
      <c r="A9" s="28" t="str">
        <f>'Jan-Apr 2021 projections'!A9</f>
        <v>Rate Effective Date</v>
      </c>
      <c r="B9" s="81">
        <f>'Jan-Apr 2021 projections'!B9</f>
        <v>44197</v>
      </c>
      <c r="C9" s="81"/>
    </row>
    <row r="10" spans="1:13" x14ac:dyDescent="0.25">
      <c r="A10" s="28" t="str">
        <f>'Jan-Apr 2021 projections'!A10</f>
        <v>Advanced Implementation Date</v>
      </c>
      <c r="B10" s="81">
        <f>'Jan-Apr 2021 projections'!B10</f>
        <v>44197</v>
      </c>
      <c r="C10" s="81"/>
    </row>
    <row r="11" spans="1:13" x14ac:dyDescent="0.25">
      <c r="A11" s="28" t="str">
        <f>'Jan-Apr 2021 projections'!A11</f>
        <v>Advanced Period (number of months)</v>
      </c>
      <c r="B11" s="82">
        <f>'Jan-Apr 2021 projections'!B11</f>
        <v>4</v>
      </c>
      <c r="C11" s="82"/>
    </row>
    <row r="12" spans="1:13" x14ac:dyDescent="0.25">
      <c r="A12" s="28" t="str">
        <f>'Jan-Apr 2021 projections'!A12</f>
        <v>Proposed Refund Period (number of months)</v>
      </c>
      <c r="B12" s="82">
        <f>'Jan-Apr 2021 projections'!B12</f>
        <v>4</v>
      </c>
      <c r="C12" s="82"/>
    </row>
    <row r="13" spans="1:13" x14ac:dyDescent="0.25">
      <c r="A13" s="28" t="str">
        <f>'Jan-Apr 2021 projections'!A13</f>
        <v>Sunset Date of the Advanced Revenue Rate Rider</v>
      </c>
      <c r="B13" s="81">
        <f>'Jan-Apr 2021 projections'!B13</f>
        <v>44316</v>
      </c>
      <c r="C13" s="81"/>
    </row>
    <row r="15" spans="1:13" x14ac:dyDescent="0.25">
      <c r="A15" s="49" t="s">
        <v>25</v>
      </c>
      <c r="C15" s="29"/>
      <c r="L15" s="30"/>
      <c r="M15" s="30"/>
    </row>
    <row r="16" spans="1:13" ht="90" x14ac:dyDescent="0.25">
      <c r="A16" s="50" t="s">
        <v>5</v>
      </c>
      <c r="B16" s="50" t="s">
        <v>18</v>
      </c>
      <c r="C16" s="51" t="s">
        <v>28</v>
      </c>
      <c r="D16" s="51" t="s">
        <v>29</v>
      </c>
      <c r="E16" s="52" t="s">
        <v>30</v>
      </c>
      <c r="F16" s="52" t="s">
        <v>31</v>
      </c>
      <c r="G16" s="52" t="s">
        <v>26</v>
      </c>
      <c r="H16" s="52" t="s">
        <v>27</v>
      </c>
      <c r="I16" s="52" t="s">
        <v>41</v>
      </c>
      <c r="J16" s="52" t="s">
        <v>42</v>
      </c>
      <c r="K16" s="52" t="s">
        <v>35</v>
      </c>
      <c r="L16" s="52" t="s">
        <v>34</v>
      </c>
    </row>
    <row r="17" spans="1:14" ht="30" x14ac:dyDescent="0.25">
      <c r="A17" s="53" t="str">
        <f>'Jan-Apr 2021 projections'!A18</f>
        <v>RESIDENTIAL SERVICE CLASSIFICATION</v>
      </c>
      <c r="B17" s="31" t="str">
        <f>'Jan-Apr 2021 projections'!B38</f>
        <v>kWh</v>
      </c>
      <c r="C17" s="32">
        <v>27.58</v>
      </c>
      <c r="D17" s="33">
        <v>0</v>
      </c>
      <c r="E17" s="34">
        <v>27.07</v>
      </c>
      <c r="F17" s="35">
        <v>0</v>
      </c>
      <c r="G17" s="36">
        <f>E17-C17</f>
        <v>-0.50999999999999801</v>
      </c>
      <c r="H17" s="35">
        <f t="shared" ref="H17:H25" si="0">F17-D17</f>
        <v>0</v>
      </c>
      <c r="I17" s="34">
        <f>G17*B$11*'Jan-Apr 2021 projections'!O18</f>
        <v>-231916.3799999991</v>
      </c>
      <c r="J17" s="34">
        <f>H17*'Jan-Apr 2021 projections'!O38</f>
        <v>0</v>
      </c>
      <c r="K17" s="36">
        <f>IFERROR(I17/$B$12/'Jan-Apr 2021 projections'!P18,0)</f>
        <v>-0.50999999999999801</v>
      </c>
      <c r="L17" s="35">
        <f>IFERROR(J17/'Jan-Apr 2021 projections'!Q38,0)</f>
        <v>0</v>
      </c>
      <c r="N17" s="37"/>
    </row>
    <row r="18" spans="1:14" ht="30" x14ac:dyDescent="0.25">
      <c r="A18" s="53" t="str">
        <f>'Jan-Apr 2021 projections'!A19</f>
        <v>SEASONAL RESIDENTIAL SERVICE CLASSIFICATION</v>
      </c>
      <c r="B18" s="31" t="str">
        <f>'Jan-Apr 2021 projections'!B39</f>
        <v>kWh</v>
      </c>
      <c r="C18" s="32">
        <v>50.39</v>
      </c>
      <c r="D18" s="33">
        <v>0</v>
      </c>
      <c r="E18" s="34">
        <v>49.45</v>
      </c>
      <c r="F18" s="35">
        <v>0</v>
      </c>
      <c r="G18" s="36">
        <f t="shared" ref="G18:G25" si="1">E18-C18</f>
        <v>-0.93999999999999773</v>
      </c>
      <c r="H18" s="35">
        <f t="shared" si="0"/>
        <v>0</v>
      </c>
      <c r="I18" s="34">
        <f>G18*B$11*'Jan-Apr 2021 projections'!O19</f>
        <v>-5970.8799999999856</v>
      </c>
      <c r="J18" s="34">
        <f>H18*'Jan-Apr 2021 projections'!O39</f>
        <v>0</v>
      </c>
      <c r="K18" s="36">
        <f>IFERROR(I18/$B$12/'Jan-Apr 2021 projections'!P19,0)</f>
        <v>-0.93999999999999773</v>
      </c>
      <c r="L18" s="35">
        <f>IFERROR(J18/'Jan-Apr 2021 projections'!Q39,0)</f>
        <v>0</v>
      </c>
      <c r="N18" s="37"/>
    </row>
    <row r="19" spans="1:14" ht="30" x14ac:dyDescent="0.25">
      <c r="A19" s="53" t="str">
        <f>'Jan-Apr 2021 projections'!A20</f>
        <v>GENERAL SERVICE LESS THAN 50 KW SERVICE CLASSIFICATION</v>
      </c>
      <c r="B19" s="31" t="str">
        <f>'Jan-Apr 2021 projections'!B40</f>
        <v>kWh</v>
      </c>
      <c r="C19" s="32">
        <v>17.87</v>
      </c>
      <c r="D19" s="33">
        <v>1.7999999999999999E-2</v>
      </c>
      <c r="E19" s="34">
        <v>17.54</v>
      </c>
      <c r="F19" s="35">
        <v>1.77E-2</v>
      </c>
      <c r="G19" s="36">
        <f t="shared" si="1"/>
        <v>-0.33000000000000185</v>
      </c>
      <c r="H19" s="35">
        <f t="shared" si="0"/>
        <v>-2.9999999999999818E-4</v>
      </c>
      <c r="I19" s="34">
        <f>G19*B$11*'Jan-Apr 2021 projections'!O20</f>
        <v>-12213.960000000068</v>
      </c>
      <c r="J19" s="34">
        <f>H19*'Jan-Apr 2021 projections'!O40</f>
        <v>-29424.539999999823</v>
      </c>
      <c r="K19" s="36">
        <f>IFERROR(I19/$B$12/'Jan-Apr 2021 projections'!P20,0)</f>
        <v>-0.33000000000000185</v>
      </c>
      <c r="L19" s="35">
        <f>IFERROR(J19/'Jan-Apr 2021 projections'!Q40,0)</f>
        <v>-2.9999999999999818E-4</v>
      </c>
      <c r="N19" s="37"/>
    </row>
    <row r="20" spans="1:14" ht="30" x14ac:dyDescent="0.25">
      <c r="A20" s="53" t="str">
        <f>'Jan-Apr 2021 projections'!A21</f>
        <v>GENERAL SERVICE 50 TO 2,999 KW SERVICE CLASSIFICATION</v>
      </c>
      <c r="B20" s="31" t="str">
        <f>'Jan-Apr 2021 projections'!B41</f>
        <v>kW</v>
      </c>
      <c r="C20" s="32">
        <v>114.26</v>
      </c>
      <c r="D20" s="33">
        <v>3.5251999999999999</v>
      </c>
      <c r="E20" s="34">
        <v>112.13</v>
      </c>
      <c r="F20" s="35">
        <v>3.4594999999999998</v>
      </c>
      <c r="G20" s="36">
        <f t="shared" si="1"/>
        <v>-2.1300000000000097</v>
      </c>
      <c r="H20" s="35">
        <f>F20-D20</f>
        <v>-6.5700000000000092E-2</v>
      </c>
      <c r="I20" s="34">
        <f>G20*B$11*'Jan-Apr 2021 projections'!O21</f>
        <v>-8750.0400000000409</v>
      </c>
      <c r="J20" s="34">
        <f>H20*'Jan-Apr 2021 projections'!P41</f>
        <v>-50740.372800000077</v>
      </c>
      <c r="K20" s="36">
        <f>IFERROR(I20/$B$12/'Jan-Apr 2021 projections'!P21,0)</f>
        <v>-2.1300000000000097</v>
      </c>
      <c r="L20" s="35">
        <f>IFERROR(J20/'Jan-Apr 2021 projections'!Q41,0)</f>
        <v>-6.5700000000000092E-2</v>
      </c>
      <c r="N20" s="37"/>
    </row>
    <row r="21" spans="1:14" ht="30" x14ac:dyDescent="0.25">
      <c r="A21" s="53" t="str">
        <f>'Jan-Apr 2021 projections'!A22</f>
        <v>GENERAL SERVICE 3,000 TO 4,999 KW SERVICE CLASSIFICATION</v>
      </c>
      <c r="B21" s="31" t="str">
        <f>'Jan-Apr 2021 projections'!B42</f>
        <v>kW</v>
      </c>
      <c r="C21" s="32">
        <v>6004.29</v>
      </c>
      <c r="D21" s="33">
        <v>2.2334000000000001</v>
      </c>
      <c r="E21" s="34">
        <v>5892.34</v>
      </c>
      <c r="F21" s="35">
        <v>2.1918000000000002</v>
      </c>
      <c r="G21" s="36">
        <f t="shared" si="1"/>
        <v>-111.94999999999982</v>
      </c>
      <c r="H21" s="35">
        <f t="shared" si="0"/>
        <v>-4.1599999999999859E-2</v>
      </c>
      <c r="I21" s="34">
        <f>G21*B$11*'Jan-Apr 2021 projections'!O22</f>
        <v>-2238.9999999999964</v>
      </c>
      <c r="J21" s="34">
        <f>H21*'Jan-Apr 2021 projections'!P42</f>
        <v>-3492.3199999999883</v>
      </c>
      <c r="K21" s="36">
        <f>IFERROR(I21/$B$12/'Jan-Apr 2021 projections'!P22,0)</f>
        <v>-111.94999999999982</v>
      </c>
      <c r="L21" s="35">
        <f>IFERROR(J21/'Jan-Apr 2021 projections'!Q42,0)</f>
        <v>-4.1599999999999859E-2</v>
      </c>
      <c r="N21" s="37"/>
    </row>
    <row r="22" spans="1:14" ht="18" customHeight="1" x14ac:dyDescent="0.25">
      <c r="A22" s="53" t="str">
        <f>'Jan-Apr 2021 projections'!A23</f>
        <v>LARGE USE SERVICE CLASSIFICATION</v>
      </c>
      <c r="B22" s="31" t="str">
        <f>'Jan-Apr 2021 projections'!B43</f>
        <v>kW</v>
      </c>
      <c r="C22" s="32">
        <v>9019.66</v>
      </c>
      <c r="D22" s="33">
        <v>3.1454</v>
      </c>
      <c r="E22" s="34">
        <v>8851.48</v>
      </c>
      <c r="F22" s="35">
        <v>3.0868000000000002</v>
      </c>
      <c r="G22" s="36">
        <f t="shared" si="1"/>
        <v>-168.18000000000029</v>
      </c>
      <c r="H22" s="35">
        <f t="shared" si="0"/>
        <v>-5.8599999999999763E-2</v>
      </c>
      <c r="I22" s="34">
        <f>G22*B$11*'Jan-Apr 2021 projections'!O23</f>
        <v>-2690.8800000000047</v>
      </c>
      <c r="J22" s="34">
        <f>H22*'Jan-Apr 2021 projections'!P43</f>
        <v>-8297.0567999999657</v>
      </c>
      <c r="K22" s="36">
        <f>IFERROR(I22/$B$12/'Jan-Apr 2021 projections'!P23,0)</f>
        <v>-168.18000000000029</v>
      </c>
      <c r="L22" s="35">
        <f>IFERROR(J22/'Jan-Apr 2021 projections'!Q43,0)</f>
        <v>-5.8599999999999756E-2</v>
      </c>
      <c r="N22" s="37"/>
    </row>
    <row r="23" spans="1:14" ht="30" x14ac:dyDescent="0.25">
      <c r="A23" s="53" t="str">
        <f>'Jan-Apr 2021 projections'!A24</f>
        <v>UNMETERED SCATTERED LOAD SERVICE CLASSIFICATION</v>
      </c>
      <c r="B23" s="31" t="str">
        <f>'Jan-Apr 2021 projections'!B44</f>
        <v>kWh</v>
      </c>
      <c r="C23" s="32">
        <v>7.29</v>
      </c>
      <c r="D23" s="33">
        <v>1.7899999999999999E-2</v>
      </c>
      <c r="E23" s="34">
        <v>7.15</v>
      </c>
      <c r="F23" s="35">
        <v>1.7600000000000001E-2</v>
      </c>
      <c r="G23" s="36">
        <f t="shared" si="1"/>
        <v>-0.13999999999999968</v>
      </c>
      <c r="H23" s="35">
        <f t="shared" si="0"/>
        <v>-2.9999999999999818E-4</v>
      </c>
      <c r="I23" s="34">
        <f>G23*B$11*'Jan-Apr 2021 projections'!O24</f>
        <v>-475.99999999999892</v>
      </c>
      <c r="J23" s="34">
        <f>H23*'Jan-Apr 2021 projections'!O44</f>
        <v>-474.29999999999711</v>
      </c>
      <c r="K23" s="36">
        <f>IFERROR(I23/$B$12/'Jan-Apr 2021 projections'!P24,0)</f>
        <v>-0.13999999999999968</v>
      </c>
      <c r="L23" s="35">
        <f>IFERROR(J23/'Jan-Apr 2021 projections'!Q44,0)</f>
        <v>-2.9999999999999818E-4</v>
      </c>
      <c r="N23" s="37"/>
    </row>
    <row r="24" spans="1:14" ht="30" x14ac:dyDescent="0.25">
      <c r="A24" s="53" t="str">
        <f>'Jan-Apr 2021 projections'!A25</f>
        <v>SENTINEL LIGHTING SERVICE CLASSIFICATION</v>
      </c>
      <c r="B24" s="31" t="str">
        <f>'Jan-Apr 2021 projections'!B45</f>
        <v>kW</v>
      </c>
      <c r="C24" s="32">
        <v>4.8</v>
      </c>
      <c r="D24" s="33">
        <v>14.521599999999999</v>
      </c>
      <c r="E24" s="34">
        <v>4.71</v>
      </c>
      <c r="F24" s="35">
        <v>14.2508</v>
      </c>
      <c r="G24" s="36">
        <f t="shared" si="1"/>
        <v>-8.9999999999999858E-2</v>
      </c>
      <c r="H24" s="35">
        <f t="shared" si="0"/>
        <v>-0.27079999999999949</v>
      </c>
      <c r="I24" s="34">
        <f>G24*B$11*'Jan-Apr 2021 projections'!O25</f>
        <v>-93.677999999999841</v>
      </c>
      <c r="J24" s="34">
        <f>H24*'Jan-Apr 2021 projections'!P45</f>
        <v>-36.276692877752396</v>
      </c>
      <c r="K24" s="36">
        <f>IFERROR(I24/$B$12/'Jan-Apr 2021 projections'!P25,0)</f>
        <v>-8.9999999999999858E-2</v>
      </c>
      <c r="L24" s="35">
        <f>IFERROR(J24/'Jan-Apr 2021 projections'!Q45,0)</f>
        <v>-0.27079999999999949</v>
      </c>
      <c r="N24" s="37"/>
    </row>
    <row r="25" spans="1:14" ht="30" x14ac:dyDescent="0.25">
      <c r="A25" s="53" t="str">
        <f>'Jan-Apr 2021 projections'!A26</f>
        <v>STREET LIGHTING SERVICE CLASSIFICATION</v>
      </c>
      <c r="B25" s="31" t="str">
        <f>'Jan-Apr 2021 projections'!B46</f>
        <v>kW</v>
      </c>
      <c r="C25" s="32">
        <v>0.74</v>
      </c>
      <c r="D25" s="33">
        <v>3.9706999999999999</v>
      </c>
      <c r="E25" s="34">
        <v>0.73</v>
      </c>
      <c r="F25" s="35">
        <v>3.8967000000000001</v>
      </c>
      <c r="G25" s="36">
        <f t="shared" si="1"/>
        <v>-1.0000000000000009E-2</v>
      </c>
      <c r="H25" s="35">
        <f t="shared" si="0"/>
        <v>-7.3999999999999844E-2</v>
      </c>
      <c r="I25" s="34">
        <f>G25*B$11*'Jan-Apr 2021 projections'!O26</f>
        <v>-1259.3041666666679</v>
      </c>
      <c r="J25" s="34">
        <f>H25*'Jan-Apr 2021 projections'!P46</f>
        <v>-913.24738166666475</v>
      </c>
      <c r="K25" s="36">
        <f>IFERROR(I25/$B$12/'Jan-Apr 2021 projections'!P26,0)</f>
        <v>-1.0000000000000009E-2</v>
      </c>
      <c r="L25" s="35">
        <f>IFERROR(J25/'Jan-Apr 2021 projections'!Q46,0)</f>
        <v>-7.3999999999999844E-2</v>
      </c>
      <c r="N25" s="37"/>
    </row>
    <row r="26" spans="1:14" x14ac:dyDescent="0.25">
      <c r="A26" s="31"/>
      <c r="B26" s="31"/>
      <c r="C26" s="38"/>
      <c r="D26" s="39"/>
      <c r="E26" s="38"/>
      <c r="F26" s="39"/>
      <c r="G26" s="38"/>
      <c r="H26" s="39"/>
      <c r="I26" s="38"/>
      <c r="J26" s="38"/>
      <c r="K26" s="38"/>
      <c r="L26" s="39"/>
    </row>
    <row r="27" spans="1:14" x14ac:dyDescent="0.25">
      <c r="A27" s="40"/>
      <c r="B27" s="40"/>
      <c r="C27" s="41"/>
      <c r="D27" s="42"/>
      <c r="E27" s="79" t="s">
        <v>37</v>
      </c>
      <c r="F27" s="79"/>
      <c r="G27" s="79"/>
      <c r="H27" s="79"/>
      <c r="I27" s="80"/>
      <c r="J27" s="36">
        <f>SUM(I17:I26)+SUM(J17:J26)</f>
        <v>-358988.23584121012</v>
      </c>
      <c r="K27" s="43"/>
      <c r="L27" s="44"/>
    </row>
    <row r="28" spans="1:14" ht="17.25" x14ac:dyDescent="0.4">
      <c r="A28" s="40"/>
      <c r="B28" s="40"/>
      <c r="C28" s="41"/>
      <c r="D28" s="42"/>
      <c r="E28" s="45"/>
      <c r="F28" s="45"/>
      <c r="G28" s="41"/>
      <c r="H28" s="42"/>
      <c r="I28" s="46"/>
      <c r="J28" s="47"/>
      <c r="K28" s="43"/>
      <c r="L28" s="44"/>
    </row>
    <row r="29" spans="1:14" x14ac:dyDescent="0.25">
      <c r="E29" s="48"/>
    </row>
  </sheetData>
  <mergeCells count="6">
    <mergeCell ref="E27:I27"/>
    <mergeCell ref="B9:C9"/>
    <mergeCell ref="B10:C10"/>
    <mergeCell ref="B11:C11"/>
    <mergeCell ref="B12:C12"/>
    <mergeCell ref="B13:C13"/>
  </mergeCells>
  <pageMargins left="0.2" right="0.2" top="0.75" bottom="0.75" header="0.3" footer="0.3"/>
  <pageSetup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Jan-Apr 2021 projections</vt:lpstr>
      <vt:lpstr>Advanced Revenue Rate Rider</vt:lpstr>
      <vt:lpstr>Sheet3</vt:lpstr>
      <vt:lpstr>'Advanced Revenue Rate Rider'!Print_Area</vt:lpstr>
      <vt:lpstr>'Jan-Apr 2021 projections'!Print_Area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Cindy Perrin</cp:lastModifiedBy>
  <cp:lastPrinted>2020-08-16T17:01:39Z</cp:lastPrinted>
  <dcterms:created xsi:type="dcterms:W3CDTF">2020-08-15T17:30:52Z</dcterms:created>
  <dcterms:modified xsi:type="dcterms:W3CDTF">2020-11-25T17:24:06Z</dcterms:modified>
</cp:coreProperties>
</file>