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Munshi\AppData\Roaming\iManage\Work\Recent\018576.000007 - Espanola Regional Hydro - 2021 Rate Application\"/>
    </mc:Choice>
  </mc:AlternateContent>
  <bookViews>
    <workbookView xWindow="-110" yWindow="-110" windowWidth="23260" windowHeight="14020" tabRatio="845"/>
  </bookViews>
  <sheets>
    <sheet name="Exhibit 3 Tables" sheetId="1" r:id="rId1"/>
    <sheet name="Sheet1" sheetId="15" state="hidden" r:id="rId2"/>
    <sheet name="Purchased Power Model" sheetId="3" r:id="rId3"/>
    <sheet name="Purchased Power Model WN" sheetId="4" r:id="rId4"/>
    <sheet name="Act vs Pred Chart" sheetId="5" r:id="rId5"/>
    <sheet name="Summary" sheetId="2" r:id="rId6"/>
    <sheet name="Rate Class Energy Model" sheetId="7" r:id="rId7"/>
    <sheet name="Street Light Adjustment" sheetId="16" r:id="rId8"/>
    <sheet name="Rate Class Customer Model" sheetId="8" r:id="rId9"/>
    <sheet name="Rate Class Load Model" sheetId="9" r:id="rId10"/>
    <sheet name="Weather Analysis " sheetId="11" r:id="rId11"/>
    <sheet name="2020 COP Forecast" sheetId="12" r:id="rId12"/>
    <sheet name="2021 COP forecast" sheetId="14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CAP1000" localSheetId="3">#REF!</definedName>
    <definedName name="__CAP1000">#REF!</definedName>
    <definedName name="__OP1000" localSheetId="3">#REF!</definedName>
    <definedName name="__OP100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hidden="1">'[1]Old MEA Statistics'!$B$250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10" hidden="1">[2]Sheet1!$G$40:$K$40</definedName>
    <definedName name="_Sort" hidden="1">[3]Sheet1!$G$40:$K$40</definedName>
    <definedName name="ALL" localSheetId="3">#REF!</definedName>
    <definedName name="ALL">#REF!</definedName>
    <definedName name="ApprovedYr">'[4]Z1.ModelVariables'!$C$12</definedName>
    <definedName name="CAfile">[5]Refs!$B$2</definedName>
    <definedName name="CAPCOSTS" localSheetId="3">#REF!</definedName>
    <definedName name="CAPCOSTS">#REF!</definedName>
    <definedName name="CAPITAL" localSheetId="3">#REF!</definedName>
    <definedName name="CAPITAL">#REF!</definedName>
    <definedName name="CapitalExpListing" localSheetId="3">#REF!</definedName>
    <definedName name="CapitalExpListing">#REF!</definedName>
    <definedName name="CArevReq">[5]Refs!$B$6</definedName>
    <definedName name="CASHFLOW" localSheetId="3">#REF!</definedName>
    <definedName name="CASHFLOW">#REF!</definedName>
    <definedName name="cc" localSheetId="3">#REF!</definedName>
    <definedName name="cc">#REF!</definedName>
    <definedName name="ClassRange1">[5]Refs!$B$3</definedName>
    <definedName name="ClassRange2">[5]Refs!$B$4</definedName>
    <definedName name="contactf" localSheetId="3">#REF!</definedName>
    <definedName name="contactf">#REF!</definedName>
    <definedName name="_xlnm.Criteria" localSheetId="3">#REF!</definedName>
    <definedName name="_xlnm.Criteria">#REF!</definedName>
    <definedName name="CRLF">'[4]Z1.ModelVariables'!$C$10</definedName>
    <definedName name="_xlnm.Database" localSheetId="3">#REF!</definedName>
    <definedName name="_xlnm.Database">#REF!</definedName>
    <definedName name="DaysInPreviousYear">'[6]Distribution Revenue by Source'!$B$22</definedName>
    <definedName name="DaysInYear">'[6]Distribution Revenue by Source'!$B$21</definedName>
    <definedName name="DEBTREPAY" localSheetId="3">#REF!</definedName>
    <definedName name="DEBTREPAY">#REF!</definedName>
    <definedName name="DeptDiv" localSheetId="3">#REF!</definedName>
    <definedName name="DeptDiv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>'[4]Z1.ModelVariables'!$C$14</definedName>
    <definedName name="FolderPath">[5]Menu!$C$8</definedName>
    <definedName name="histdate">[7]Financials!$E$76</definedName>
    <definedName name="Incr2000" localSheetId="3">#REF!</definedName>
    <definedName name="Incr2000">#REF!</definedName>
    <definedName name="INTERIM" localSheetId="3">#REF!</definedName>
    <definedName name="INTERIM">#REF!</definedName>
    <definedName name="LIMIT" localSheetId="3">#REF!</definedName>
    <definedName name="LIMIT">#REF!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>[5]Refs!$B$8</definedName>
    <definedName name="NOTES" localSheetId="3">#REF!</definedName>
    <definedName name="NOTES">#REF!</definedName>
    <definedName name="OPERATING" localSheetId="3">#REF!</definedName>
    <definedName name="OPERATING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3">#REF!</definedName>
    <definedName name="PAGE11" localSheetId="10">#REF!</definedName>
    <definedName name="PAGE11">#REF!</definedName>
    <definedName name="PAGE2" localSheetId="10">[2]Sheet1!$A$1:$I$40</definedName>
    <definedName name="PAGE2">[3]Sheet1!$A$1:$I$40</definedName>
    <definedName name="PAGE3" localSheetId="3">#REF!</definedName>
    <definedName name="PAGE3" localSheetId="10">#REF!</definedName>
    <definedName name="PAGE3">#REF!</definedName>
    <definedName name="PAGE4" localSheetId="3">#REF!</definedName>
    <definedName name="PAGE4" localSheetId="10">#REF!</definedName>
    <definedName name="PAGE4">#REF!</definedName>
    <definedName name="PAGE7" localSheetId="3">#REF!</definedName>
    <definedName name="PAGE7" localSheetId="10">#REF!</definedName>
    <definedName name="PAGE7">#REF!</definedName>
    <definedName name="PAGE9" localSheetId="3">#REF!</definedName>
    <definedName name="PAGE9" localSheetId="10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2">'Purchased Power Model'!$A$1:$M$165</definedName>
    <definedName name="_xlnm.Print_Area" localSheetId="3">'Purchased Power Model WN'!$A$1:$M$165</definedName>
    <definedName name="_xlnm.Print_Area" localSheetId="8">'Rate Class Customer Model'!$A$1:$H$41</definedName>
    <definedName name="_xlnm.Print_Area" localSheetId="6">'Rate Class Energy Model'!$A$1:$M$79</definedName>
    <definedName name="_xlnm.Print_Area" localSheetId="9">'Rate Class Load Model'!$A$1:$E$34</definedName>
    <definedName name="Print_Area_MI" localSheetId="3">#REF!</definedName>
    <definedName name="Print_Area_MI">#REF!</definedName>
    <definedName name="print_end" localSheetId="3">#REF!</definedName>
    <definedName name="print_end">#REF!</definedName>
    <definedName name="_xlnm.Print_Titles" localSheetId="2">'Purchased Power Model'!$A:$M,'Purchased Power Model'!$1:$2</definedName>
    <definedName name="_xlnm.Print_Titles" localSheetId="3">'Purchased Power Model WN'!$A:$M,'Purchased Power Model WN'!$1:$2</definedName>
    <definedName name="PRIOR" localSheetId="3">#REF!</definedName>
    <definedName name="PRIOR">#REF!</definedName>
    <definedName name="Ratebase">'[6]Distribution Revenue by Source'!$C$25</definedName>
    <definedName name="RevReqLookupKey">[5]Refs!$B$5</definedName>
    <definedName name="RevReqRange">[5]Refs!$B$7</definedName>
    <definedName name="RVCASHPR" localSheetId="3">#REF!</definedName>
    <definedName name="RVCASHPR">#REF!</definedName>
    <definedName name="SALBENF" localSheetId="3">#REF!</definedName>
    <definedName name="SALBENF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>'[4]A1.Admin'!$C$13</definedName>
    <definedName name="TestYrPL">'[8]Revenue Requirement'!$B$10</definedName>
    <definedName name="total_dept" localSheetId="3">#REF!</definedName>
    <definedName name="total_dept">#REF!</definedName>
    <definedName name="total_manpower" localSheetId="3">#REF!</definedName>
    <definedName name="total_manpower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[7]Financials!$A$1</definedName>
    <definedName name="utitliy1">[9]Financials!$A$1</definedName>
    <definedName name="WAGBENF" localSheetId="3">#REF!</definedName>
    <definedName name="WAGBENF">#REF!</definedName>
    <definedName name="wagdob" localSheetId="3">#REF!</definedName>
    <definedName name="wagdob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  <definedName name="Z_4115F855_0BCB_4789_890B_F67D0AF20543_.wvu.Cols" localSheetId="2" hidden="1">'Purchased Power Model'!$G:$J</definedName>
    <definedName name="Z_4115F855_0BCB_4789_890B_F67D0AF20543_.wvu.Cols" localSheetId="3" hidden="1">'Purchased Power Model WN'!$G:$J</definedName>
    <definedName name="Z_4115F855_0BCB_4789_890B_F67D0AF20543_.wvu.PrintArea" localSheetId="2" hidden="1">'Purchased Power Model'!$A$1:$M$165</definedName>
    <definedName name="Z_4115F855_0BCB_4789_890B_F67D0AF20543_.wvu.PrintArea" localSheetId="3" hidden="1">'Purchased Power Model WN'!$A$1:$M$165</definedName>
    <definedName name="Z_4115F855_0BCB_4789_890B_F67D0AF20543_.wvu.PrintArea" localSheetId="8" hidden="1">'Rate Class Customer Model'!$A$1:$H$41</definedName>
    <definedName name="Z_4115F855_0BCB_4789_890B_F67D0AF20543_.wvu.PrintArea" localSheetId="6" hidden="1">'Rate Class Energy Model'!$A$1:$M$79</definedName>
    <definedName name="Z_4115F855_0BCB_4789_890B_F67D0AF20543_.wvu.PrintArea" localSheetId="9" hidden="1">'Rate Class Load Model'!$A$1:$E$34</definedName>
    <definedName name="Z_4115F855_0BCB_4789_890B_F67D0AF20543_.wvu.PrintTitles" localSheetId="2" hidden="1">'Purchased Power Model'!$A:$M,'Purchased Power Model'!$1:$2</definedName>
    <definedName name="Z_4115F855_0BCB_4789_890B_F67D0AF20543_.wvu.PrintTitles" localSheetId="3" hidden="1">'Purchased Power Model WN'!$A:$M,'Purchased Power Model WN'!$1:$2</definedName>
    <definedName name="Z_7481AE0E_2D6B_416C_8D95_7DAA8CA7C9F5_.wvu.Cols" localSheetId="2" hidden="1">'Purchased Power Model'!$G:$J</definedName>
    <definedName name="Z_7481AE0E_2D6B_416C_8D95_7DAA8CA7C9F5_.wvu.Cols" localSheetId="3" hidden="1">'Purchased Power Model WN'!$G:$J</definedName>
    <definedName name="Z_7481AE0E_2D6B_416C_8D95_7DAA8CA7C9F5_.wvu.PrintArea" localSheetId="0" hidden="1">'Exhibit 3 Tables'!$B$1:$O$22</definedName>
    <definedName name="Z_7481AE0E_2D6B_416C_8D95_7DAA8CA7C9F5_.wvu.PrintArea" localSheetId="2" hidden="1">'Purchased Power Model'!$A$1:$M$165</definedName>
    <definedName name="Z_7481AE0E_2D6B_416C_8D95_7DAA8CA7C9F5_.wvu.PrintArea" localSheetId="3" hidden="1">'Purchased Power Model WN'!$A$1:$M$165</definedName>
    <definedName name="Z_7481AE0E_2D6B_416C_8D95_7DAA8CA7C9F5_.wvu.PrintArea" localSheetId="8" hidden="1">'Rate Class Customer Model'!$A$1:$H$41</definedName>
    <definedName name="Z_7481AE0E_2D6B_416C_8D95_7DAA8CA7C9F5_.wvu.PrintArea" localSheetId="6" hidden="1">'Rate Class Energy Model'!$A$1:$M$79</definedName>
    <definedName name="Z_7481AE0E_2D6B_416C_8D95_7DAA8CA7C9F5_.wvu.PrintArea" localSheetId="9" hidden="1">'Rate Class Load Model'!$A$1:$E$34</definedName>
    <definedName name="Z_7481AE0E_2D6B_416C_8D95_7DAA8CA7C9F5_.wvu.PrintArea" localSheetId="5" hidden="1">Summary!$A$1:$L$61</definedName>
    <definedName name="Z_7481AE0E_2D6B_416C_8D95_7DAA8CA7C9F5_.wvu.PrintTitles" localSheetId="2" hidden="1">'Purchased Power Model'!$A:$M,'Purchased Power Model'!$1:$2</definedName>
    <definedName name="Z_7481AE0E_2D6B_416C_8D95_7DAA8CA7C9F5_.wvu.PrintTitles" localSheetId="3" hidden="1">'Purchased Power Model WN'!$A:$M,'Purchased Power Model WN'!$1:$2</definedName>
    <definedName name="Z_DE47F5DD_3736_469D_8704_852547698004_.wvu.Cols" localSheetId="0" hidden="1">'Exhibit 3 Tables'!$C:$C</definedName>
    <definedName name="Z_DE47F5DD_3736_469D_8704_852547698004_.wvu.Cols" localSheetId="2" hidden="1">'Purchased Power Model'!$G:$J</definedName>
    <definedName name="Z_DE47F5DD_3736_469D_8704_852547698004_.wvu.Cols" localSheetId="3" hidden="1">'Purchased Power Model WN'!$G:$J</definedName>
    <definedName name="Z_DE47F5DD_3736_469D_8704_852547698004_.wvu.PrintArea" localSheetId="2" hidden="1">'Purchased Power Model'!$A$1:$M$165</definedName>
    <definedName name="Z_DE47F5DD_3736_469D_8704_852547698004_.wvu.PrintArea" localSheetId="3" hidden="1">'Purchased Power Model WN'!$A$1:$M$165</definedName>
    <definedName name="Z_DE47F5DD_3736_469D_8704_852547698004_.wvu.PrintArea" localSheetId="8" hidden="1">'Rate Class Customer Model'!$A$1:$H$41</definedName>
    <definedName name="Z_DE47F5DD_3736_469D_8704_852547698004_.wvu.PrintArea" localSheetId="6" hidden="1">'Rate Class Energy Model'!$A$1:$M$79</definedName>
    <definedName name="Z_DE47F5DD_3736_469D_8704_852547698004_.wvu.PrintArea" localSheetId="9" hidden="1">'Rate Class Load Model'!$A$1:$E$34</definedName>
    <definedName name="Z_DE47F5DD_3736_469D_8704_852547698004_.wvu.PrintTitles" localSheetId="2" hidden="1">'Purchased Power Model'!$A:$M,'Purchased Power Model'!$1:$2</definedName>
    <definedName name="Z_DE47F5DD_3736_469D_8704_852547698004_.wvu.PrintTitles" localSheetId="3" hidden="1">'Purchased Power Model WN'!$A:$M,'Purchased Power Model WN'!$1:$2</definedName>
  </definedNames>
  <calcPr calcId="191029"/>
  <customWorkbookViews>
    <customWorkbookView name="Terry Greco - Personal View" guid="{7481AE0E-2D6B-416C-8D95-7DAA8CA7C9F5}" mergeInterval="0" personalView="1" maximized="1" xWindow="-9" yWindow="-9" windowWidth="1938" windowHeight="1048" tabRatio="845" activeSheetId="2"/>
    <customWorkbookView name="Bacon, Bruce - Personal View" guid="{4115F855-0BCB-4789-890B-F67D0AF20543}" mergeInterval="0" personalView="1" maximized="1" xWindow="-11" yWindow="-11" windowWidth="1942" windowHeight="1042" tabRatio="845" activeSheetId="13"/>
    <customWorkbookView name="Tyler Kasubeck - Personal View" guid="{DE47F5DD-3736-469D-8704-852547698004}" mergeInterval="0" personalView="1" maximized="1" xWindow="-8" yWindow="-8" windowWidth="1936" windowHeight="1056" tabRatio="845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51" i="1" l="1"/>
  <c r="L652" i="1"/>
  <c r="L653" i="1"/>
  <c r="L654" i="1"/>
  <c r="L655" i="1"/>
  <c r="L650" i="1"/>
  <c r="J137" i="12" l="1"/>
  <c r="J138" i="12"/>
  <c r="J139" i="12"/>
  <c r="J140" i="12"/>
  <c r="J141" i="12"/>
  <c r="J142" i="12"/>
  <c r="J143" i="12"/>
  <c r="J144" i="12"/>
  <c r="J145" i="12"/>
  <c r="J136" i="12"/>
  <c r="Q100" i="14"/>
  <c r="Q101" i="14"/>
  <c r="Q102" i="14"/>
  <c r="Q103" i="14"/>
  <c r="Q104" i="14"/>
  <c r="Q105" i="14"/>
  <c r="Q106" i="14"/>
  <c r="Q99" i="14"/>
  <c r="N98" i="12"/>
  <c r="N99" i="12"/>
  <c r="N100" i="12"/>
  <c r="N101" i="12"/>
  <c r="N102" i="12"/>
  <c r="N103" i="12"/>
  <c r="N104" i="12"/>
  <c r="N105" i="12"/>
  <c r="N97" i="12"/>
  <c r="M106" i="12"/>
  <c r="F10" i="14" l="1"/>
  <c r="F7" i="14"/>
  <c r="L656" i="1" l="1"/>
  <c r="N100" i="14" l="1"/>
  <c r="N101" i="14"/>
  <c r="N102" i="14"/>
  <c r="N103" i="14"/>
  <c r="N104" i="14"/>
  <c r="N105" i="14"/>
  <c r="N106" i="14"/>
  <c r="N99" i="14"/>
  <c r="N48" i="14"/>
  <c r="N49" i="14"/>
  <c r="N50" i="14"/>
  <c r="N51" i="14"/>
  <c r="N52" i="14"/>
  <c r="N53" i="14"/>
  <c r="N54" i="14"/>
  <c r="N47" i="14"/>
  <c r="N61" i="14"/>
  <c r="N62" i="14"/>
  <c r="N63" i="14"/>
  <c r="N64" i="14"/>
  <c r="N65" i="14"/>
  <c r="N66" i="14"/>
  <c r="N67" i="14"/>
  <c r="N60" i="14"/>
  <c r="G631" i="1" l="1"/>
  <c r="G641" i="1" s="1"/>
  <c r="G632" i="1"/>
  <c r="G642" i="1" s="1"/>
  <c r="G633" i="1"/>
  <c r="G643" i="1" s="1"/>
  <c r="G634" i="1"/>
  <c r="G644" i="1" s="1"/>
  <c r="G635" i="1"/>
  <c r="G645" i="1" s="1"/>
  <c r="E641" i="1"/>
  <c r="E651" i="1" s="1"/>
  <c r="E645" i="1"/>
  <c r="E655" i="1" s="1"/>
  <c r="E640" i="1"/>
  <c r="E650" i="1" s="1"/>
  <c r="H635" i="1" l="1"/>
  <c r="H645" i="1" s="1"/>
  <c r="H634" i="1"/>
  <c r="H644" i="1" s="1"/>
  <c r="H633" i="1"/>
  <c r="H643" i="1" s="1"/>
  <c r="H632" i="1"/>
  <c r="H642" i="1" s="1"/>
  <c r="H631" i="1"/>
  <c r="H641" i="1" s="1"/>
  <c r="H630" i="1"/>
  <c r="H640" i="1" s="1"/>
  <c r="G630" i="1"/>
  <c r="G640" i="1" s="1"/>
  <c r="E631" i="1"/>
  <c r="E635" i="1"/>
  <c r="E630" i="1"/>
  <c r="K579" i="1"/>
  <c r="K578" i="1"/>
  <c r="K577" i="1"/>
  <c r="H576" i="1"/>
  <c r="H577" i="1"/>
  <c r="H578" i="1"/>
  <c r="H579" i="1"/>
  <c r="H580" i="1"/>
  <c r="H575" i="1"/>
  <c r="E576" i="1"/>
  <c r="E577" i="1"/>
  <c r="E578" i="1"/>
  <c r="E579" i="1"/>
  <c r="E580" i="1"/>
  <c r="E575" i="1"/>
  <c r="M580" i="1"/>
  <c r="L575" i="1"/>
  <c r="M575" i="1" s="1"/>
  <c r="M576" i="1"/>
  <c r="E521" i="1"/>
  <c r="F521" i="1"/>
  <c r="I521" i="1"/>
  <c r="M521" i="1"/>
  <c r="E522" i="1"/>
  <c r="F522" i="1"/>
  <c r="I522" i="1"/>
  <c r="M522" i="1"/>
  <c r="E523" i="1"/>
  <c r="F523" i="1"/>
  <c r="K523" i="1"/>
  <c r="L523" i="1"/>
  <c r="E524" i="1"/>
  <c r="F524" i="1"/>
  <c r="K524" i="1"/>
  <c r="L524" i="1"/>
  <c r="E525" i="1"/>
  <c r="F525" i="1"/>
  <c r="K525" i="1"/>
  <c r="L525" i="1"/>
  <c r="K581" i="1" l="1"/>
  <c r="H581" i="1"/>
  <c r="E581" i="1"/>
  <c r="F544" i="1"/>
  <c r="E566" i="1" s="1"/>
  <c r="F543" i="1"/>
  <c r="E565" i="1" s="1"/>
  <c r="G524" i="1"/>
  <c r="G521" i="1"/>
  <c r="G522" i="1"/>
  <c r="M525" i="1"/>
  <c r="M523" i="1"/>
  <c r="M524" i="1"/>
  <c r="G523" i="1"/>
  <c r="G525" i="1"/>
  <c r="B450" i="1"/>
  <c r="B451" i="1"/>
  <c r="B446" i="1"/>
  <c r="B447" i="1"/>
  <c r="B448" i="1"/>
  <c r="B449" i="1"/>
  <c r="B445" i="1"/>
  <c r="N82" i="14" l="1"/>
  <c r="N95" i="14"/>
  <c r="F82" i="14"/>
  <c r="F95" i="14"/>
  <c r="D16" i="9" l="1"/>
  <c r="D15" i="9"/>
  <c r="C16" i="9"/>
  <c r="C15" i="9"/>
  <c r="B16" i="9"/>
  <c r="K170" i="3"/>
  <c r="K171" i="3"/>
  <c r="K172" i="3"/>
  <c r="K173" i="3"/>
  <c r="K174" i="3"/>
  <c r="K175" i="3"/>
  <c r="K176" i="3"/>
  <c r="K177" i="3"/>
  <c r="K178" i="3"/>
  <c r="K179" i="3"/>
  <c r="K180" i="3"/>
  <c r="K169" i="3"/>
  <c r="K184" i="3"/>
  <c r="K185" i="3"/>
  <c r="K186" i="3"/>
  <c r="K187" i="3"/>
  <c r="K188" i="3"/>
  <c r="K189" i="3"/>
  <c r="K190" i="3"/>
  <c r="K191" i="3"/>
  <c r="K192" i="3"/>
  <c r="K193" i="3"/>
  <c r="K194" i="3"/>
  <c r="K183" i="3"/>
  <c r="N16" i="1"/>
  <c r="N17" i="1"/>
  <c r="N19" i="1"/>
  <c r="N15" i="1"/>
  <c r="M18" i="1"/>
  <c r="O18" i="1"/>
  <c r="N18" i="1" s="1"/>
  <c r="I19" i="1"/>
  <c r="I18" i="1"/>
  <c r="K19" i="1"/>
  <c r="L19" i="1"/>
  <c r="M62" i="7" l="1"/>
  <c r="E93" i="1" l="1"/>
  <c r="E92" i="1"/>
  <c r="B93" i="1"/>
  <c r="B94" i="1"/>
  <c r="B92" i="1"/>
  <c r="D20" i="12" l="1"/>
  <c r="D33" i="12" s="1"/>
  <c r="D21" i="12"/>
  <c r="D34" i="12" s="1"/>
  <c r="D22" i="12"/>
  <c r="D35" i="12" s="1"/>
  <c r="D23" i="12"/>
  <c r="D36" i="12" s="1"/>
  <c r="D24" i="12"/>
  <c r="D37" i="12" s="1"/>
  <c r="D25" i="12"/>
  <c r="D38" i="12" s="1"/>
  <c r="D26" i="12"/>
  <c r="D39" i="12" s="1"/>
  <c r="D27" i="12"/>
  <c r="D40" i="12" s="1"/>
  <c r="D19" i="12"/>
  <c r="D32" i="12" s="1"/>
  <c r="E10" i="14" l="1"/>
  <c r="M614" i="1"/>
  <c r="M610" i="1"/>
  <c r="M609" i="1"/>
  <c r="M558" i="1"/>
  <c r="M554" i="1"/>
  <c r="M553" i="1"/>
  <c r="M526" i="1"/>
  <c r="M494" i="1"/>
  <c r="M490" i="1"/>
  <c r="M489" i="1"/>
  <c r="M468" i="1"/>
  <c r="M467" i="1"/>
  <c r="I437" i="1"/>
  <c r="I436" i="1"/>
  <c r="I435" i="1"/>
  <c r="M433" i="1"/>
  <c r="M434" i="1"/>
  <c r="M438" i="1"/>
  <c r="E439" i="1"/>
  <c r="H439" i="1"/>
  <c r="K439" i="1"/>
  <c r="O385" i="1"/>
  <c r="P385" i="1"/>
  <c r="I208" i="1"/>
  <c r="I213" i="1"/>
  <c r="E153" i="1"/>
  <c r="E151" i="1"/>
  <c r="E152" i="1"/>
  <c r="E150" i="1"/>
  <c r="J437" i="1" l="1"/>
  <c r="J436" i="1"/>
  <c r="H469" i="1"/>
  <c r="H471" i="1"/>
  <c r="J435" i="1"/>
  <c r="H470" i="1"/>
  <c r="E147" i="1" l="1"/>
  <c r="E146" i="1"/>
  <c r="E145" i="1"/>
  <c r="H7" i="16" l="1"/>
  <c r="M73" i="7" s="1"/>
  <c r="K94" i="1" s="1"/>
  <c r="G7" i="16"/>
  <c r="L73" i="7" s="1"/>
  <c r="J94" i="1" s="1"/>
  <c r="F7" i="16"/>
  <c r="E7" i="16"/>
  <c r="J73" i="7" s="1"/>
  <c r="H94" i="1" s="1"/>
  <c r="D7" i="16"/>
  <c r="I73" i="7" s="1"/>
  <c r="G94" i="1" s="1"/>
  <c r="C7" i="16"/>
  <c r="H73" i="7" s="1"/>
  <c r="F94" i="1" s="1"/>
  <c r="E4" i="16"/>
  <c r="D4" i="16"/>
  <c r="C4" i="16"/>
  <c r="G4" i="16"/>
  <c r="B12" i="7"/>
  <c r="G12" i="7"/>
  <c r="I66" i="1" l="1"/>
  <c r="M33" i="2"/>
  <c r="F66" i="1"/>
  <c r="M19" i="2"/>
  <c r="B7" i="16"/>
  <c r="G73" i="7" s="1"/>
  <c r="K73" i="7"/>
  <c r="I94" i="1" s="1"/>
  <c r="E66" i="1"/>
  <c r="M15" i="2"/>
  <c r="K66" i="1"/>
  <c r="M38" i="2"/>
  <c r="G66" i="1"/>
  <c r="M23" i="2"/>
  <c r="F17" i="8"/>
  <c r="G24" i="7" l="1"/>
  <c r="E94" i="1"/>
  <c r="N73" i="7"/>
  <c r="M46" i="2" s="1"/>
  <c r="H66" i="1"/>
  <c r="M28" i="2"/>
  <c r="C24" i="7"/>
  <c r="M10" i="2"/>
  <c r="K3" i="3"/>
  <c r="L3" i="3" s="1"/>
  <c r="M3" i="3" s="1"/>
  <c r="N3" i="3" s="1"/>
  <c r="K4" i="3"/>
  <c r="L4" i="3" s="1"/>
  <c r="M4" i="3" s="1"/>
  <c r="N4" i="3" s="1"/>
  <c r="K5" i="3"/>
  <c r="L5" i="3" s="1"/>
  <c r="M5" i="3" s="1"/>
  <c r="N5" i="3" s="1"/>
  <c r="K6" i="3"/>
  <c r="L6" i="3"/>
  <c r="M6" i="3" s="1"/>
  <c r="N6" i="3" s="1"/>
  <c r="K7" i="3"/>
  <c r="L7" i="3"/>
  <c r="M7" i="3" s="1"/>
  <c r="N7" i="3" s="1"/>
  <c r="K8" i="3"/>
  <c r="L8" i="3" s="1"/>
  <c r="M8" i="3" s="1"/>
  <c r="N8" i="3" s="1"/>
  <c r="K9" i="3"/>
  <c r="L9" i="3"/>
  <c r="M9" i="3"/>
  <c r="N9" i="3"/>
  <c r="K10" i="3"/>
  <c r="L10" i="3"/>
  <c r="M10" i="3"/>
  <c r="N10" i="3" s="1"/>
  <c r="K11" i="3"/>
  <c r="L11" i="3"/>
  <c r="M11" i="3" s="1"/>
  <c r="N11" i="3" s="1"/>
  <c r="K12" i="3"/>
  <c r="L12" i="3" s="1"/>
  <c r="M12" i="3" s="1"/>
  <c r="N12" i="3" s="1"/>
  <c r="K13" i="3"/>
  <c r="L13" i="3" s="1"/>
  <c r="M13" i="3" s="1"/>
  <c r="N13" i="3" s="1"/>
  <c r="K14" i="3"/>
  <c r="L14" i="3"/>
  <c r="M14" i="3"/>
  <c r="N14" i="3" s="1"/>
  <c r="K15" i="3"/>
  <c r="L15" i="3"/>
  <c r="M15" i="3" s="1"/>
  <c r="N15" i="3" s="1"/>
  <c r="K16" i="3"/>
  <c r="L16" i="3" s="1"/>
  <c r="M16" i="3" s="1"/>
  <c r="N16" i="3" s="1"/>
  <c r="K17" i="3"/>
  <c r="L17" i="3"/>
  <c r="M17" i="3"/>
  <c r="N17" i="3"/>
  <c r="K18" i="3"/>
  <c r="L18" i="3"/>
  <c r="M18" i="3"/>
  <c r="N18" i="3" s="1"/>
  <c r="K19" i="3"/>
  <c r="L19" i="3"/>
  <c r="M19" i="3" s="1"/>
  <c r="N19" i="3" s="1"/>
  <c r="K20" i="3"/>
  <c r="L20" i="3" s="1"/>
  <c r="M20" i="3" s="1"/>
  <c r="N20" i="3" s="1"/>
  <c r="K21" i="3"/>
  <c r="L21" i="3" s="1"/>
  <c r="M21" i="3" s="1"/>
  <c r="N21" i="3" s="1"/>
  <c r="K22" i="3"/>
  <c r="L22" i="3"/>
  <c r="M22" i="3"/>
  <c r="N22" i="3" s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5" i="4"/>
  <c r="B4" i="4"/>
  <c r="B3" i="4"/>
  <c r="K23" i="3"/>
  <c r="L23" i="3" s="1"/>
  <c r="M23" i="3" s="1"/>
  <c r="N23" i="3" s="1"/>
  <c r="K24" i="3"/>
  <c r="L24" i="3"/>
  <c r="M24" i="3" s="1"/>
  <c r="N24" i="3" s="1"/>
  <c r="K25" i="3"/>
  <c r="L25" i="3" s="1"/>
  <c r="M25" i="3" s="1"/>
  <c r="N25" i="3" s="1"/>
  <c r="K26" i="3"/>
  <c r="L26" i="3"/>
  <c r="M26" i="3" s="1"/>
  <c r="N26" i="3" s="1"/>
  <c r="K27" i="3"/>
  <c r="L27" i="3" s="1"/>
  <c r="M27" i="3" s="1"/>
  <c r="N27" i="3" s="1"/>
  <c r="K28" i="3"/>
  <c r="L28" i="3"/>
  <c r="M28" i="3" s="1"/>
  <c r="N28" i="3" s="1"/>
  <c r="K29" i="3"/>
  <c r="L29" i="3" s="1"/>
  <c r="M29" i="3" s="1"/>
  <c r="N29" i="3" s="1"/>
  <c r="K30" i="3"/>
  <c r="L30" i="3" s="1"/>
  <c r="M30" i="3" s="1"/>
  <c r="N30" i="3" s="1"/>
  <c r="K31" i="3"/>
  <c r="L31" i="3" s="1"/>
  <c r="M31" i="3" s="1"/>
  <c r="N31" i="3" s="1"/>
  <c r="K32" i="3"/>
  <c r="L32" i="3" s="1"/>
  <c r="M32" i="3" s="1"/>
  <c r="N32" i="3" s="1"/>
  <c r="K33" i="3"/>
  <c r="L33" i="3" s="1"/>
  <c r="M33" i="3" s="1"/>
  <c r="N33" i="3" s="1"/>
  <c r="K34" i="3"/>
  <c r="L34" i="3" s="1"/>
  <c r="M34" i="3" s="1"/>
  <c r="N34" i="3" s="1"/>
  <c r="K35" i="3"/>
  <c r="L35" i="3" s="1"/>
  <c r="M35" i="3" s="1"/>
  <c r="N35" i="3" s="1"/>
  <c r="K36" i="3"/>
  <c r="L36" i="3"/>
  <c r="M36" i="3" s="1"/>
  <c r="N36" i="3" s="1"/>
  <c r="K37" i="3"/>
  <c r="L37" i="3" s="1"/>
  <c r="M37" i="3" s="1"/>
  <c r="N37" i="3" s="1"/>
  <c r="K38" i="3"/>
  <c r="L38" i="3" s="1"/>
  <c r="M38" i="3" s="1"/>
  <c r="N38" i="3" s="1"/>
  <c r="K39" i="3"/>
  <c r="L39" i="3" s="1"/>
  <c r="M39" i="3" s="1"/>
  <c r="N39" i="3" s="1"/>
  <c r="K40" i="3"/>
  <c r="L40" i="3"/>
  <c r="M40" i="3" s="1"/>
  <c r="N40" i="3" s="1"/>
  <c r="K42" i="3"/>
  <c r="L42" i="3"/>
  <c r="M42" i="3" s="1"/>
  <c r="N42" i="3" s="1"/>
  <c r="K43" i="3"/>
  <c r="L43" i="3" s="1"/>
  <c r="M43" i="3" s="1"/>
  <c r="N43" i="3" s="1"/>
  <c r="K44" i="3"/>
  <c r="L44" i="3" s="1"/>
  <c r="M44" i="3" s="1"/>
  <c r="N44" i="3" s="1"/>
  <c r="K45" i="3"/>
  <c r="L45" i="3" s="1"/>
  <c r="M45" i="3" s="1"/>
  <c r="N45" i="3" s="1"/>
  <c r="K46" i="3"/>
  <c r="L46" i="3"/>
  <c r="M46" i="3" s="1"/>
  <c r="N46" i="3" s="1"/>
  <c r="K47" i="3"/>
  <c r="L47" i="3" s="1"/>
  <c r="M47" i="3" s="1"/>
  <c r="N47" i="3" s="1"/>
  <c r="K48" i="3"/>
  <c r="L48" i="3"/>
  <c r="M48" i="3" s="1"/>
  <c r="N48" i="3" s="1"/>
  <c r="K49" i="3"/>
  <c r="L49" i="3" s="1"/>
  <c r="M49" i="3" s="1"/>
  <c r="N49" i="3" s="1"/>
  <c r="K50" i="3"/>
  <c r="L50" i="3"/>
  <c r="M50" i="3" s="1"/>
  <c r="N50" i="3" s="1"/>
  <c r="K51" i="3"/>
  <c r="L51" i="3" s="1"/>
  <c r="M51" i="3" s="1"/>
  <c r="N51" i="3" s="1"/>
  <c r="K52" i="3"/>
  <c r="L52" i="3" s="1"/>
  <c r="M52" i="3" s="1"/>
  <c r="N52" i="3" s="1"/>
  <c r="K53" i="3"/>
  <c r="L53" i="3" s="1"/>
  <c r="M53" i="3" s="1"/>
  <c r="N53" i="3" s="1"/>
  <c r="K54" i="3"/>
  <c r="L54" i="3" s="1"/>
  <c r="M54" i="3" s="1"/>
  <c r="N54" i="3" s="1"/>
  <c r="K55" i="3"/>
  <c r="L55" i="3" s="1"/>
  <c r="M55" i="3" s="1"/>
  <c r="N55" i="3" s="1"/>
  <c r="K56" i="3"/>
  <c r="L56" i="3" s="1"/>
  <c r="M56" i="3" s="1"/>
  <c r="N56" i="3" s="1"/>
  <c r="K57" i="3"/>
  <c r="L57" i="3" s="1"/>
  <c r="M57" i="3" s="1"/>
  <c r="N57" i="3" s="1"/>
  <c r="K58" i="3"/>
  <c r="L58" i="3"/>
  <c r="M58" i="3" s="1"/>
  <c r="N58" i="3" s="1"/>
  <c r="K59" i="3"/>
  <c r="L59" i="3" s="1"/>
  <c r="M59" i="3" s="1"/>
  <c r="N59" i="3" s="1"/>
  <c r="K60" i="3"/>
  <c r="L60" i="3" s="1"/>
  <c r="M60" i="3" s="1"/>
  <c r="N60" i="3" s="1"/>
  <c r="K61" i="3"/>
  <c r="L61" i="3" s="1"/>
  <c r="M61" i="3" s="1"/>
  <c r="N61" i="3" s="1"/>
  <c r="K62" i="3"/>
  <c r="L62" i="3" s="1"/>
  <c r="M62" i="3" s="1"/>
  <c r="N62" i="3" s="1"/>
  <c r="K63" i="3"/>
  <c r="L63" i="3" s="1"/>
  <c r="M63" i="3" s="1"/>
  <c r="N63" i="3" s="1"/>
  <c r="K64" i="3"/>
  <c r="L64" i="3" s="1"/>
  <c r="M64" i="3" s="1"/>
  <c r="N64" i="3" s="1"/>
  <c r="K65" i="3"/>
  <c r="L65" i="3" s="1"/>
  <c r="M65" i="3" s="1"/>
  <c r="N65" i="3" s="1"/>
  <c r="K66" i="3"/>
  <c r="L66" i="3" s="1"/>
  <c r="M66" i="3" s="1"/>
  <c r="N66" i="3" s="1"/>
  <c r="K67" i="3"/>
  <c r="L67" i="3" s="1"/>
  <c r="M67" i="3" s="1"/>
  <c r="N67" i="3" s="1"/>
  <c r="K68" i="3"/>
  <c r="L68" i="3"/>
  <c r="M68" i="3" s="1"/>
  <c r="N68" i="3" s="1"/>
  <c r="K69" i="3"/>
  <c r="L69" i="3" s="1"/>
  <c r="M69" i="3" s="1"/>
  <c r="N69" i="3" s="1"/>
  <c r="K70" i="3"/>
  <c r="L70" i="3" s="1"/>
  <c r="M70" i="3" s="1"/>
  <c r="N70" i="3" s="1"/>
  <c r="K71" i="3"/>
  <c r="L71" i="3" s="1"/>
  <c r="M71" i="3"/>
  <c r="N71" i="3" s="1"/>
  <c r="K72" i="3"/>
  <c r="L72" i="3"/>
  <c r="M72" i="3" s="1"/>
  <c r="N72" i="3" s="1"/>
  <c r="K73" i="3"/>
  <c r="L73" i="3" s="1"/>
  <c r="M73" i="3" s="1"/>
  <c r="N73" i="3" s="1"/>
  <c r="K74" i="3"/>
  <c r="L74" i="3"/>
  <c r="M74" i="3" s="1"/>
  <c r="N74" i="3" s="1"/>
  <c r="K75" i="3"/>
  <c r="L75" i="3" s="1"/>
  <c r="M75" i="3" s="1"/>
  <c r="N75" i="3" s="1"/>
  <c r="K76" i="3"/>
  <c r="L76" i="3"/>
  <c r="M76" i="3" s="1"/>
  <c r="N76" i="3" s="1"/>
  <c r="K77" i="3"/>
  <c r="L77" i="3" s="1"/>
  <c r="M77" i="3"/>
  <c r="N77" i="3" s="1"/>
  <c r="K78" i="3"/>
  <c r="L78" i="3" s="1"/>
  <c r="M78" i="3" s="1"/>
  <c r="N78" i="3" s="1"/>
  <c r="K79" i="3"/>
  <c r="L79" i="3" s="1"/>
  <c r="M79" i="3" s="1"/>
  <c r="N79" i="3" s="1"/>
  <c r="K80" i="3"/>
  <c r="L80" i="3"/>
  <c r="M80" i="3" s="1"/>
  <c r="N80" i="3" s="1"/>
  <c r="K81" i="3"/>
  <c r="L81" i="3" s="1"/>
  <c r="M81" i="3" s="1"/>
  <c r="N81" i="3" s="1"/>
  <c r="K82" i="3"/>
  <c r="L82" i="3"/>
  <c r="M82" i="3" s="1"/>
  <c r="N82" i="3" s="1"/>
  <c r="K83" i="3"/>
  <c r="L83" i="3" s="1"/>
  <c r="M83" i="3"/>
  <c r="N83" i="3" s="1"/>
  <c r="K84" i="3"/>
  <c r="L84" i="3"/>
  <c r="M84" i="3" s="1"/>
  <c r="N84" i="3" s="1"/>
  <c r="K85" i="3"/>
  <c r="L85" i="3" s="1"/>
  <c r="M85" i="3"/>
  <c r="N85" i="3" s="1"/>
  <c r="K86" i="3"/>
  <c r="L86" i="3" s="1"/>
  <c r="M86" i="3" s="1"/>
  <c r="N86" i="3" s="1"/>
  <c r="K87" i="3"/>
  <c r="L87" i="3" s="1"/>
  <c r="M87" i="3" s="1"/>
  <c r="N87" i="3" s="1"/>
  <c r="K88" i="3"/>
  <c r="L88" i="3" s="1"/>
  <c r="M88" i="3" s="1"/>
  <c r="N88" i="3" s="1"/>
  <c r="K89" i="3"/>
  <c r="L89" i="3" s="1"/>
  <c r="M89" i="3" s="1"/>
  <c r="N89" i="3" s="1"/>
  <c r="K90" i="3"/>
  <c r="L90" i="3"/>
  <c r="M90" i="3" s="1"/>
  <c r="N90" i="3" s="1"/>
  <c r="K91" i="3"/>
  <c r="L91" i="3" s="1"/>
  <c r="M91" i="3" s="1"/>
  <c r="N91" i="3" s="1"/>
  <c r="K92" i="3"/>
  <c r="L92" i="3" s="1"/>
  <c r="M92" i="3" s="1"/>
  <c r="N92" i="3" s="1"/>
  <c r="K93" i="3"/>
  <c r="L93" i="3" s="1"/>
  <c r="M93" i="3" s="1"/>
  <c r="N93" i="3" s="1"/>
  <c r="K94" i="3"/>
  <c r="L94" i="3" s="1"/>
  <c r="M94" i="3" s="1"/>
  <c r="N94" i="3" s="1"/>
  <c r="K95" i="3"/>
  <c r="L95" i="3" s="1"/>
  <c r="M95" i="3" s="1"/>
  <c r="N95" i="3" s="1"/>
  <c r="K96" i="3"/>
  <c r="L96" i="3" s="1"/>
  <c r="M96" i="3" s="1"/>
  <c r="N96" i="3" s="1"/>
  <c r="K97" i="3"/>
  <c r="L97" i="3" s="1"/>
  <c r="M97" i="3" s="1"/>
  <c r="N97" i="3" s="1"/>
  <c r="K98" i="3"/>
  <c r="L98" i="3"/>
  <c r="M98" i="3" s="1"/>
  <c r="N98" i="3" s="1"/>
  <c r="K99" i="3"/>
  <c r="L99" i="3" s="1"/>
  <c r="M99" i="3"/>
  <c r="N99" i="3" s="1"/>
  <c r="K100" i="3"/>
  <c r="L100" i="3"/>
  <c r="M100" i="3" s="1"/>
  <c r="N100" i="3" s="1"/>
  <c r="K101" i="3"/>
  <c r="L101" i="3" s="1"/>
  <c r="M101" i="3"/>
  <c r="N101" i="3" s="1"/>
  <c r="K102" i="3"/>
  <c r="L102" i="3" s="1"/>
  <c r="M102" i="3" s="1"/>
  <c r="N102" i="3" s="1"/>
  <c r="K103" i="3"/>
  <c r="L103" i="3" s="1"/>
  <c r="M103" i="3" s="1"/>
  <c r="N103" i="3" s="1"/>
  <c r="K104" i="3"/>
  <c r="L104" i="3" s="1"/>
  <c r="M104" i="3" s="1"/>
  <c r="N104" i="3" s="1"/>
  <c r="K105" i="3"/>
  <c r="L105" i="3" s="1"/>
  <c r="M105" i="3" s="1"/>
  <c r="N105" i="3" s="1"/>
  <c r="K106" i="3"/>
  <c r="L106" i="3" s="1"/>
  <c r="M106" i="3" s="1"/>
  <c r="N106" i="3" s="1"/>
  <c r="K107" i="3"/>
  <c r="L107" i="3" s="1"/>
  <c r="M107" i="3" s="1"/>
  <c r="N107" i="3" s="1"/>
  <c r="K108" i="3"/>
  <c r="L108" i="3" s="1"/>
  <c r="M108" i="3" s="1"/>
  <c r="N108" i="3" s="1"/>
  <c r="K109" i="3"/>
  <c r="L109" i="3" s="1"/>
  <c r="M109" i="3"/>
  <c r="N109" i="3" s="1"/>
  <c r="K110" i="3"/>
  <c r="L110" i="3" s="1"/>
  <c r="M110" i="3" s="1"/>
  <c r="N110" i="3" s="1"/>
  <c r="K111" i="3"/>
  <c r="L111" i="3" s="1"/>
  <c r="M111" i="3" s="1"/>
  <c r="N111" i="3" s="1"/>
  <c r="K112" i="3"/>
  <c r="L112" i="3"/>
  <c r="M112" i="3" s="1"/>
  <c r="N112" i="3" s="1"/>
  <c r="K113" i="3"/>
  <c r="L113" i="3" s="1"/>
  <c r="M113" i="3" s="1"/>
  <c r="N113" i="3" s="1"/>
  <c r="K114" i="3"/>
  <c r="L114" i="3"/>
  <c r="M114" i="3" s="1"/>
  <c r="N114" i="3" s="1"/>
  <c r="K115" i="3"/>
  <c r="L115" i="3" s="1"/>
  <c r="M115" i="3"/>
  <c r="N115" i="3" s="1"/>
  <c r="K116" i="3"/>
  <c r="L116" i="3"/>
  <c r="M116" i="3" s="1"/>
  <c r="N116" i="3" s="1"/>
  <c r="K117" i="3"/>
  <c r="L117" i="3" s="1"/>
  <c r="M117" i="3"/>
  <c r="N117" i="3" s="1"/>
  <c r="K118" i="3"/>
  <c r="L118" i="3" s="1"/>
  <c r="M118" i="3" s="1"/>
  <c r="N118" i="3" s="1"/>
  <c r="K119" i="3"/>
  <c r="L119" i="3" s="1"/>
  <c r="M119" i="3"/>
  <c r="N119" i="3" s="1"/>
  <c r="K120" i="3"/>
  <c r="L120" i="3" s="1"/>
  <c r="M120" i="3" s="1"/>
  <c r="N120" i="3" s="1"/>
  <c r="K121" i="3"/>
  <c r="L121" i="3" s="1"/>
  <c r="M121" i="3" s="1"/>
  <c r="N121" i="3" s="1"/>
  <c r="K122" i="3"/>
  <c r="L122" i="3" s="1"/>
  <c r="M122" i="3" s="1"/>
  <c r="N122" i="3" s="1"/>
  <c r="F169" i="1" l="1"/>
  <c r="M5" i="2"/>
  <c r="H169" i="1"/>
  <c r="G21" i="7"/>
  <c r="C7" i="1" l="1"/>
  <c r="K18" i="1" l="1"/>
  <c r="L18" i="1"/>
  <c r="C19" i="1" l="1"/>
  <c r="C18" i="1"/>
  <c r="C15" i="1"/>
  <c r="F501" i="1" l="1"/>
  <c r="F502" i="1"/>
  <c r="F503" i="1"/>
  <c r="F504" i="1"/>
  <c r="F505" i="1"/>
  <c r="F500" i="1"/>
  <c r="F483" i="1"/>
  <c r="E505" i="1" s="1"/>
  <c r="F482" i="1"/>
  <c r="E504" i="1" s="1"/>
  <c r="F481" i="1"/>
  <c r="E503" i="1" s="1"/>
  <c r="F480" i="1"/>
  <c r="E502" i="1" s="1"/>
  <c r="F479" i="1"/>
  <c r="E501" i="1" s="1"/>
  <c r="F478" i="1"/>
  <c r="E500" i="1" s="1"/>
  <c r="E479" i="1"/>
  <c r="E480" i="1"/>
  <c r="E481" i="1"/>
  <c r="E482" i="1"/>
  <c r="E483" i="1"/>
  <c r="E478" i="1"/>
  <c r="F377" i="1"/>
  <c r="F376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E343" i="1"/>
  <c r="E344" i="1"/>
  <c r="E345" i="1"/>
  <c r="E346" i="1"/>
  <c r="E347" i="1"/>
  <c r="E348" i="1"/>
  <c r="E349" i="1"/>
  <c r="E350" i="1"/>
  <c r="E351" i="1"/>
  <c r="E352" i="1"/>
  <c r="H349" i="1" l="1"/>
  <c r="H350" i="1"/>
  <c r="H348" i="1"/>
  <c r="H352" i="1"/>
  <c r="H351" i="1"/>
  <c r="F214" i="1"/>
  <c r="G214" i="1"/>
  <c r="K214" i="1"/>
  <c r="E214" i="1"/>
  <c r="K86" i="1" l="1"/>
  <c r="G86" i="1"/>
  <c r="F86" i="1"/>
  <c r="E86" i="1"/>
  <c r="O20" i="1"/>
  <c r="E113" i="12" l="1"/>
  <c r="E114" i="12"/>
  <c r="E116" i="12"/>
  <c r="E118" i="12"/>
  <c r="O100" i="12" l="1"/>
  <c r="O101" i="12"/>
  <c r="O105" i="12"/>
  <c r="G99" i="12"/>
  <c r="G102" i="12"/>
  <c r="G103" i="12"/>
  <c r="G77" i="12" l="1"/>
  <c r="M61" i="12"/>
  <c r="O61" i="12" s="1"/>
  <c r="M62" i="12"/>
  <c r="O62" i="12" s="1"/>
  <c r="M65" i="12"/>
  <c r="O65" i="12" s="1"/>
  <c r="M66" i="12"/>
  <c r="O66" i="12" s="1"/>
  <c r="G63" i="12"/>
  <c r="O48" i="12" l="1"/>
  <c r="O49" i="12"/>
  <c r="O52" i="12"/>
  <c r="O53" i="12"/>
  <c r="O35" i="12"/>
  <c r="O36" i="12"/>
  <c r="O39" i="12"/>
  <c r="O40" i="12"/>
  <c r="E115" i="14" l="1"/>
  <c r="E116" i="14"/>
  <c r="E118" i="14"/>
  <c r="E120" i="14"/>
  <c r="G101" i="14"/>
  <c r="G104" i="14"/>
  <c r="G105" i="14"/>
  <c r="L107" i="14"/>
  <c r="J107" i="14"/>
  <c r="L106" i="14"/>
  <c r="J106" i="14"/>
  <c r="J105" i="14"/>
  <c r="L103" i="14"/>
  <c r="J103" i="14"/>
  <c r="L102" i="14"/>
  <c r="J102" i="14"/>
  <c r="J101" i="14"/>
  <c r="L100" i="14"/>
  <c r="J100" i="14"/>
  <c r="L99" i="14"/>
  <c r="J99" i="14"/>
  <c r="L94" i="14"/>
  <c r="J94" i="14"/>
  <c r="L93" i="14"/>
  <c r="J93" i="14"/>
  <c r="L92" i="14"/>
  <c r="J92" i="14"/>
  <c r="L90" i="14"/>
  <c r="J90" i="14"/>
  <c r="L89" i="14"/>
  <c r="J89" i="14"/>
  <c r="L88" i="14"/>
  <c r="J88" i="14"/>
  <c r="L87" i="14"/>
  <c r="J87" i="14"/>
  <c r="L86" i="14"/>
  <c r="J86" i="14"/>
  <c r="E62" i="14"/>
  <c r="E65" i="14"/>
  <c r="G62" i="14"/>
  <c r="G65" i="14"/>
  <c r="M63" i="14"/>
  <c r="M64" i="14"/>
  <c r="M68" i="14"/>
  <c r="M50" i="14"/>
  <c r="O63" i="14" s="1"/>
  <c r="M51" i="14"/>
  <c r="M55" i="14"/>
  <c r="O55" i="14"/>
  <c r="L68" i="14"/>
  <c r="J68" i="14"/>
  <c r="L67" i="14"/>
  <c r="J67" i="14"/>
  <c r="L66" i="14"/>
  <c r="J66" i="14"/>
  <c r="L65" i="14"/>
  <c r="O64" i="14"/>
  <c r="L64" i="14"/>
  <c r="J64" i="14"/>
  <c r="L63" i="14"/>
  <c r="J63" i="14"/>
  <c r="L62" i="14"/>
  <c r="J62" i="14"/>
  <c r="L61" i="14"/>
  <c r="J61" i="14"/>
  <c r="L60" i="14"/>
  <c r="J60" i="14"/>
  <c r="G49" i="14"/>
  <c r="G52" i="14"/>
  <c r="O51" i="14"/>
  <c r="J41" i="14"/>
  <c r="J40" i="14"/>
  <c r="J39" i="14"/>
  <c r="J37" i="14"/>
  <c r="J36" i="14"/>
  <c r="J35" i="14"/>
  <c r="J34" i="14"/>
  <c r="J33" i="14"/>
  <c r="D41" i="14"/>
  <c r="E41" i="14" s="1"/>
  <c r="G41" i="14" s="1"/>
  <c r="B41" i="14"/>
  <c r="B40" i="14"/>
  <c r="B39" i="14"/>
  <c r="B37" i="14"/>
  <c r="B36" i="14"/>
  <c r="C42" i="14"/>
  <c r="B35" i="14"/>
  <c r="B34" i="14"/>
  <c r="B33" i="14"/>
  <c r="O50" i="14" l="1"/>
  <c r="O68" i="14"/>
  <c r="D20" i="14" l="1"/>
  <c r="D21" i="14"/>
  <c r="D22" i="14"/>
  <c r="D23" i="14"/>
  <c r="D24" i="14"/>
  <c r="D25" i="14"/>
  <c r="D26" i="14"/>
  <c r="D27" i="14"/>
  <c r="D19" i="14"/>
  <c r="G17" i="8" l="1"/>
  <c r="D17" i="8"/>
  <c r="C17" i="8"/>
  <c r="B17" i="8"/>
  <c r="D106" i="14" l="1"/>
  <c r="D99" i="14"/>
  <c r="D94" i="14"/>
  <c r="D107" i="14" s="1"/>
  <c r="D93" i="14"/>
  <c r="D92" i="14"/>
  <c r="D90" i="14"/>
  <c r="D103" i="14" s="1"/>
  <c r="D89" i="14"/>
  <c r="D102" i="14" s="1"/>
  <c r="D88" i="14"/>
  <c r="D87" i="14"/>
  <c r="D100" i="14" s="1"/>
  <c r="D86" i="14"/>
  <c r="D68" i="14"/>
  <c r="D67" i="14"/>
  <c r="D66" i="14"/>
  <c r="D65" i="14"/>
  <c r="D64" i="14"/>
  <c r="D63" i="14"/>
  <c r="D62" i="14"/>
  <c r="D61" i="14"/>
  <c r="D60" i="14"/>
  <c r="N27" i="14"/>
  <c r="L27" i="14"/>
  <c r="L41" i="14" s="1"/>
  <c r="L26" i="14"/>
  <c r="L40" i="14" s="1"/>
  <c r="L25" i="14"/>
  <c r="L39" i="14" s="1"/>
  <c r="J25" i="14"/>
  <c r="B53" i="14" s="1"/>
  <c r="B66" i="14" s="1"/>
  <c r="B79" i="14" s="1"/>
  <c r="B92" i="14" s="1"/>
  <c r="B105" i="14" s="1"/>
  <c r="B118" i="14" s="1"/>
  <c r="L24" i="14"/>
  <c r="L38" i="14" s="1"/>
  <c r="L23" i="14"/>
  <c r="L37" i="14" s="1"/>
  <c r="L22" i="14"/>
  <c r="L36" i="14" s="1"/>
  <c r="J22" i="14"/>
  <c r="B50" i="14" s="1"/>
  <c r="B63" i="14" s="1"/>
  <c r="B76" i="14" s="1"/>
  <c r="B89" i="14" s="1"/>
  <c r="B102" i="14" s="1"/>
  <c r="B115" i="14" s="1"/>
  <c r="L21" i="14"/>
  <c r="L35" i="14" s="1"/>
  <c r="N20" i="14"/>
  <c r="L20" i="14"/>
  <c r="L34" i="14" s="1"/>
  <c r="N24" i="14"/>
  <c r="L19" i="14"/>
  <c r="L33" i="14" s="1"/>
  <c r="F27" i="14"/>
  <c r="C27" i="14"/>
  <c r="K27" i="14" s="1"/>
  <c r="K41" i="14" s="1"/>
  <c r="B27" i="14"/>
  <c r="J27" i="14" s="1"/>
  <c r="B55" i="14" s="1"/>
  <c r="B68" i="14" s="1"/>
  <c r="B81" i="14" s="1"/>
  <c r="B94" i="14" s="1"/>
  <c r="B107" i="14" s="1"/>
  <c r="B120" i="14" s="1"/>
  <c r="B26" i="14"/>
  <c r="J26" i="14" s="1"/>
  <c r="B54" i="14" s="1"/>
  <c r="B67" i="14" s="1"/>
  <c r="B80" i="14" s="1"/>
  <c r="B93" i="14" s="1"/>
  <c r="B106" i="14" s="1"/>
  <c r="B119" i="14" s="1"/>
  <c r="B25" i="14"/>
  <c r="C23" i="14"/>
  <c r="K23" i="14" s="1"/>
  <c r="B23" i="14"/>
  <c r="J23" i="14" s="1"/>
  <c r="B51" i="14" s="1"/>
  <c r="B64" i="14" s="1"/>
  <c r="B77" i="14" s="1"/>
  <c r="B90" i="14" s="1"/>
  <c r="B103" i="14" s="1"/>
  <c r="B116" i="14" s="1"/>
  <c r="F22" i="14"/>
  <c r="C22" i="14"/>
  <c r="K22" i="14" s="1"/>
  <c r="B22" i="14"/>
  <c r="B21" i="14"/>
  <c r="J21" i="14" s="1"/>
  <c r="B49" i="14" s="1"/>
  <c r="B62" i="14" s="1"/>
  <c r="B75" i="14" s="1"/>
  <c r="B88" i="14" s="1"/>
  <c r="B101" i="14" s="1"/>
  <c r="B114" i="14" s="1"/>
  <c r="B20" i="14"/>
  <c r="J20" i="14" s="1"/>
  <c r="B48" i="14" s="1"/>
  <c r="B61" i="14" s="1"/>
  <c r="B74" i="14" s="1"/>
  <c r="B87" i="14" s="1"/>
  <c r="B100" i="14" s="1"/>
  <c r="B113" i="14" s="1"/>
  <c r="F19" i="14"/>
  <c r="F25" i="14" s="1"/>
  <c r="B19" i="14"/>
  <c r="J19" i="14" s="1"/>
  <c r="B47" i="14" s="1"/>
  <c r="B60" i="14" s="1"/>
  <c r="B73" i="14" s="1"/>
  <c r="B86" i="14" s="1"/>
  <c r="B99" i="14" s="1"/>
  <c r="B112" i="14" s="1"/>
  <c r="E12" i="14"/>
  <c r="E7" i="14"/>
  <c r="E6" i="14"/>
  <c r="E5" i="14"/>
  <c r="M41" i="14" l="1"/>
  <c r="O41" i="14" s="1"/>
  <c r="M22" i="14"/>
  <c r="K36" i="14"/>
  <c r="M36" i="14" s="1"/>
  <c r="O36" i="14" s="1"/>
  <c r="E22" i="14"/>
  <c r="E27" i="14"/>
  <c r="M23" i="14"/>
  <c r="K37" i="14"/>
  <c r="M37" i="14" s="1"/>
  <c r="O37" i="14" s="1"/>
  <c r="M27" i="14"/>
  <c r="N23" i="14"/>
  <c r="N26" i="14"/>
  <c r="F21" i="14"/>
  <c r="F26" i="14"/>
  <c r="N22" i="14"/>
  <c r="F24" i="14"/>
  <c r="E23" i="14"/>
  <c r="N25" i="14"/>
  <c r="F23" i="14"/>
  <c r="N21" i="14"/>
  <c r="F20" i="14"/>
  <c r="E76" i="14" l="1"/>
  <c r="G76" i="14" s="1"/>
  <c r="E50" i="14"/>
  <c r="O27" i="14"/>
  <c r="M81" i="14"/>
  <c r="G23" i="14"/>
  <c r="E77" i="14"/>
  <c r="G77" i="14" s="1"/>
  <c r="E51" i="14"/>
  <c r="O23" i="14"/>
  <c r="M77" i="14"/>
  <c r="G27" i="14"/>
  <c r="E55" i="14"/>
  <c r="E81" i="14"/>
  <c r="G81" i="14" s="1"/>
  <c r="O22" i="14"/>
  <c r="M76" i="14"/>
  <c r="G22" i="14"/>
  <c r="E94" i="14"/>
  <c r="G94" i="14" s="1"/>
  <c r="M89" i="14" l="1"/>
  <c r="O76" i="14"/>
  <c r="M94" i="14"/>
  <c r="O81" i="14"/>
  <c r="E68" i="14"/>
  <c r="G68" i="14" s="1"/>
  <c r="G55" i="14"/>
  <c r="E63" i="14"/>
  <c r="G63" i="14" s="1"/>
  <c r="G50" i="14"/>
  <c r="E64" i="14"/>
  <c r="G64" i="14" s="1"/>
  <c r="G51" i="14"/>
  <c r="O77" i="14"/>
  <c r="M90" i="14"/>
  <c r="E89" i="14"/>
  <c r="G89" i="14" s="1"/>
  <c r="E90" i="14"/>
  <c r="G90" i="14" s="1"/>
  <c r="E107" i="14"/>
  <c r="G107" i="14" s="1"/>
  <c r="M103" i="14" l="1"/>
  <c r="O103" i="14" s="1"/>
  <c r="O90" i="14"/>
  <c r="M107" i="14"/>
  <c r="O107" i="14" s="1"/>
  <c r="O94" i="14"/>
  <c r="O89" i="14"/>
  <c r="M102" i="14"/>
  <c r="O102" i="14" s="1"/>
  <c r="E102" i="14"/>
  <c r="G102" i="14" s="1"/>
  <c r="E103" i="14"/>
  <c r="G103" i="14" s="1"/>
  <c r="F19" i="12" l="1"/>
  <c r="E12" i="12"/>
  <c r="E10" i="12"/>
  <c r="E7" i="12"/>
  <c r="E6" i="12"/>
  <c r="E5" i="12"/>
  <c r="C132" i="3" l="1"/>
  <c r="C134" i="3"/>
  <c r="C123" i="3"/>
  <c r="C11" i="1" l="1"/>
  <c r="E11" i="1"/>
  <c r="F11" i="1"/>
  <c r="G11" i="1"/>
  <c r="H11" i="1"/>
  <c r="I11" i="1"/>
  <c r="K11" i="1"/>
  <c r="L11" i="1"/>
  <c r="D11" i="1"/>
  <c r="C20" i="1"/>
  <c r="D20" i="1" l="1"/>
  <c r="D22" i="1" s="1"/>
  <c r="E20" i="1"/>
  <c r="E22" i="1" s="1"/>
  <c r="F20" i="1"/>
  <c r="F22" i="1" s="1"/>
  <c r="G20" i="1"/>
  <c r="G22" i="1" s="1"/>
  <c r="H20" i="1"/>
  <c r="H22" i="1" s="1"/>
  <c r="I20" i="1"/>
  <c r="I22" i="1" s="1"/>
  <c r="K20" i="1"/>
  <c r="K22" i="1" s="1"/>
  <c r="L20" i="1"/>
  <c r="L22" i="1" s="1"/>
  <c r="M20" i="1"/>
  <c r="N20" i="1"/>
  <c r="C22" i="1"/>
  <c r="E177" i="1" l="1"/>
  <c r="F177" i="1"/>
  <c r="G177" i="1"/>
  <c r="H177" i="1"/>
  <c r="I177" i="1"/>
  <c r="K177" i="1"/>
  <c r="E178" i="1"/>
  <c r="F178" i="1"/>
  <c r="G178" i="1"/>
  <c r="H178" i="1"/>
  <c r="I178" i="1"/>
  <c r="K178" i="1"/>
  <c r="E179" i="1"/>
  <c r="F179" i="1"/>
  <c r="G179" i="1"/>
  <c r="H179" i="1"/>
  <c r="I179" i="1"/>
  <c r="K179" i="1"/>
  <c r="E180" i="1"/>
  <c r="F180" i="1"/>
  <c r="G180" i="1"/>
  <c r="H180" i="1"/>
  <c r="I180" i="1"/>
  <c r="K180" i="1"/>
  <c r="E181" i="1"/>
  <c r="F181" i="1"/>
  <c r="G181" i="1"/>
  <c r="H181" i="1"/>
  <c r="I181" i="1"/>
  <c r="K181" i="1"/>
  <c r="E182" i="1"/>
  <c r="F182" i="1"/>
  <c r="G182" i="1"/>
  <c r="H182" i="1"/>
  <c r="I182" i="1"/>
  <c r="K182" i="1"/>
  <c r="E183" i="1"/>
  <c r="F183" i="1"/>
  <c r="G183" i="1"/>
  <c r="H183" i="1"/>
  <c r="I183" i="1"/>
  <c r="K183" i="1"/>
  <c r="E184" i="1"/>
  <c r="F184" i="1"/>
  <c r="G184" i="1"/>
  <c r="H184" i="1"/>
  <c r="I184" i="1"/>
  <c r="K184" i="1"/>
  <c r="E185" i="1"/>
  <c r="F185" i="1"/>
  <c r="G185" i="1"/>
  <c r="H185" i="1"/>
  <c r="I185" i="1"/>
  <c r="K185" i="1"/>
  <c r="K176" i="1"/>
  <c r="I176" i="1"/>
  <c r="H176" i="1"/>
  <c r="G176" i="1"/>
  <c r="F176" i="1"/>
  <c r="E176" i="1"/>
  <c r="O11" i="1"/>
  <c r="G202" i="1" l="1"/>
  <c r="E201" i="1"/>
  <c r="I200" i="1"/>
  <c r="I203" i="1"/>
  <c r="E202" i="1"/>
  <c r="G199" i="1"/>
  <c r="E198" i="1"/>
  <c r="I196" i="1"/>
  <c r="O22" i="1"/>
  <c r="G196" i="1"/>
  <c r="K203" i="1"/>
  <c r="H202" i="1"/>
  <c r="F201" i="1"/>
  <c r="G195" i="1"/>
  <c r="K199" i="1"/>
  <c r="H198" i="1"/>
  <c r="F197" i="1"/>
  <c r="I199" i="1"/>
  <c r="E197" i="1"/>
  <c r="G200" i="1"/>
  <c r="I202" i="1"/>
  <c r="G201" i="1"/>
  <c r="E200" i="1"/>
  <c r="I198" i="1"/>
  <c r="G197" i="1"/>
  <c r="E196" i="1"/>
  <c r="K195" i="1"/>
  <c r="G198" i="1"/>
  <c r="H195" i="1"/>
  <c r="I195" i="1"/>
  <c r="G203" i="1"/>
  <c r="K196" i="1"/>
  <c r="H203" i="1"/>
  <c r="H199" i="1"/>
  <c r="F203" i="1"/>
  <c r="K201" i="1"/>
  <c r="H200" i="1"/>
  <c r="F199" i="1"/>
  <c r="K197" i="1"/>
  <c r="H196" i="1"/>
  <c r="F195" i="1"/>
  <c r="F198" i="1"/>
  <c r="K200" i="1"/>
  <c r="L184" i="1"/>
  <c r="K202" i="1"/>
  <c r="H201" i="1"/>
  <c r="F200" i="1"/>
  <c r="K198" i="1"/>
  <c r="H197" i="1"/>
  <c r="F196" i="1"/>
  <c r="L185" i="1"/>
  <c r="L183" i="1"/>
  <c r="L181" i="1"/>
  <c r="L179" i="1"/>
  <c r="L177" i="1"/>
  <c r="L180" i="1"/>
  <c r="L182" i="1"/>
  <c r="L178" i="1"/>
  <c r="F202" i="1"/>
  <c r="E203" i="1"/>
  <c r="I201" i="1"/>
  <c r="E199" i="1"/>
  <c r="I197" i="1"/>
  <c r="E195" i="1"/>
  <c r="E85" i="1"/>
  <c r="F85" i="1"/>
  <c r="G85" i="1"/>
  <c r="H85" i="1"/>
  <c r="I85" i="1"/>
  <c r="K85" i="1"/>
  <c r="E84" i="1"/>
  <c r="F84" i="1"/>
  <c r="G84" i="1"/>
  <c r="H84" i="1"/>
  <c r="I84" i="1"/>
  <c r="K84" i="1"/>
  <c r="E76" i="1"/>
  <c r="F76" i="1"/>
  <c r="G76" i="1"/>
  <c r="H76" i="1"/>
  <c r="I76" i="1"/>
  <c r="K76" i="1"/>
  <c r="E64" i="1"/>
  <c r="F64" i="1"/>
  <c r="G64" i="1"/>
  <c r="H64" i="1"/>
  <c r="I64" i="1"/>
  <c r="K64" i="1"/>
  <c r="E63" i="1"/>
  <c r="F63" i="1"/>
  <c r="G63" i="1"/>
  <c r="H63" i="1"/>
  <c r="I63" i="1"/>
  <c r="K63" i="1"/>
  <c r="E116" i="1" l="1"/>
  <c r="E228" i="1" s="1"/>
  <c r="E115" i="1"/>
  <c r="E227" i="1" s="1"/>
  <c r="H116" i="1"/>
  <c r="H228" i="1" s="1"/>
  <c r="H115" i="1"/>
  <c r="H227" i="1" s="1"/>
  <c r="G115" i="1"/>
  <c r="G227" i="1" s="1"/>
  <c r="I116" i="1"/>
  <c r="K116" i="1"/>
  <c r="G116" i="1"/>
  <c r="K115" i="1"/>
  <c r="F116" i="1"/>
  <c r="I115" i="1"/>
  <c r="F115" i="1"/>
  <c r="L85" i="1"/>
  <c r="L63" i="1"/>
  <c r="L84" i="1"/>
  <c r="L76" i="1"/>
  <c r="L64" i="1"/>
  <c r="E136" i="1" l="1"/>
  <c r="H136" i="1"/>
  <c r="H246" i="1"/>
  <c r="G228" i="1"/>
  <c r="G246" i="1" s="1"/>
  <c r="G136" i="1"/>
  <c r="E246" i="1"/>
  <c r="I227" i="1"/>
  <c r="F136" i="1"/>
  <c r="F228" i="1"/>
  <c r="K227" i="1"/>
  <c r="K228" i="1"/>
  <c r="K136" i="1"/>
  <c r="F227" i="1"/>
  <c r="I228" i="1"/>
  <c r="I136" i="1"/>
  <c r="K38" i="2"/>
  <c r="J38" i="2"/>
  <c r="I38" i="2"/>
  <c r="K37" i="2"/>
  <c r="J37" i="2"/>
  <c r="I37" i="2"/>
  <c r="L412" i="1" s="1"/>
  <c r="K34" i="2"/>
  <c r="J34" i="2"/>
  <c r="I34" i="2"/>
  <c r="K33" i="2"/>
  <c r="N403" i="1" s="1"/>
  <c r="I525" i="1" s="1"/>
  <c r="F547" i="1" s="1"/>
  <c r="E569" i="1" s="1"/>
  <c r="J33" i="2"/>
  <c r="M403" i="1" s="1"/>
  <c r="I493" i="1" s="1"/>
  <c r="I33" i="2"/>
  <c r="L403" i="1" s="1"/>
  <c r="H493" i="1" s="1"/>
  <c r="K32" i="2"/>
  <c r="J32" i="2"/>
  <c r="I32" i="2"/>
  <c r="L29" i="2"/>
  <c r="K29" i="2"/>
  <c r="J29" i="2"/>
  <c r="I29" i="2"/>
  <c r="K28" i="2"/>
  <c r="N408" i="1" s="1"/>
  <c r="I524" i="1" s="1"/>
  <c r="F546" i="1" s="1"/>
  <c r="E568" i="1" s="1"/>
  <c r="J28" i="2"/>
  <c r="M408" i="1" s="1"/>
  <c r="I492" i="1" s="1"/>
  <c r="I28" i="2"/>
  <c r="L408" i="1" s="1"/>
  <c r="H492" i="1" s="1"/>
  <c r="K27" i="2"/>
  <c r="J27" i="2"/>
  <c r="I27" i="2"/>
  <c r="H524" i="1" l="1"/>
  <c r="J524" i="1" s="1"/>
  <c r="H525" i="1"/>
  <c r="J525" i="1" s="1"/>
  <c r="J493" i="1"/>
  <c r="H556" i="1"/>
  <c r="H557" i="1"/>
  <c r="J492" i="1"/>
  <c r="L493" i="1"/>
  <c r="M404" i="1"/>
  <c r="K557" i="1"/>
  <c r="N404" i="1"/>
  <c r="E494" i="1"/>
  <c r="E526" i="1"/>
  <c r="M412" i="1"/>
  <c r="K493" i="1"/>
  <c r="L404" i="1"/>
  <c r="F526" i="1"/>
  <c r="N412" i="1"/>
  <c r="F494" i="1"/>
  <c r="E558" i="1"/>
  <c r="L402" i="1"/>
  <c r="E493" i="1"/>
  <c r="E515" i="1" s="1"/>
  <c r="N402" i="1"/>
  <c r="E557" i="1"/>
  <c r="M29" i="2"/>
  <c r="D10" i="14" s="1"/>
  <c r="O409" i="1"/>
  <c r="K612" i="1"/>
  <c r="E633" i="1" s="1"/>
  <c r="L556" i="1"/>
  <c r="N407" i="1"/>
  <c r="E556" i="1"/>
  <c r="M402" i="1"/>
  <c r="F493" i="1"/>
  <c r="F515" i="1" s="1"/>
  <c r="K492" i="1"/>
  <c r="L409" i="1"/>
  <c r="L492" i="1"/>
  <c r="M409" i="1"/>
  <c r="K556" i="1"/>
  <c r="N409" i="1"/>
  <c r="L413" i="1"/>
  <c r="H494" i="1"/>
  <c r="I494" i="1"/>
  <c r="M413" i="1"/>
  <c r="N413" i="1"/>
  <c r="I526" i="1"/>
  <c r="E492" i="1"/>
  <c r="E514" i="1" s="1"/>
  <c r="L407" i="1"/>
  <c r="M407" i="1"/>
  <c r="F492" i="1"/>
  <c r="F514" i="1" s="1"/>
  <c r="U29" i="2"/>
  <c r="K246" i="1"/>
  <c r="I246" i="1"/>
  <c r="F246" i="1"/>
  <c r="F548" i="1" l="1"/>
  <c r="E570" i="1" s="1"/>
  <c r="E546" i="1"/>
  <c r="G546" i="1" s="1"/>
  <c r="G514" i="1"/>
  <c r="E547" i="1"/>
  <c r="G547" i="1" s="1"/>
  <c r="G515" i="1"/>
  <c r="H526" i="1"/>
  <c r="J526" i="1" s="1"/>
  <c r="F516" i="1"/>
  <c r="E516" i="1"/>
  <c r="M556" i="1"/>
  <c r="H558" i="1"/>
  <c r="J494" i="1"/>
  <c r="M492" i="1"/>
  <c r="M493" i="1"/>
  <c r="W29" i="2"/>
  <c r="P409" i="1"/>
  <c r="L612" i="1"/>
  <c r="E643" i="1" s="1"/>
  <c r="E653" i="1" s="1"/>
  <c r="M104" i="14"/>
  <c r="O104" i="14" s="1"/>
  <c r="M52" i="14"/>
  <c r="K24" i="2"/>
  <c r="J24" i="2"/>
  <c r="I24" i="2"/>
  <c r="E14" i="9"/>
  <c r="K47" i="2" s="1"/>
  <c r="E13" i="9"/>
  <c r="J47" i="2" s="1"/>
  <c r="M612" i="1" l="1"/>
  <c r="L578" i="1"/>
  <c r="M578" i="1" s="1"/>
  <c r="G516" i="1"/>
  <c r="E548" i="1"/>
  <c r="G548" i="1" s="1"/>
  <c r="J43" i="2"/>
  <c r="J52" i="2" s="1"/>
  <c r="M399" i="1"/>
  <c r="M418" i="1" s="1"/>
  <c r="L491" i="1"/>
  <c r="I43" i="2"/>
  <c r="K491" i="1"/>
  <c r="L399" i="1"/>
  <c r="L418" i="1" s="1"/>
  <c r="K43" i="2"/>
  <c r="K52" i="2" s="1"/>
  <c r="K555" i="1"/>
  <c r="N399" i="1"/>
  <c r="N418" i="1" s="1"/>
  <c r="O52" i="14"/>
  <c r="M65" i="14"/>
  <c r="O65" i="14" s="1"/>
  <c r="K23" i="2"/>
  <c r="N398" i="1" s="1"/>
  <c r="I523" i="1" s="1"/>
  <c r="F545" i="1" s="1"/>
  <c r="E567" i="1" s="1"/>
  <c r="J23" i="2"/>
  <c r="M398" i="1" s="1"/>
  <c r="I491" i="1" s="1"/>
  <c r="I23" i="2"/>
  <c r="L398" i="1" s="1"/>
  <c r="H491" i="1" s="1"/>
  <c r="K22" i="2"/>
  <c r="J22" i="2"/>
  <c r="I22" i="2"/>
  <c r="K19" i="2"/>
  <c r="J19" i="2"/>
  <c r="I19" i="2"/>
  <c r="K18" i="2"/>
  <c r="J18" i="2"/>
  <c r="I18" i="2"/>
  <c r="K15" i="2"/>
  <c r="J15" i="2"/>
  <c r="I15" i="2"/>
  <c r="K14" i="2"/>
  <c r="J14" i="2"/>
  <c r="I14" i="2"/>
  <c r="H523" i="1" l="1"/>
  <c r="J523" i="1" s="1"/>
  <c r="J491" i="1"/>
  <c r="H555" i="1"/>
  <c r="M491" i="1"/>
  <c r="L397" i="1"/>
  <c r="E491" i="1"/>
  <c r="E513" i="1" s="1"/>
  <c r="M389" i="1"/>
  <c r="F489" i="1"/>
  <c r="L393" i="1"/>
  <c r="E490" i="1"/>
  <c r="E553" i="1"/>
  <c r="N389" i="1"/>
  <c r="M397" i="1"/>
  <c r="F491" i="1"/>
  <c r="F513" i="1" s="1"/>
  <c r="N397" i="1"/>
  <c r="E555" i="1"/>
  <c r="M393" i="1"/>
  <c r="F490" i="1"/>
  <c r="E489" i="1"/>
  <c r="L389" i="1"/>
  <c r="E554" i="1"/>
  <c r="N393" i="1"/>
  <c r="L394" i="1"/>
  <c r="H490" i="1"/>
  <c r="H489" i="1"/>
  <c r="L390" i="1"/>
  <c r="M394" i="1"/>
  <c r="I490" i="1"/>
  <c r="I489" i="1"/>
  <c r="M390" i="1"/>
  <c r="N394" i="1"/>
  <c r="N390" i="1"/>
  <c r="I42" i="2"/>
  <c r="K42" i="2"/>
  <c r="I55" i="2"/>
  <c r="I41" i="2"/>
  <c r="J55" i="2"/>
  <c r="J41" i="2"/>
  <c r="K55" i="2"/>
  <c r="K41" i="2"/>
  <c r="J42" i="2"/>
  <c r="G22" i="8"/>
  <c r="N417" i="1" l="1"/>
  <c r="E511" i="1"/>
  <c r="E512" i="1"/>
  <c r="E545" i="1"/>
  <c r="G545" i="1" s="1"/>
  <c r="G513" i="1"/>
  <c r="H521" i="1"/>
  <c r="J521" i="1" s="1"/>
  <c r="F511" i="1"/>
  <c r="H522" i="1"/>
  <c r="J522" i="1" s="1"/>
  <c r="F512" i="1"/>
  <c r="L417" i="1"/>
  <c r="H553" i="1"/>
  <c r="H554" i="1"/>
  <c r="J490" i="1"/>
  <c r="J489" i="1"/>
  <c r="M416" i="1"/>
  <c r="M417" i="1"/>
  <c r="N416" i="1"/>
  <c r="L416" i="1"/>
  <c r="H41" i="1"/>
  <c r="H42" i="1"/>
  <c r="H40" i="1"/>
  <c r="G16" i="8"/>
  <c r="H15" i="8"/>
  <c r="K45" i="2" s="1"/>
  <c r="K50" i="2" s="1"/>
  <c r="H42" i="7"/>
  <c r="I42" i="7"/>
  <c r="J42" i="7"/>
  <c r="K42" i="7"/>
  <c r="L42" i="7"/>
  <c r="M42" i="7"/>
  <c r="J495" i="1" l="1"/>
  <c r="E543" i="1"/>
  <c r="G543" i="1" s="1"/>
  <c r="G511" i="1"/>
  <c r="G512" i="1"/>
  <c r="E544" i="1"/>
  <c r="G544" i="1" s="1"/>
  <c r="J527" i="1"/>
  <c r="I86" i="1"/>
  <c r="I214" i="1"/>
  <c r="M37" i="2"/>
  <c r="G35" i="8"/>
  <c r="K187" i="1"/>
  <c r="K87" i="1"/>
  <c r="M32" i="2"/>
  <c r="F35" i="8"/>
  <c r="L32" i="2"/>
  <c r="I186" i="1"/>
  <c r="I204" i="1" s="1"/>
  <c r="F34" i="8"/>
  <c r="L37" i="2"/>
  <c r="G34" i="8"/>
  <c r="K186" i="1"/>
  <c r="K204" i="1" s="1"/>
  <c r="C146" i="3"/>
  <c r="C144" i="3"/>
  <c r="C135" i="3"/>
  <c r="D127" i="3"/>
  <c r="D139" i="3" s="1"/>
  <c r="E127" i="3"/>
  <c r="E139" i="3" s="1"/>
  <c r="D128" i="3"/>
  <c r="D8" i="4" s="1"/>
  <c r="D20" i="4" s="1"/>
  <c r="D32" i="4" s="1"/>
  <c r="D44" i="4" s="1"/>
  <c r="D56" i="4" s="1"/>
  <c r="D68" i="4" s="1"/>
  <c r="D80" i="4" s="1"/>
  <c r="D92" i="4" s="1"/>
  <c r="D104" i="4" s="1"/>
  <c r="D116" i="4" s="1"/>
  <c r="D128" i="4" s="1"/>
  <c r="D140" i="4" s="1"/>
  <c r="E128" i="3"/>
  <c r="E8" i="4" s="1"/>
  <c r="E20" i="4" s="1"/>
  <c r="E32" i="4" s="1"/>
  <c r="E44" i="4" s="1"/>
  <c r="E56" i="4" s="1"/>
  <c r="E68" i="4" s="1"/>
  <c r="E80" i="4" s="1"/>
  <c r="E92" i="4" s="1"/>
  <c r="E104" i="4" s="1"/>
  <c r="E116" i="4" s="1"/>
  <c r="E128" i="4" s="1"/>
  <c r="E140" i="4" s="1"/>
  <c r="D129" i="3"/>
  <c r="D141" i="3" s="1"/>
  <c r="E129" i="3"/>
  <c r="E141" i="3" s="1"/>
  <c r="D130" i="3"/>
  <c r="D142" i="3" s="1"/>
  <c r="E130" i="3"/>
  <c r="E142" i="3" s="1"/>
  <c r="D131" i="3"/>
  <c r="D11" i="4" s="1"/>
  <c r="D23" i="4" s="1"/>
  <c r="D35" i="4" s="1"/>
  <c r="D47" i="4" s="1"/>
  <c r="D59" i="4" s="1"/>
  <c r="D71" i="4" s="1"/>
  <c r="D83" i="4" s="1"/>
  <c r="D95" i="4" s="1"/>
  <c r="D107" i="4" s="1"/>
  <c r="D119" i="4" s="1"/>
  <c r="D131" i="4" s="1"/>
  <c r="D143" i="4" s="1"/>
  <c r="E131" i="3"/>
  <c r="E11" i="4" s="1"/>
  <c r="E23" i="4" s="1"/>
  <c r="E35" i="4" s="1"/>
  <c r="E47" i="4" s="1"/>
  <c r="E59" i="4" s="1"/>
  <c r="E71" i="4" s="1"/>
  <c r="E83" i="4" s="1"/>
  <c r="E95" i="4" s="1"/>
  <c r="E107" i="4" s="1"/>
  <c r="E119" i="4" s="1"/>
  <c r="E131" i="4" s="1"/>
  <c r="E143" i="4" s="1"/>
  <c r="D132" i="3"/>
  <c r="E132" i="3"/>
  <c r="E12" i="4" s="1"/>
  <c r="E24" i="4" s="1"/>
  <c r="E36" i="4" s="1"/>
  <c r="E48" i="4" s="1"/>
  <c r="E60" i="4" s="1"/>
  <c r="E72" i="4" s="1"/>
  <c r="E84" i="4" s="1"/>
  <c r="E96" i="4" s="1"/>
  <c r="E108" i="4" s="1"/>
  <c r="E120" i="4" s="1"/>
  <c r="E132" i="4" s="1"/>
  <c r="E144" i="4" s="1"/>
  <c r="D133" i="3"/>
  <c r="D145" i="3" s="1"/>
  <c r="E133" i="3"/>
  <c r="E13" i="4" s="1"/>
  <c r="E25" i="4" s="1"/>
  <c r="E37" i="4" s="1"/>
  <c r="E49" i="4" s="1"/>
  <c r="E61" i="4" s="1"/>
  <c r="E73" i="4" s="1"/>
  <c r="E85" i="4" s="1"/>
  <c r="E97" i="4" s="1"/>
  <c r="E109" i="4" s="1"/>
  <c r="E121" i="4" s="1"/>
  <c r="E133" i="4" s="1"/>
  <c r="E145" i="4" s="1"/>
  <c r="D134" i="3"/>
  <c r="E134" i="3"/>
  <c r="E14" i="4" s="1"/>
  <c r="E26" i="4" s="1"/>
  <c r="E38" i="4" s="1"/>
  <c r="E50" i="4" s="1"/>
  <c r="E62" i="4" s="1"/>
  <c r="E74" i="4" s="1"/>
  <c r="E86" i="4" s="1"/>
  <c r="E98" i="4" s="1"/>
  <c r="E110" i="4" s="1"/>
  <c r="E122" i="4" s="1"/>
  <c r="E134" i="4" s="1"/>
  <c r="E146" i="4" s="1"/>
  <c r="D124" i="3"/>
  <c r="D4" i="4" s="1"/>
  <c r="D16" i="4" s="1"/>
  <c r="D28" i="4" s="1"/>
  <c r="D40" i="4" s="1"/>
  <c r="D52" i="4" s="1"/>
  <c r="D64" i="4" s="1"/>
  <c r="D76" i="4" s="1"/>
  <c r="D88" i="4" s="1"/>
  <c r="D100" i="4" s="1"/>
  <c r="D112" i="4" s="1"/>
  <c r="D124" i="4" s="1"/>
  <c r="D136" i="4" s="1"/>
  <c r="E124" i="3"/>
  <c r="E4" i="4" s="1"/>
  <c r="E16" i="4" s="1"/>
  <c r="E28" i="4" s="1"/>
  <c r="E40" i="4" s="1"/>
  <c r="E52" i="4" s="1"/>
  <c r="E64" i="4" s="1"/>
  <c r="E76" i="4" s="1"/>
  <c r="E88" i="4" s="1"/>
  <c r="E100" i="4" s="1"/>
  <c r="E112" i="4" s="1"/>
  <c r="E124" i="4" s="1"/>
  <c r="E136" i="4" s="1"/>
  <c r="D125" i="3"/>
  <c r="D137" i="3" s="1"/>
  <c r="E125" i="3"/>
  <c r="E5" i="4" s="1"/>
  <c r="E17" i="4" s="1"/>
  <c r="E29" i="4" s="1"/>
  <c r="E41" i="4" s="1"/>
  <c r="E53" i="4" s="1"/>
  <c r="E65" i="4" s="1"/>
  <c r="E77" i="4" s="1"/>
  <c r="E89" i="4" s="1"/>
  <c r="E101" i="4" s="1"/>
  <c r="E113" i="4" s="1"/>
  <c r="E125" i="4" s="1"/>
  <c r="E137" i="4" s="1"/>
  <c r="D126" i="3"/>
  <c r="D6" i="4" s="1"/>
  <c r="D18" i="4" s="1"/>
  <c r="D30" i="4" s="1"/>
  <c r="D42" i="4" s="1"/>
  <c r="D54" i="4" s="1"/>
  <c r="D66" i="4" s="1"/>
  <c r="D78" i="4" s="1"/>
  <c r="D90" i="4" s="1"/>
  <c r="D102" i="4" s="1"/>
  <c r="D114" i="4" s="1"/>
  <c r="D126" i="4" s="1"/>
  <c r="D138" i="4" s="1"/>
  <c r="E126" i="3"/>
  <c r="E6" i="4" s="1"/>
  <c r="E18" i="4" s="1"/>
  <c r="E30" i="4" s="1"/>
  <c r="E42" i="4" s="1"/>
  <c r="E54" i="4" s="1"/>
  <c r="E66" i="4" s="1"/>
  <c r="E78" i="4" s="1"/>
  <c r="E90" i="4" s="1"/>
  <c r="E102" i="4" s="1"/>
  <c r="E114" i="4" s="1"/>
  <c r="E126" i="4" s="1"/>
  <c r="E138" i="4" s="1"/>
  <c r="E123" i="3"/>
  <c r="E3" i="4" s="1"/>
  <c r="E15" i="4" s="1"/>
  <c r="E27" i="4" s="1"/>
  <c r="E39" i="4" s="1"/>
  <c r="E51" i="4" s="1"/>
  <c r="E63" i="4" s="1"/>
  <c r="E75" i="4" s="1"/>
  <c r="E87" i="4" s="1"/>
  <c r="E99" i="4" s="1"/>
  <c r="E111" i="4" s="1"/>
  <c r="E123" i="4" s="1"/>
  <c r="E135" i="4" s="1"/>
  <c r="D123" i="3"/>
  <c r="C10" i="4"/>
  <c r="C22" i="4" s="1"/>
  <c r="C12" i="4"/>
  <c r="C24" i="4" s="1"/>
  <c r="C14" i="4"/>
  <c r="C3" i="4"/>
  <c r="C15" i="4" s="1"/>
  <c r="C27" i="4" s="1"/>
  <c r="C39" i="4" s="1"/>
  <c r="C124" i="3"/>
  <c r="C126" i="3"/>
  <c r="C127" i="3"/>
  <c r="C128" i="3"/>
  <c r="C129" i="3"/>
  <c r="C130" i="3"/>
  <c r="C131" i="3"/>
  <c r="K131" i="3" s="1"/>
  <c r="C133" i="3"/>
  <c r="C119" i="14" l="1"/>
  <c r="E119" i="14" s="1"/>
  <c r="O412" i="1"/>
  <c r="E614" i="1"/>
  <c r="F635" i="1" s="1"/>
  <c r="F558" i="1"/>
  <c r="F614" i="1"/>
  <c r="P412" i="1"/>
  <c r="I87" i="1"/>
  <c r="P402" i="1"/>
  <c r="F613" i="1"/>
  <c r="E613" i="1"/>
  <c r="F634" i="1" s="1"/>
  <c r="O402" i="1"/>
  <c r="F557" i="1"/>
  <c r="I187" i="1"/>
  <c r="I205" i="1" s="1"/>
  <c r="C6" i="4"/>
  <c r="K126" i="3"/>
  <c r="D3" i="4"/>
  <c r="K123" i="3"/>
  <c r="D13" i="4"/>
  <c r="D25" i="4" s="1"/>
  <c r="D37" i="4" s="1"/>
  <c r="D49" i="4" s="1"/>
  <c r="D61" i="4" s="1"/>
  <c r="D73" i="4" s="1"/>
  <c r="D85" i="4" s="1"/>
  <c r="D97" i="4" s="1"/>
  <c r="D109" i="4" s="1"/>
  <c r="D121" i="4" s="1"/>
  <c r="D133" i="4" s="1"/>
  <c r="D145" i="4" s="1"/>
  <c r="C136" i="3"/>
  <c r="K124" i="3"/>
  <c r="K134" i="3"/>
  <c r="E135" i="3"/>
  <c r="E145" i="3"/>
  <c r="D14" i="4"/>
  <c r="D26" i="4" s="1"/>
  <c r="D38" i="4" s="1"/>
  <c r="D50" i="4" s="1"/>
  <c r="D62" i="4" s="1"/>
  <c r="D74" i="4" s="1"/>
  <c r="D86" i="4" s="1"/>
  <c r="D98" i="4" s="1"/>
  <c r="D110" i="4" s="1"/>
  <c r="D122" i="4" s="1"/>
  <c r="D134" i="4" s="1"/>
  <c r="D146" i="4" s="1"/>
  <c r="E137" i="3"/>
  <c r="C13" i="4"/>
  <c r="K13" i="4" s="1"/>
  <c r="L13" i="4" s="1"/>
  <c r="M13" i="4" s="1"/>
  <c r="N13" i="4" s="1"/>
  <c r="K133" i="3"/>
  <c r="C142" i="3"/>
  <c r="K142" i="3" s="1"/>
  <c r="K130" i="3"/>
  <c r="C9" i="4"/>
  <c r="K129" i="3"/>
  <c r="C11" i="4"/>
  <c r="K11" i="4" s="1"/>
  <c r="L11" i="4" s="1"/>
  <c r="M11" i="4" s="1"/>
  <c r="N11" i="4" s="1"/>
  <c r="D138" i="3"/>
  <c r="D146" i="3"/>
  <c r="D140" i="3"/>
  <c r="D5" i="4"/>
  <c r="D17" i="4" s="1"/>
  <c r="D29" i="4" s="1"/>
  <c r="D41" i="4" s="1"/>
  <c r="D53" i="4" s="1"/>
  <c r="D65" i="4" s="1"/>
  <c r="D77" i="4" s="1"/>
  <c r="D89" i="4" s="1"/>
  <c r="D101" i="4" s="1"/>
  <c r="D113" i="4" s="1"/>
  <c r="D125" i="4" s="1"/>
  <c r="D137" i="4" s="1"/>
  <c r="C7" i="4"/>
  <c r="K127" i="3"/>
  <c r="C4" i="4"/>
  <c r="C16" i="4" s="1"/>
  <c r="C28" i="4" s="1"/>
  <c r="D12" i="4"/>
  <c r="D24" i="4" s="1"/>
  <c r="D36" i="4" s="1"/>
  <c r="D48" i="4" s="1"/>
  <c r="D60" i="4" s="1"/>
  <c r="D72" i="4" s="1"/>
  <c r="D84" i="4" s="1"/>
  <c r="D96" i="4" s="1"/>
  <c r="D108" i="4" s="1"/>
  <c r="D120" i="4" s="1"/>
  <c r="D132" i="4" s="1"/>
  <c r="D144" i="4" s="1"/>
  <c r="K132" i="3"/>
  <c r="C141" i="3"/>
  <c r="K141" i="3" s="1"/>
  <c r="C143" i="3"/>
  <c r="D9" i="4"/>
  <c r="D21" i="4" s="1"/>
  <c r="D33" i="4" s="1"/>
  <c r="D45" i="4" s="1"/>
  <c r="D57" i="4" s="1"/>
  <c r="D69" i="4" s="1"/>
  <c r="D81" i="4" s="1"/>
  <c r="D93" i="4" s="1"/>
  <c r="D105" i="4" s="1"/>
  <c r="D117" i="4" s="1"/>
  <c r="D129" i="4" s="1"/>
  <c r="D141" i="4" s="1"/>
  <c r="C140" i="3"/>
  <c r="K128" i="3"/>
  <c r="E143" i="3"/>
  <c r="D10" i="4"/>
  <c r="D22" i="4" s="1"/>
  <c r="D34" i="4" s="1"/>
  <c r="D46" i="4" s="1"/>
  <c r="D58" i="4" s="1"/>
  <c r="D70" i="4" s="1"/>
  <c r="D82" i="4" s="1"/>
  <c r="D94" i="4" s="1"/>
  <c r="D106" i="4" s="1"/>
  <c r="D118" i="4" s="1"/>
  <c r="D130" i="4" s="1"/>
  <c r="D142" i="4" s="1"/>
  <c r="W37" i="2"/>
  <c r="U37" i="2"/>
  <c r="W32" i="2"/>
  <c r="U32" i="2"/>
  <c r="C21" i="4"/>
  <c r="C51" i="4"/>
  <c r="C25" i="4"/>
  <c r="D15" i="4"/>
  <c r="D27" i="4" s="1"/>
  <c r="D39" i="4" s="1"/>
  <c r="D51" i="4" s="1"/>
  <c r="D63" i="4" s="1"/>
  <c r="D75" i="4" s="1"/>
  <c r="D87" i="4" s="1"/>
  <c r="D99" i="4" s="1"/>
  <c r="D111" i="4" s="1"/>
  <c r="D123" i="4" s="1"/>
  <c r="D135" i="4" s="1"/>
  <c r="K3" i="4"/>
  <c r="L3" i="4" s="1"/>
  <c r="M3" i="4" s="1"/>
  <c r="N3" i="4" s="1"/>
  <c r="C36" i="4"/>
  <c r="C34" i="4"/>
  <c r="C19" i="4"/>
  <c r="K16" i="4"/>
  <c r="L16" i="4" s="1"/>
  <c r="M16" i="4" s="1"/>
  <c r="N16" i="4" s="1"/>
  <c r="K6" i="4"/>
  <c r="L6" i="4" s="1"/>
  <c r="M6" i="4" s="1"/>
  <c r="N6" i="4" s="1"/>
  <c r="C18" i="4"/>
  <c r="D135" i="3"/>
  <c r="K135" i="3" s="1"/>
  <c r="C138" i="3"/>
  <c r="E140" i="3"/>
  <c r="D143" i="3"/>
  <c r="E9" i="4"/>
  <c r="E21" i="4" s="1"/>
  <c r="E33" i="4" s="1"/>
  <c r="E45" i="4" s="1"/>
  <c r="E57" i="4" s="1"/>
  <c r="E69" i="4" s="1"/>
  <c r="E81" i="4" s="1"/>
  <c r="E93" i="4" s="1"/>
  <c r="E105" i="4" s="1"/>
  <c r="E117" i="4" s="1"/>
  <c r="E129" i="4" s="1"/>
  <c r="E141" i="4" s="1"/>
  <c r="K4" i="4"/>
  <c r="L4" i="4" s="1"/>
  <c r="M4" i="4" s="1"/>
  <c r="N4" i="4" s="1"/>
  <c r="C23" i="4"/>
  <c r="E138" i="3"/>
  <c r="E146" i="3"/>
  <c r="E10" i="4"/>
  <c r="E22" i="4" s="1"/>
  <c r="E34" i="4" s="1"/>
  <c r="E46" i="4" s="1"/>
  <c r="E58" i="4" s="1"/>
  <c r="E70" i="4" s="1"/>
  <c r="E82" i="4" s="1"/>
  <c r="E94" i="4" s="1"/>
  <c r="E106" i="4" s="1"/>
  <c r="E118" i="4" s="1"/>
  <c r="E130" i="4" s="1"/>
  <c r="E142" i="4" s="1"/>
  <c r="C8" i="4"/>
  <c r="D136" i="3"/>
  <c r="C139" i="3"/>
  <c r="K139" i="3" s="1"/>
  <c r="D144" i="3"/>
  <c r="D7" i="4"/>
  <c r="D19" i="4" s="1"/>
  <c r="D31" i="4" s="1"/>
  <c r="D43" i="4" s="1"/>
  <c r="D55" i="4" s="1"/>
  <c r="D67" i="4" s="1"/>
  <c r="D79" i="4" s="1"/>
  <c r="D91" i="4" s="1"/>
  <c r="D103" i="4" s="1"/>
  <c r="D115" i="4" s="1"/>
  <c r="D127" i="4" s="1"/>
  <c r="D139" i="4" s="1"/>
  <c r="E136" i="3"/>
  <c r="E144" i="3"/>
  <c r="E7" i="4"/>
  <c r="E19" i="4" s="1"/>
  <c r="E31" i="4" s="1"/>
  <c r="E43" i="4" s="1"/>
  <c r="E55" i="4" s="1"/>
  <c r="E67" i="4" s="1"/>
  <c r="E79" i="4" s="1"/>
  <c r="E91" i="4" s="1"/>
  <c r="E103" i="4" s="1"/>
  <c r="E115" i="4" s="1"/>
  <c r="E127" i="4" s="1"/>
  <c r="E139" i="4" s="1"/>
  <c r="K205" i="1"/>
  <c r="K14" i="4"/>
  <c r="L14" i="4" s="1"/>
  <c r="M14" i="4" s="1"/>
  <c r="N14" i="4" s="1"/>
  <c r="C145" i="3"/>
  <c r="K145" i="3" s="1"/>
  <c r="K12" i="4"/>
  <c r="L12" i="4" s="1"/>
  <c r="M12" i="4" s="1"/>
  <c r="N12" i="4" s="1"/>
  <c r="C26" i="4"/>
  <c r="C38" i="4" s="1"/>
  <c r="K38" i="4" s="1"/>
  <c r="L38" i="4" s="1"/>
  <c r="M38" i="4" s="1"/>
  <c r="N38" i="4" s="1"/>
  <c r="F580" i="1" l="1"/>
  <c r="G580" i="1" s="1"/>
  <c r="F645" i="1"/>
  <c r="F655" i="1" s="1"/>
  <c r="F579" i="1"/>
  <c r="G579" i="1" s="1"/>
  <c r="F644" i="1"/>
  <c r="F654" i="1" s="1"/>
  <c r="K146" i="3"/>
  <c r="K144" i="3"/>
  <c r="K136" i="3"/>
  <c r="K27" i="4"/>
  <c r="L27" i="4" s="1"/>
  <c r="M27" i="4" s="1"/>
  <c r="N27" i="4" s="1"/>
  <c r="K140" i="3"/>
  <c r="K138" i="3"/>
  <c r="K26" i="4"/>
  <c r="L26" i="4" s="1"/>
  <c r="M26" i="4" s="1"/>
  <c r="N26" i="4" s="1"/>
  <c r="K24" i="4"/>
  <c r="L24" i="4" s="1"/>
  <c r="M24" i="4" s="1"/>
  <c r="N24" i="4" s="1"/>
  <c r="K143" i="3"/>
  <c r="C50" i="4"/>
  <c r="K50" i="4" s="1"/>
  <c r="L50" i="4" s="1"/>
  <c r="M50" i="4" s="1"/>
  <c r="N50" i="4" s="1"/>
  <c r="K8" i="4"/>
  <c r="L8" i="4" s="1"/>
  <c r="M8" i="4" s="1"/>
  <c r="N8" i="4" s="1"/>
  <c r="C20" i="4"/>
  <c r="C40" i="4"/>
  <c r="K28" i="4"/>
  <c r="L28" i="4" s="1"/>
  <c r="M28" i="4" s="1"/>
  <c r="N28" i="4" s="1"/>
  <c r="K19" i="4"/>
  <c r="L19" i="4" s="1"/>
  <c r="M19" i="4" s="1"/>
  <c r="N19" i="4" s="1"/>
  <c r="C31" i="4"/>
  <c r="C37" i="4"/>
  <c r="K25" i="4"/>
  <c r="L25" i="4" s="1"/>
  <c r="M25" i="4" s="1"/>
  <c r="N25" i="4" s="1"/>
  <c r="K7" i="4"/>
  <c r="L7" i="4" s="1"/>
  <c r="M7" i="4" s="1"/>
  <c r="N7" i="4" s="1"/>
  <c r="K10" i="4"/>
  <c r="L10" i="4" s="1"/>
  <c r="M10" i="4" s="1"/>
  <c r="N10" i="4" s="1"/>
  <c r="K34" i="4"/>
  <c r="L34" i="4" s="1"/>
  <c r="M34" i="4" s="1"/>
  <c r="N34" i="4" s="1"/>
  <c r="C46" i="4"/>
  <c r="C63" i="4"/>
  <c r="K51" i="4"/>
  <c r="L51" i="4" s="1"/>
  <c r="M51" i="4" s="1"/>
  <c r="N51" i="4" s="1"/>
  <c r="K158" i="3"/>
  <c r="K5" i="2" s="1"/>
  <c r="N382" i="1" s="1"/>
  <c r="C35" i="4"/>
  <c r="K23" i="4"/>
  <c r="L23" i="4" s="1"/>
  <c r="M23" i="4" s="1"/>
  <c r="N23" i="4" s="1"/>
  <c r="K15" i="4"/>
  <c r="L15" i="4" s="1"/>
  <c r="M15" i="4" s="1"/>
  <c r="N15" i="4" s="1"/>
  <c r="K22" i="4"/>
  <c r="L22" i="4" s="1"/>
  <c r="M22" i="4" s="1"/>
  <c r="N22" i="4" s="1"/>
  <c r="K39" i="4"/>
  <c r="L39" i="4" s="1"/>
  <c r="M39" i="4" s="1"/>
  <c r="N39" i="4" s="1"/>
  <c r="K18" i="4"/>
  <c r="L18" i="4" s="1"/>
  <c r="M18" i="4" s="1"/>
  <c r="N18" i="4" s="1"/>
  <c r="C30" i="4"/>
  <c r="C48" i="4"/>
  <c r="K36" i="4"/>
  <c r="L36" i="4" s="1"/>
  <c r="M36" i="4" s="1"/>
  <c r="N36" i="4" s="1"/>
  <c r="K9" i="4"/>
  <c r="L9" i="4" s="1"/>
  <c r="M9" i="4" s="1"/>
  <c r="N9" i="4" s="1"/>
  <c r="C33" i="4"/>
  <c r="K21" i="4"/>
  <c r="L21" i="4" s="1"/>
  <c r="M21" i="4" s="1"/>
  <c r="N21" i="4" s="1"/>
  <c r="C62" i="4" l="1"/>
  <c r="C60" i="4"/>
  <c r="K48" i="4"/>
  <c r="L48" i="4" s="1"/>
  <c r="M48" i="4" s="1"/>
  <c r="N48" i="4" s="1"/>
  <c r="C42" i="4"/>
  <c r="K30" i="4"/>
  <c r="L30" i="4" s="1"/>
  <c r="M30" i="4" s="1"/>
  <c r="N30" i="4" s="1"/>
  <c r="K37" i="4"/>
  <c r="L37" i="4" s="1"/>
  <c r="M37" i="4" s="1"/>
  <c r="N37" i="4" s="1"/>
  <c r="C49" i="4"/>
  <c r="C75" i="4"/>
  <c r="K63" i="4"/>
  <c r="L63" i="4" s="1"/>
  <c r="M63" i="4" s="1"/>
  <c r="N63" i="4" s="1"/>
  <c r="K31" i="4"/>
  <c r="L31" i="4" s="1"/>
  <c r="M31" i="4" s="1"/>
  <c r="N31" i="4" s="1"/>
  <c r="C43" i="4"/>
  <c r="K33" i="4"/>
  <c r="L33" i="4" s="1"/>
  <c r="M33" i="4" s="1"/>
  <c r="N33" i="4" s="1"/>
  <c r="C45" i="4"/>
  <c r="C58" i="4"/>
  <c r="K46" i="4"/>
  <c r="L46" i="4" s="1"/>
  <c r="M46" i="4" s="1"/>
  <c r="N46" i="4" s="1"/>
  <c r="K40" i="4"/>
  <c r="L40" i="4" s="1"/>
  <c r="M40" i="4" s="1"/>
  <c r="N40" i="4" s="1"/>
  <c r="C52" i="4"/>
  <c r="C47" i="4"/>
  <c r="K35" i="4"/>
  <c r="L35" i="4" s="1"/>
  <c r="M35" i="4" s="1"/>
  <c r="N35" i="4" s="1"/>
  <c r="K20" i="4"/>
  <c r="L20" i="4" s="1"/>
  <c r="M20" i="4" s="1"/>
  <c r="N20" i="4" s="1"/>
  <c r="C32" i="4"/>
  <c r="C74" i="4"/>
  <c r="K62" i="4"/>
  <c r="L62" i="4" s="1"/>
  <c r="M62" i="4" s="1"/>
  <c r="N62" i="4" s="1"/>
  <c r="C87" i="4" l="1"/>
  <c r="K75" i="4"/>
  <c r="L75" i="4" s="1"/>
  <c r="M75" i="4" s="1"/>
  <c r="N75" i="4" s="1"/>
  <c r="K49" i="4"/>
  <c r="L49" i="4" s="1"/>
  <c r="M49" i="4" s="1"/>
  <c r="N49" i="4" s="1"/>
  <c r="C61" i="4"/>
  <c r="C70" i="4"/>
  <c r="K58" i="4"/>
  <c r="L58" i="4" s="1"/>
  <c r="M58" i="4" s="1"/>
  <c r="N58" i="4" s="1"/>
  <c r="C64" i="4"/>
  <c r="K52" i="4"/>
  <c r="L52" i="4" s="1"/>
  <c r="M52" i="4" s="1"/>
  <c r="N52" i="4" s="1"/>
  <c r="C57" i="4"/>
  <c r="K45" i="4"/>
  <c r="L45" i="4" s="1"/>
  <c r="M45" i="4" s="1"/>
  <c r="N45" i="4" s="1"/>
  <c r="K42" i="4"/>
  <c r="L42" i="4" s="1"/>
  <c r="M42" i="4" s="1"/>
  <c r="N42" i="4" s="1"/>
  <c r="C54" i="4"/>
  <c r="K32" i="4"/>
  <c r="L32" i="4" s="1"/>
  <c r="M32" i="4" s="1"/>
  <c r="N32" i="4" s="1"/>
  <c r="C44" i="4"/>
  <c r="C55" i="4"/>
  <c r="K43" i="4"/>
  <c r="L43" i="4" s="1"/>
  <c r="M43" i="4" s="1"/>
  <c r="N43" i="4" s="1"/>
  <c r="C59" i="4"/>
  <c r="K47" i="4"/>
  <c r="L47" i="4" s="1"/>
  <c r="M47" i="4" s="1"/>
  <c r="N47" i="4" s="1"/>
  <c r="C72" i="4"/>
  <c r="K60" i="4"/>
  <c r="L60" i="4" s="1"/>
  <c r="M60" i="4" s="1"/>
  <c r="N60" i="4" s="1"/>
  <c r="C86" i="4"/>
  <c r="K74" i="4"/>
  <c r="L74" i="4" s="1"/>
  <c r="M74" i="4" s="1"/>
  <c r="N74" i="4" s="1"/>
  <c r="M41" i="7"/>
  <c r="M40" i="7"/>
  <c r="I41" i="7"/>
  <c r="J41" i="7"/>
  <c r="K41" i="7"/>
  <c r="L41" i="7"/>
  <c r="H41" i="7"/>
  <c r="C67" i="4" l="1"/>
  <c r="K55" i="4"/>
  <c r="L55" i="4" s="1"/>
  <c r="M55" i="4" s="1"/>
  <c r="N55" i="4" s="1"/>
  <c r="C76" i="4"/>
  <c r="K64" i="4"/>
  <c r="L64" i="4" s="1"/>
  <c r="M64" i="4" s="1"/>
  <c r="N64" i="4" s="1"/>
  <c r="C56" i="4"/>
  <c r="K44" i="4"/>
  <c r="L44" i="4" s="1"/>
  <c r="M44" i="4" s="1"/>
  <c r="N44" i="4" s="1"/>
  <c r="C82" i="4"/>
  <c r="K70" i="4"/>
  <c r="L70" i="4" s="1"/>
  <c r="M70" i="4" s="1"/>
  <c r="N70" i="4" s="1"/>
  <c r="C66" i="4"/>
  <c r="K54" i="4"/>
  <c r="L54" i="4" s="1"/>
  <c r="M54" i="4" s="1"/>
  <c r="N54" i="4" s="1"/>
  <c r="C73" i="4"/>
  <c r="K61" i="4"/>
  <c r="L61" i="4" s="1"/>
  <c r="M61" i="4" s="1"/>
  <c r="N61" i="4" s="1"/>
  <c r="C84" i="4"/>
  <c r="K72" i="4"/>
  <c r="L72" i="4" s="1"/>
  <c r="M72" i="4" s="1"/>
  <c r="N72" i="4" s="1"/>
  <c r="C71" i="4"/>
  <c r="K59" i="4"/>
  <c r="L59" i="4" s="1"/>
  <c r="M59" i="4" s="1"/>
  <c r="N59" i="4" s="1"/>
  <c r="C69" i="4"/>
  <c r="K57" i="4"/>
  <c r="L57" i="4" s="1"/>
  <c r="M57" i="4" s="1"/>
  <c r="N57" i="4" s="1"/>
  <c r="C99" i="4"/>
  <c r="K87" i="4"/>
  <c r="L87" i="4" s="1"/>
  <c r="M87" i="4" s="1"/>
  <c r="N87" i="4" s="1"/>
  <c r="L57" i="7"/>
  <c r="K57" i="7"/>
  <c r="M56" i="7"/>
  <c r="M57" i="7"/>
  <c r="J57" i="7"/>
  <c r="H57" i="7"/>
  <c r="I57" i="7"/>
  <c r="C98" i="4"/>
  <c r="K86" i="4"/>
  <c r="L86" i="4" s="1"/>
  <c r="M86" i="4" s="1"/>
  <c r="N86" i="4" s="1"/>
  <c r="C96" i="4" l="1"/>
  <c r="K84" i="4"/>
  <c r="L84" i="4" s="1"/>
  <c r="M84" i="4" s="1"/>
  <c r="N84" i="4" s="1"/>
  <c r="C68" i="4"/>
  <c r="K56" i="4"/>
  <c r="L56" i="4" s="1"/>
  <c r="M56" i="4" s="1"/>
  <c r="N56" i="4" s="1"/>
  <c r="C111" i="4"/>
  <c r="K99" i="4"/>
  <c r="L99" i="4" s="1"/>
  <c r="M99" i="4" s="1"/>
  <c r="N99" i="4" s="1"/>
  <c r="C85" i="4"/>
  <c r="K73" i="4"/>
  <c r="L73" i="4" s="1"/>
  <c r="M73" i="4" s="1"/>
  <c r="N73" i="4" s="1"/>
  <c r="C88" i="4"/>
  <c r="K76" i="4"/>
  <c r="L76" i="4" s="1"/>
  <c r="M76" i="4" s="1"/>
  <c r="N76" i="4" s="1"/>
  <c r="C83" i="4"/>
  <c r="K71" i="4"/>
  <c r="L71" i="4" s="1"/>
  <c r="M71" i="4" s="1"/>
  <c r="N71" i="4" s="1"/>
  <c r="C94" i="4"/>
  <c r="K82" i="4"/>
  <c r="L82" i="4" s="1"/>
  <c r="M82" i="4" s="1"/>
  <c r="N82" i="4" s="1"/>
  <c r="C81" i="4"/>
  <c r="K69" i="4"/>
  <c r="L69" i="4" s="1"/>
  <c r="M69" i="4" s="1"/>
  <c r="N69" i="4" s="1"/>
  <c r="C78" i="4"/>
  <c r="K66" i="4"/>
  <c r="L66" i="4" s="1"/>
  <c r="M66" i="4" s="1"/>
  <c r="N66" i="4" s="1"/>
  <c r="C79" i="4"/>
  <c r="K67" i="4"/>
  <c r="L67" i="4" s="1"/>
  <c r="M67" i="4" s="1"/>
  <c r="N67" i="4" s="1"/>
  <c r="C110" i="4"/>
  <c r="K98" i="4"/>
  <c r="L98" i="4" s="1"/>
  <c r="M98" i="4" s="1"/>
  <c r="N98" i="4" s="1"/>
  <c r="C97" i="4" l="1"/>
  <c r="K85" i="4"/>
  <c r="L85" i="4" s="1"/>
  <c r="M85" i="4" s="1"/>
  <c r="N85" i="4" s="1"/>
  <c r="C106" i="4"/>
  <c r="K94" i="4"/>
  <c r="L94" i="4" s="1"/>
  <c r="M94" i="4" s="1"/>
  <c r="N94" i="4" s="1"/>
  <c r="K111" i="4"/>
  <c r="L111" i="4" s="1"/>
  <c r="M111" i="4" s="1"/>
  <c r="N111" i="4" s="1"/>
  <c r="C93" i="4"/>
  <c r="K81" i="4"/>
  <c r="L81" i="4" s="1"/>
  <c r="M81" i="4" s="1"/>
  <c r="N81" i="4" s="1"/>
  <c r="C91" i="4"/>
  <c r="K79" i="4"/>
  <c r="L79" i="4" s="1"/>
  <c r="M79" i="4" s="1"/>
  <c r="N79" i="4" s="1"/>
  <c r="C95" i="4"/>
  <c r="K83" i="4"/>
  <c r="L83" i="4" s="1"/>
  <c r="M83" i="4" s="1"/>
  <c r="N83" i="4" s="1"/>
  <c r="C80" i="4"/>
  <c r="K68" i="4"/>
  <c r="L68" i="4" s="1"/>
  <c r="M68" i="4" s="1"/>
  <c r="N68" i="4" s="1"/>
  <c r="C90" i="4"/>
  <c r="K78" i="4"/>
  <c r="L78" i="4" s="1"/>
  <c r="M78" i="4" s="1"/>
  <c r="N78" i="4" s="1"/>
  <c r="C100" i="4"/>
  <c r="K88" i="4"/>
  <c r="L88" i="4" s="1"/>
  <c r="M88" i="4" s="1"/>
  <c r="N88" i="4" s="1"/>
  <c r="C108" i="4"/>
  <c r="K96" i="4"/>
  <c r="L96" i="4" s="1"/>
  <c r="M96" i="4" s="1"/>
  <c r="N96" i="4" s="1"/>
  <c r="C122" i="4"/>
  <c r="K110" i="4"/>
  <c r="L110" i="4" s="1"/>
  <c r="M110" i="4" s="1"/>
  <c r="N110" i="4" s="1"/>
  <c r="C112" i="4" l="1"/>
  <c r="K100" i="4"/>
  <c r="L100" i="4" s="1"/>
  <c r="M100" i="4" s="1"/>
  <c r="N100" i="4" s="1"/>
  <c r="C103" i="4"/>
  <c r="K91" i="4"/>
  <c r="L91" i="4" s="1"/>
  <c r="M91" i="4" s="1"/>
  <c r="N91" i="4" s="1"/>
  <c r="C109" i="4"/>
  <c r="K97" i="4"/>
  <c r="L97" i="4" s="1"/>
  <c r="M97" i="4" s="1"/>
  <c r="N97" i="4" s="1"/>
  <c r="C102" i="4"/>
  <c r="K90" i="4"/>
  <c r="L90" i="4" s="1"/>
  <c r="M90" i="4" s="1"/>
  <c r="N90" i="4" s="1"/>
  <c r="C105" i="4"/>
  <c r="K93" i="4"/>
  <c r="L93" i="4" s="1"/>
  <c r="M93" i="4" s="1"/>
  <c r="N93" i="4" s="1"/>
  <c r="C92" i="4"/>
  <c r="K80" i="4"/>
  <c r="L80" i="4" s="1"/>
  <c r="M80" i="4" s="1"/>
  <c r="N80" i="4" s="1"/>
  <c r="C135" i="4"/>
  <c r="K135" i="4" s="1"/>
  <c r="K123" i="4"/>
  <c r="C120" i="4"/>
  <c r="K108" i="4"/>
  <c r="L108" i="4" s="1"/>
  <c r="M108" i="4" s="1"/>
  <c r="N108" i="4" s="1"/>
  <c r="C107" i="4"/>
  <c r="K95" i="4"/>
  <c r="L95" i="4" s="1"/>
  <c r="M95" i="4" s="1"/>
  <c r="N95" i="4" s="1"/>
  <c r="C118" i="4"/>
  <c r="K106" i="4"/>
  <c r="L106" i="4" s="1"/>
  <c r="M106" i="4" s="1"/>
  <c r="N106" i="4" s="1"/>
  <c r="K122" i="4"/>
  <c r="L122" i="4" s="1"/>
  <c r="M122" i="4" s="1"/>
  <c r="N122" i="4" s="1"/>
  <c r="D29" i="9"/>
  <c r="G365" i="1" s="1"/>
  <c r="D30" i="9"/>
  <c r="C29" i="9"/>
  <c r="F365" i="1" s="1"/>
  <c r="C30" i="9"/>
  <c r="B29" i="9"/>
  <c r="E365" i="1" s="1"/>
  <c r="B30" i="9"/>
  <c r="C34" i="9" l="1"/>
  <c r="F370" i="1" s="1"/>
  <c r="F366" i="1"/>
  <c r="G370" i="1"/>
  <c r="G366" i="1"/>
  <c r="B34" i="9"/>
  <c r="E370" i="1" s="1"/>
  <c r="E366" i="1"/>
  <c r="K120" i="4"/>
  <c r="L120" i="4" s="1"/>
  <c r="M120" i="4" s="1"/>
  <c r="N120" i="4" s="1"/>
  <c r="C114" i="4"/>
  <c r="K102" i="4"/>
  <c r="L102" i="4" s="1"/>
  <c r="M102" i="4" s="1"/>
  <c r="N102" i="4" s="1"/>
  <c r="K118" i="4"/>
  <c r="L118" i="4" s="1"/>
  <c r="M118" i="4" s="1"/>
  <c r="N118" i="4" s="1"/>
  <c r="C104" i="4"/>
  <c r="K92" i="4"/>
  <c r="L92" i="4" s="1"/>
  <c r="M92" i="4" s="1"/>
  <c r="N92" i="4" s="1"/>
  <c r="C115" i="4"/>
  <c r="K103" i="4"/>
  <c r="L103" i="4" s="1"/>
  <c r="M103" i="4" s="1"/>
  <c r="N103" i="4" s="1"/>
  <c r="C121" i="4"/>
  <c r="K109" i="4"/>
  <c r="L109" i="4" s="1"/>
  <c r="M109" i="4" s="1"/>
  <c r="N109" i="4" s="1"/>
  <c r="C119" i="4"/>
  <c r="K107" i="4"/>
  <c r="L107" i="4" s="1"/>
  <c r="M107" i="4" s="1"/>
  <c r="N107" i="4" s="1"/>
  <c r="C117" i="4"/>
  <c r="K105" i="4"/>
  <c r="L105" i="4" s="1"/>
  <c r="M105" i="4" s="1"/>
  <c r="N105" i="4" s="1"/>
  <c r="K112" i="4"/>
  <c r="L112" i="4" s="1"/>
  <c r="M112" i="4" s="1"/>
  <c r="N112" i="4" s="1"/>
  <c r="C146" i="4"/>
  <c r="K146" i="4" s="1"/>
  <c r="K134" i="4"/>
  <c r="G31" i="8"/>
  <c r="G32" i="8"/>
  <c r="G33" i="8"/>
  <c r="F31" i="8"/>
  <c r="F32" i="8"/>
  <c r="F33" i="8"/>
  <c r="E33" i="8"/>
  <c r="E31" i="8"/>
  <c r="E32" i="8"/>
  <c r="D31" i="8"/>
  <c r="D32" i="8"/>
  <c r="D33" i="8"/>
  <c r="C31" i="8"/>
  <c r="C32" i="8"/>
  <c r="C33" i="8"/>
  <c r="B31" i="8"/>
  <c r="B32" i="8"/>
  <c r="B33" i="8"/>
  <c r="H14" i="8"/>
  <c r="J45" i="2" s="1"/>
  <c r="J50" i="2" s="1"/>
  <c r="L43" i="7"/>
  <c r="L44" i="7" l="1"/>
  <c r="L68" i="7" s="1"/>
  <c r="I263" i="1" s="1"/>
  <c r="L67" i="7"/>
  <c r="I262" i="1" s="1"/>
  <c r="C116" i="4"/>
  <c r="K104" i="4"/>
  <c r="L104" i="4" s="1"/>
  <c r="M104" i="4" s="1"/>
  <c r="N104" i="4" s="1"/>
  <c r="K119" i="4"/>
  <c r="L119" i="4" s="1"/>
  <c r="M119" i="4" s="1"/>
  <c r="N119" i="4" s="1"/>
  <c r="C142" i="4"/>
  <c r="K142" i="4" s="1"/>
  <c r="K130" i="4"/>
  <c r="K121" i="4"/>
  <c r="L121" i="4" s="1"/>
  <c r="M121" i="4" s="1"/>
  <c r="N121" i="4" s="1"/>
  <c r="K114" i="4"/>
  <c r="L114" i="4" s="1"/>
  <c r="M114" i="4" s="1"/>
  <c r="N114" i="4" s="1"/>
  <c r="C136" i="4"/>
  <c r="K136" i="4" s="1"/>
  <c r="K124" i="4"/>
  <c r="K115" i="4"/>
  <c r="L115" i="4" s="1"/>
  <c r="M115" i="4" s="1"/>
  <c r="N115" i="4" s="1"/>
  <c r="C144" i="4"/>
  <c r="K144" i="4" s="1"/>
  <c r="K132" i="4"/>
  <c r="K117" i="4"/>
  <c r="L117" i="4" s="1"/>
  <c r="M117" i="4" s="1"/>
  <c r="N117" i="4" s="1"/>
  <c r="G19" i="7"/>
  <c r="G20" i="7"/>
  <c r="G17" i="7"/>
  <c r="B23" i="7"/>
  <c r="C145" i="4" l="1"/>
  <c r="K145" i="4" s="1"/>
  <c r="K133" i="4"/>
  <c r="C139" i="4"/>
  <c r="K139" i="4" s="1"/>
  <c r="K127" i="4"/>
  <c r="C143" i="4"/>
  <c r="K143" i="4" s="1"/>
  <c r="K131" i="4"/>
  <c r="L88" i="7"/>
  <c r="L77" i="7"/>
  <c r="L89" i="7"/>
  <c r="C141" i="4"/>
  <c r="K141" i="4" s="1"/>
  <c r="K129" i="4"/>
  <c r="C138" i="4"/>
  <c r="K138" i="4" s="1"/>
  <c r="K126" i="4"/>
  <c r="K116" i="4"/>
  <c r="L116" i="4" s="1"/>
  <c r="M116" i="4" s="1"/>
  <c r="N116" i="4" s="1"/>
  <c r="L76" i="7"/>
  <c r="K10" i="2"/>
  <c r="E42" i="1" s="1"/>
  <c r="K46" i="2"/>
  <c r="K51" i="2" s="1"/>
  <c r="J46" i="2"/>
  <c r="J51" i="2" s="1"/>
  <c r="J10" i="2"/>
  <c r="E41" i="1" s="1"/>
  <c r="I46" i="2"/>
  <c r="I51" i="2" s="1"/>
  <c r="I10" i="2"/>
  <c r="E40" i="1" s="1"/>
  <c r="K157" i="3"/>
  <c r="B159" i="3"/>
  <c r="B22" i="7" s="1"/>
  <c r="B158" i="3"/>
  <c r="B157" i="3"/>
  <c r="B156" i="3"/>
  <c r="AC29" i="11"/>
  <c r="AC30" i="11"/>
  <c r="AC31" i="11"/>
  <c r="AC32" i="11"/>
  <c r="AC33" i="11"/>
  <c r="AC34" i="11"/>
  <c r="AC35" i="11"/>
  <c r="AC36" i="11"/>
  <c r="AC37" i="11"/>
  <c r="AC38" i="11"/>
  <c r="AC39" i="11"/>
  <c r="AC28" i="11"/>
  <c r="AB29" i="11"/>
  <c r="AB30" i="11"/>
  <c r="AB31" i="11"/>
  <c r="AB32" i="11"/>
  <c r="AB33" i="11"/>
  <c r="AB34" i="11"/>
  <c r="AB35" i="11"/>
  <c r="AB36" i="11"/>
  <c r="AB37" i="11"/>
  <c r="AB38" i="11"/>
  <c r="AB39" i="11"/>
  <c r="AB28" i="11"/>
  <c r="AC9" i="11"/>
  <c r="AC19" i="11"/>
  <c r="AC11" i="11"/>
  <c r="AC12" i="11"/>
  <c r="AC13" i="11"/>
  <c r="AC14" i="11"/>
  <c r="AC15" i="11"/>
  <c r="AC16" i="11"/>
  <c r="AC17" i="11"/>
  <c r="AC18" i="11"/>
  <c r="AC8" i="11"/>
  <c r="Y21" i="11"/>
  <c r="Z21" i="11"/>
  <c r="AB9" i="11"/>
  <c r="AB11" i="11"/>
  <c r="AB12" i="11"/>
  <c r="AB13" i="11"/>
  <c r="AB14" i="11"/>
  <c r="AB15" i="11"/>
  <c r="AB16" i="11"/>
  <c r="AB17" i="11"/>
  <c r="AB18" i="11"/>
  <c r="AB19" i="11"/>
  <c r="AB8" i="11"/>
  <c r="X41" i="11"/>
  <c r="Y41" i="11"/>
  <c r="Z41" i="11"/>
  <c r="X21" i="11"/>
  <c r="B160" i="4"/>
  <c r="L4" i="2" s="1"/>
  <c r="M4" i="2" s="1"/>
  <c r="B159" i="4"/>
  <c r="B158" i="4"/>
  <c r="B157" i="4"/>
  <c r="B156" i="4"/>
  <c r="B149" i="4"/>
  <c r="B150" i="4"/>
  <c r="B151" i="4"/>
  <c r="B152" i="4"/>
  <c r="B153" i="4"/>
  <c r="B154" i="4"/>
  <c r="B155" i="4"/>
  <c r="B162" i="4" l="1"/>
  <c r="B19" i="7"/>
  <c r="E165" i="1" s="1"/>
  <c r="I4" i="2"/>
  <c r="L381" i="1" s="1"/>
  <c r="B20" i="7"/>
  <c r="J4" i="2"/>
  <c r="M381" i="1" s="1"/>
  <c r="B21" i="7"/>
  <c r="K4" i="2"/>
  <c r="C140" i="4"/>
  <c r="K140" i="4" s="1"/>
  <c r="K128" i="4"/>
  <c r="C20" i="7"/>
  <c r="F166" i="1" s="1"/>
  <c r="J5" i="2"/>
  <c r="M382" i="1" s="1"/>
  <c r="C21" i="7"/>
  <c r="F167" i="1" s="1"/>
  <c r="L158" i="3"/>
  <c r="L157" i="3"/>
  <c r="M157" i="3" s="1"/>
  <c r="N157" i="3" s="1"/>
  <c r="F20" i="7"/>
  <c r="J98" i="4"/>
  <c r="J97" i="4"/>
  <c r="J96" i="4"/>
  <c r="J95" i="4"/>
  <c r="J94" i="4"/>
  <c r="J93" i="4"/>
  <c r="J92" i="4"/>
  <c r="J91" i="4"/>
  <c r="J90" i="4"/>
  <c r="J89" i="4"/>
  <c r="J88" i="4"/>
  <c r="J87" i="4"/>
  <c r="H87" i="4"/>
  <c r="H88" i="4" s="1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D20" i="7" l="1"/>
  <c r="E20" i="7" s="1"/>
  <c r="E166" i="1"/>
  <c r="F21" i="7"/>
  <c r="E167" i="1"/>
  <c r="K6" i="2"/>
  <c r="N381" i="1"/>
  <c r="D21" i="7"/>
  <c r="E21" i="7" s="1"/>
  <c r="J6" i="2"/>
  <c r="M158" i="3"/>
  <c r="N158" i="3" s="1"/>
  <c r="H89" i="4"/>
  <c r="H90" i="4" l="1"/>
  <c r="H91" i="4" s="1"/>
  <c r="H92" i="4" l="1"/>
  <c r="H93" i="4" l="1"/>
  <c r="H94" i="4" l="1"/>
  <c r="H95" i="4" l="1"/>
  <c r="H96" i="4" s="1"/>
  <c r="H97" i="4" s="1"/>
  <c r="H98" i="4" s="1"/>
  <c r="J108" i="7" l="1"/>
  <c r="J109" i="7"/>
  <c r="J110" i="7"/>
  <c r="J107" i="7"/>
  <c r="I106" i="7"/>
  <c r="I105" i="7"/>
  <c r="H102" i="7"/>
  <c r="H103" i="7"/>
  <c r="H104" i="7"/>
  <c r="H101" i="7"/>
  <c r="G111" i="7"/>
  <c r="I111" i="7" l="1"/>
  <c r="H111" i="7"/>
  <c r="J105" i="7"/>
  <c r="J111" i="7" s="1"/>
  <c r="E333" i="1" l="1"/>
  <c r="C41" i="3"/>
  <c r="K41" i="3" s="1"/>
  <c r="L41" i="3" s="1"/>
  <c r="M41" i="3" s="1"/>
  <c r="N41" i="3" s="1"/>
  <c r="E148" i="1" s="1"/>
  <c r="B154" i="3"/>
  <c r="B155" i="3"/>
  <c r="B149" i="3"/>
  <c r="B150" i="3"/>
  <c r="C4" i="2" s="1"/>
  <c r="B151" i="3"/>
  <c r="B14" i="7" s="1"/>
  <c r="E160" i="1" s="1"/>
  <c r="B152" i="3"/>
  <c r="B15" i="7" s="1"/>
  <c r="E161" i="1" s="1"/>
  <c r="B153" i="3"/>
  <c r="F4" i="2" s="1"/>
  <c r="H381" i="1" s="1"/>
  <c r="H39" i="7"/>
  <c r="B30" i="8"/>
  <c r="I39" i="7"/>
  <c r="C30" i="8"/>
  <c r="J39" i="7"/>
  <c r="D30" i="8"/>
  <c r="K39" i="7"/>
  <c r="E30" i="8"/>
  <c r="L39" i="7"/>
  <c r="F30" i="8"/>
  <c r="L40" i="7"/>
  <c r="M39" i="7"/>
  <c r="M55" i="7" s="1"/>
  <c r="G30" i="8"/>
  <c r="C117" i="12"/>
  <c r="E117" i="12" s="1"/>
  <c r="B21" i="9"/>
  <c r="E357" i="1" s="1"/>
  <c r="B22" i="9"/>
  <c r="E358" i="1" s="1"/>
  <c r="B23" i="9"/>
  <c r="E359" i="1" s="1"/>
  <c r="B24" i="9"/>
  <c r="E360" i="1" s="1"/>
  <c r="B25" i="9"/>
  <c r="E361" i="1" s="1"/>
  <c r="B26" i="9"/>
  <c r="E362" i="1" s="1"/>
  <c r="B27" i="9"/>
  <c r="E363" i="1" s="1"/>
  <c r="C21" i="9"/>
  <c r="F357" i="1" s="1"/>
  <c r="C22" i="9"/>
  <c r="F358" i="1" s="1"/>
  <c r="C23" i="9"/>
  <c r="F359" i="1" s="1"/>
  <c r="C24" i="9"/>
  <c r="F360" i="1" s="1"/>
  <c r="C25" i="9"/>
  <c r="F361" i="1" s="1"/>
  <c r="C26" i="9"/>
  <c r="F362" i="1" s="1"/>
  <c r="C27" i="9"/>
  <c r="F363" i="1" s="1"/>
  <c r="D21" i="9"/>
  <c r="G357" i="1" s="1"/>
  <c r="D22" i="9"/>
  <c r="G358" i="1" s="1"/>
  <c r="D23" i="9"/>
  <c r="G359" i="1" s="1"/>
  <c r="D24" i="9"/>
  <c r="G360" i="1" s="1"/>
  <c r="D25" i="9"/>
  <c r="G361" i="1" s="1"/>
  <c r="D26" i="9"/>
  <c r="G362" i="1" s="1"/>
  <c r="D27" i="9"/>
  <c r="G363" i="1" s="1"/>
  <c r="F15" i="2"/>
  <c r="H390" i="1" s="1"/>
  <c r="F19" i="2"/>
  <c r="H394" i="1" s="1"/>
  <c r="F23" i="2"/>
  <c r="H398" i="1" s="1"/>
  <c r="F28" i="2"/>
  <c r="H408" i="1" s="1"/>
  <c r="F33" i="2"/>
  <c r="H403" i="1" s="1"/>
  <c r="F38" i="2"/>
  <c r="H413" i="1" s="1"/>
  <c r="G15" i="2"/>
  <c r="I390" i="1" s="1"/>
  <c r="G19" i="2"/>
  <c r="I394" i="1" s="1"/>
  <c r="G23" i="2"/>
  <c r="I398" i="1" s="1"/>
  <c r="G28" i="2"/>
  <c r="I408" i="1" s="1"/>
  <c r="G33" i="2"/>
  <c r="I403" i="1" s="1"/>
  <c r="G38" i="2"/>
  <c r="I413" i="1" s="1"/>
  <c r="H15" i="2"/>
  <c r="K390" i="1" s="1"/>
  <c r="H19" i="2"/>
  <c r="K394" i="1" s="1"/>
  <c r="H23" i="2"/>
  <c r="K398" i="1" s="1"/>
  <c r="H28" i="2"/>
  <c r="K408" i="1" s="1"/>
  <c r="H33" i="2"/>
  <c r="K403" i="1" s="1"/>
  <c r="H38" i="2"/>
  <c r="K413" i="1" s="1"/>
  <c r="E713" i="1"/>
  <c r="E712" i="1"/>
  <c r="D713" i="1"/>
  <c r="D712" i="1"/>
  <c r="C713" i="1"/>
  <c r="C712" i="1"/>
  <c r="E708" i="1"/>
  <c r="D708" i="1"/>
  <c r="E707" i="1"/>
  <c r="D707" i="1"/>
  <c r="E706" i="1"/>
  <c r="D706" i="1"/>
  <c r="C708" i="1"/>
  <c r="C707" i="1"/>
  <c r="C706" i="1"/>
  <c r="E702" i="1"/>
  <c r="D702" i="1"/>
  <c r="E701" i="1"/>
  <c r="D701" i="1"/>
  <c r="K667" i="1"/>
  <c r="E700" i="1" s="1"/>
  <c r="D700" i="1"/>
  <c r="E699" i="1"/>
  <c r="D699" i="1"/>
  <c r="C699" i="1"/>
  <c r="C702" i="1"/>
  <c r="C701" i="1"/>
  <c r="C700" i="1"/>
  <c r="E695" i="1"/>
  <c r="D695" i="1"/>
  <c r="E694" i="1"/>
  <c r="D694" i="1"/>
  <c r="E693" i="1"/>
  <c r="D693" i="1"/>
  <c r="C693" i="1"/>
  <c r="C695" i="1"/>
  <c r="C694" i="1"/>
  <c r="E689" i="1"/>
  <c r="D689" i="1"/>
  <c r="E688" i="1"/>
  <c r="D688" i="1"/>
  <c r="E687" i="1"/>
  <c r="D687" i="1"/>
  <c r="C689" i="1"/>
  <c r="C688" i="1"/>
  <c r="C687" i="1"/>
  <c r="C681" i="1"/>
  <c r="C683" i="1"/>
  <c r="C682" i="1"/>
  <c r="E683" i="1"/>
  <c r="D683" i="1"/>
  <c r="E682" i="1"/>
  <c r="D682" i="1"/>
  <c r="E681" i="1"/>
  <c r="D681" i="1"/>
  <c r="O668" i="1"/>
  <c r="Q668" i="1"/>
  <c r="M668" i="1"/>
  <c r="K668" i="1"/>
  <c r="H668" i="1"/>
  <c r="F668" i="1"/>
  <c r="M674" i="1"/>
  <c r="O674" i="1"/>
  <c r="K674" i="1"/>
  <c r="H674" i="1"/>
  <c r="F674" i="1"/>
  <c r="Q670" i="1"/>
  <c r="O670" i="1"/>
  <c r="M670" i="1"/>
  <c r="K670" i="1"/>
  <c r="H670" i="1"/>
  <c r="F670" i="1"/>
  <c r="Q661" i="1"/>
  <c r="Q662" i="1"/>
  <c r="Q663" i="1"/>
  <c r="Q664" i="1"/>
  <c r="Q665" i="1"/>
  <c r="Q666" i="1"/>
  <c r="Q667" i="1"/>
  <c r="Q669" i="1"/>
  <c r="Q671" i="1"/>
  <c r="Q672" i="1"/>
  <c r="Q673" i="1"/>
  <c r="Q675" i="1"/>
  <c r="P676" i="1"/>
  <c r="O661" i="1"/>
  <c r="O662" i="1"/>
  <c r="O663" i="1"/>
  <c r="O664" i="1"/>
  <c r="O665" i="1"/>
  <c r="O666" i="1"/>
  <c r="O667" i="1"/>
  <c r="O669" i="1"/>
  <c r="O671" i="1"/>
  <c r="O672" i="1"/>
  <c r="O673" i="1"/>
  <c r="O675" i="1"/>
  <c r="H34" i="2"/>
  <c r="K404" i="1" s="1"/>
  <c r="H29" i="2"/>
  <c r="K409" i="1" s="1"/>
  <c r="H24" i="2"/>
  <c r="K399" i="1" s="1"/>
  <c r="H37" i="2"/>
  <c r="K412" i="1" s="1"/>
  <c r="H32" i="2"/>
  <c r="K402" i="1" s="1"/>
  <c r="H27" i="2"/>
  <c r="K407" i="1" s="1"/>
  <c r="H22" i="2"/>
  <c r="K397" i="1" s="1"/>
  <c r="H18" i="2"/>
  <c r="K393" i="1" s="1"/>
  <c r="H14" i="2"/>
  <c r="K389" i="1" s="1"/>
  <c r="E537" i="1"/>
  <c r="E536" i="1"/>
  <c r="E534" i="1"/>
  <c r="E533" i="1"/>
  <c r="E532" i="1"/>
  <c r="F461" i="1"/>
  <c r="F460" i="1"/>
  <c r="F459" i="1"/>
  <c r="F458" i="1"/>
  <c r="F457" i="1"/>
  <c r="F456" i="1"/>
  <c r="F422" i="1"/>
  <c r="F427" i="1"/>
  <c r="E461" i="1" s="1"/>
  <c r="F426" i="1"/>
  <c r="E460" i="1" s="1"/>
  <c r="F425" i="1"/>
  <c r="E459" i="1" s="1"/>
  <c r="F424" i="1"/>
  <c r="E458" i="1" s="1"/>
  <c r="F423" i="1"/>
  <c r="E457" i="1" s="1"/>
  <c r="E427" i="1"/>
  <c r="E426" i="1"/>
  <c r="E425" i="1"/>
  <c r="E424" i="1"/>
  <c r="E423" i="1"/>
  <c r="E422" i="1"/>
  <c r="G34" i="2"/>
  <c r="I404" i="1" s="1"/>
  <c r="H53" i="1"/>
  <c r="I53" i="1"/>
  <c r="E53" i="1"/>
  <c r="F53" i="1"/>
  <c r="F105" i="1" s="1"/>
  <c r="G53" i="1"/>
  <c r="G105" i="1" s="1"/>
  <c r="K53" i="1"/>
  <c r="G37" i="2"/>
  <c r="I412" i="1" s="1"/>
  <c r="K61" i="1"/>
  <c r="K82" i="1"/>
  <c r="M38" i="7"/>
  <c r="M33" i="7"/>
  <c r="M34" i="7"/>
  <c r="M35" i="7"/>
  <c r="M36" i="7"/>
  <c r="M37" i="7"/>
  <c r="I61" i="1"/>
  <c r="I82" i="1"/>
  <c r="L38" i="7"/>
  <c r="L33" i="7"/>
  <c r="L34" i="7"/>
  <c r="L35" i="7"/>
  <c r="L36" i="7"/>
  <c r="L37" i="7"/>
  <c r="H61" i="1"/>
  <c r="H82" i="1"/>
  <c r="K38" i="7"/>
  <c r="K33" i="7"/>
  <c r="K34" i="7"/>
  <c r="K35" i="7"/>
  <c r="K36" i="7"/>
  <c r="K37" i="7"/>
  <c r="G61" i="1"/>
  <c r="G82" i="1"/>
  <c r="J38" i="7"/>
  <c r="J33" i="7"/>
  <c r="J34" i="7"/>
  <c r="J35" i="7"/>
  <c r="J36" i="7"/>
  <c r="J37" i="7"/>
  <c r="F61" i="1"/>
  <c r="F82" i="1"/>
  <c r="I38" i="7"/>
  <c r="I33" i="7"/>
  <c r="I34" i="7"/>
  <c r="I35" i="7"/>
  <c r="I36" i="7"/>
  <c r="I37" i="7"/>
  <c r="E61" i="1"/>
  <c r="E82" i="1"/>
  <c r="H38" i="7"/>
  <c r="H33" i="7"/>
  <c r="H34" i="7"/>
  <c r="H35" i="7"/>
  <c r="H36" i="7"/>
  <c r="H37" i="7"/>
  <c r="V309" i="1"/>
  <c r="V310" i="1"/>
  <c r="V311" i="1"/>
  <c r="V312" i="1"/>
  <c r="V313" i="1"/>
  <c r="V314" i="1"/>
  <c r="U301" i="1"/>
  <c r="U295" i="1" s="1"/>
  <c r="U299" i="1" s="1"/>
  <c r="U302" i="1"/>
  <c r="U310" i="1" s="1"/>
  <c r="U303" i="1"/>
  <c r="U311" i="1" s="1"/>
  <c r="U304" i="1"/>
  <c r="U312" i="1" s="1"/>
  <c r="T301" i="1"/>
  <c r="T309" i="1" s="1"/>
  <c r="T315" i="1" s="1"/>
  <c r="T302" i="1"/>
  <c r="T296" i="1" s="1"/>
  <c r="T303" i="1"/>
  <c r="T311" i="1" s="1"/>
  <c r="S301" i="1"/>
  <c r="S305" i="1" s="1"/>
  <c r="S302" i="1"/>
  <c r="S296" i="1" s="1"/>
  <c r="V296" i="1" s="1"/>
  <c r="R301" i="1"/>
  <c r="R305" i="1" s="1"/>
  <c r="W309" i="1"/>
  <c r="W310" i="1"/>
  <c r="W311" i="1"/>
  <c r="W312" i="1"/>
  <c r="W313" i="1"/>
  <c r="W314" i="1"/>
  <c r="K59" i="1"/>
  <c r="K80" i="1"/>
  <c r="I59" i="1"/>
  <c r="I80" i="1"/>
  <c r="H59" i="1"/>
  <c r="H80" i="1"/>
  <c r="G59" i="1"/>
  <c r="G80" i="1"/>
  <c r="F59" i="1"/>
  <c r="F80" i="1"/>
  <c r="E59" i="1"/>
  <c r="E80" i="1"/>
  <c r="A18" i="7"/>
  <c r="A39" i="7" s="1"/>
  <c r="A54" i="7" s="1"/>
  <c r="A17" i="7"/>
  <c r="A38" i="7" s="1"/>
  <c r="A53" i="7" s="1"/>
  <c r="K60" i="1"/>
  <c r="K81" i="1"/>
  <c r="I60" i="1"/>
  <c r="I81" i="1"/>
  <c r="H60" i="1"/>
  <c r="H81" i="1"/>
  <c r="G60" i="1"/>
  <c r="G81" i="1"/>
  <c r="F60" i="1"/>
  <c r="F81" i="1"/>
  <c r="E60" i="1"/>
  <c r="E81" i="1"/>
  <c r="I194" i="3"/>
  <c r="I193" i="3"/>
  <c r="I192" i="3"/>
  <c r="I191" i="3"/>
  <c r="I190" i="3"/>
  <c r="I189" i="3"/>
  <c r="I188" i="3"/>
  <c r="I187" i="3"/>
  <c r="I186" i="3"/>
  <c r="I185" i="3"/>
  <c r="I184" i="3"/>
  <c r="I183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K62" i="1"/>
  <c r="I62" i="1"/>
  <c r="H62" i="1"/>
  <c r="G62" i="1"/>
  <c r="F62" i="1"/>
  <c r="E62" i="1"/>
  <c r="B46" i="2"/>
  <c r="G13" i="7"/>
  <c r="C46" i="2" s="1"/>
  <c r="G14" i="7"/>
  <c r="D10" i="2" s="1"/>
  <c r="E35" i="1" s="1"/>
  <c r="G18" i="7"/>
  <c r="E31" i="1"/>
  <c r="B14" i="2"/>
  <c r="B18" i="2"/>
  <c r="B22" i="2"/>
  <c r="B27" i="2"/>
  <c r="B32" i="2"/>
  <c r="B37" i="2"/>
  <c r="C14" i="2"/>
  <c r="C18" i="2"/>
  <c r="C22" i="2"/>
  <c r="C27" i="2"/>
  <c r="C32" i="2"/>
  <c r="C37" i="2"/>
  <c r="D14" i="2"/>
  <c r="F389" i="1" s="1"/>
  <c r="F433" i="1" s="1"/>
  <c r="G433" i="1" s="1"/>
  <c r="D18" i="2"/>
  <c r="D22" i="2"/>
  <c r="F397" i="1" s="1"/>
  <c r="D27" i="2"/>
  <c r="F407" i="1" s="1"/>
  <c r="F436" i="1" s="1"/>
  <c r="D32" i="2"/>
  <c r="F402" i="1" s="1"/>
  <c r="F437" i="1" s="1"/>
  <c r="D37" i="2"/>
  <c r="F412" i="1" s="1"/>
  <c r="F438" i="1" s="1"/>
  <c r="G438" i="1" s="1"/>
  <c r="G15" i="7"/>
  <c r="E10" i="2" s="1"/>
  <c r="E36" i="1" s="1"/>
  <c r="E14" i="2"/>
  <c r="G389" i="1" s="1"/>
  <c r="E18" i="2"/>
  <c r="G393" i="1" s="1"/>
  <c r="E22" i="2"/>
  <c r="G397" i="1" s="1"/>
  <c r="E27" i="2"/>
  <c r="G407" i="1" s="1"/>
  <c r="E32" i="2"/>
  <c r="G402" i="1" s="1"/>
  <c r="E37" i="2"/>
  <c r="G412" i="1" s="1"/>
  <c r="G16" i="7"/>
  <c r="F10" i="2" s="1"/>
  <c r="E37" i="1" s="1"/>
  <c r="F14" i="2"/>
  <c r="H389" i="1" s="1"/>
  <c r="F18" i="2"/>
  <c r="H393" i="1" s="1"/>
  <c r="F22" i="2"/>
  <c r="H397" i="1" s="1"/>
  <c r="F27" i="2"/>
  <c r="H407" i="1" s="1"/>
  <c r="F32" i="2"/>
  <c r="H402" i="1" s="1"/>
  <c r="F37" i="2"/>
  <c r="H412" i="1" s="1"/>
  <c r="G46" i="2"/>
  <c r="G14" i="2"/>
  <c r="I389" i="1" s="1"/>
  <c r="G18" i="2"/>
  <c r="I393" i="1" s="1"/>
  <c r="G22" i="2"/>
  <c r="I397" i="1" s="1"/>
  <c r="G27" i="2"/>
  <c r="I407" i="1" s="1"/>
  <c r="G32" i="2"/>
  <c r="I402" i="1" s="1"/>
  <c r="H87" i="3"/>
  <c r="H88" i="3" s="1"/>
  <c r="G29" i="8"/>
  <c r="F29" i="8"/>
  <c r="E29" i="8"/>
  <c r="D29" i="8"/>
  <c r="C29" i="8"/>
  <c r="B29" i="8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V41" i="11"/>
  <c r="W41" i="11"/>
  <c r="V21" i="11"/>
  <c r="W21" i="11"/>
  <c r="C22" i="12"/>
  <c r="K22" i="12" s="1"/>
  <c r="C23" i="12"/>
  <c r="K23" i="12" s="1"/>
  <c r="D15" i="2"/>
  <c r="D19" i="2"/>
  <c r="D24" i="2"/>
  <c r="D29" i="2"/>
  <c r="F409" i="1" s="1"/>
  <c r="D34" i="2"/>
  <c r="F404" i="1" s="1"/>
  <c r="L437" i="1" s="1"/>
  <c r="M437" i="1" s="1"/>
  <c r="D38" i="2"/>
  <c r="F413" i="1" s="1"/>
  <c r="I438" i="1" s="1"/>
  <c r="F450" i="1" s="1"/>
  <c r="D676" i="1"/>
  <c r="N676" i="1"/>
  <c r="L676" i="1"/>
  <c r="I676" i="1"/>
  <c r="G676" i="1"/>
  <c r="E676" i="1"/>
  <c r="M675" i="1"/>
  <c r="M673" i="1"/>
  <c r="M672" i="1"/>
  <c r="M671" i="1"/>
  <c r="M669" i="1"/>
  <c r="M667" i="1"/>
  <c r="M666" i="1"/>
  <c r="M665" i="1"/>
  <c r="M661" i="1"/>
  <c r="M662" i="1"/>
  <c r="M663" i="1"/>
  <c r="M664" i="1"/>
  <c r="K675" i="1"/>
  <c r="K673" i="1"/>
  <c r="K672" i="1"/>
  <c r="K671" i="1"/>
  <c r="K669" i="1"/>
  <c r="K666" i="1"/>
  <c r="K665" i="1"/>
  <c r="K664" i="1"/>
  <c r="K663" i="1"/>
  <c r="K662" i="1"/>
  <c r="K661" i="1"/>
  <c r="H675" i="1"/>
  <c r="H673" i="1"/>
  <c r="H672" i="1"/>
  <c r="H671" i="1"/>
  <c r="H669" i="1"/>
  <c r="H667" i="1"/>
  <c r="H666" i="1"/>
  <c r="H665" i="1"/>
  <c r="H664" i="1"/>
  <c r="H663" i="1"/>
  <c r="H662" i="1"/>
  <c r="H661" i="1"/>
  <c r="F675" i="1"/>
  <c r="F673" i="1"/>
  <c r="F672" i="1"/>
  <c r="F671" i="1"/>
  <c r="F669" i="1"/>
  <c r="F667" i="1"/>
  <c r="F666" i="1"/>
  <c r="F665" i="1"/>
  <c r="F664" i="1"/>
  <c r="F663" i="1"/>
  <c r="F662" i="1"/>
  <c r="F661" i="1"/>
  <c r="D63" i="12"/>
  <c r="N21" i="12"/>
  <c r="F25" i="12"/>
  <c r="O45" i="2"/>
  <c r="O46" i="2" s="1"/>
  <c r="O47" i="2" s="1"/>
  <c r="E20" i="9"/>
  <c r="Z29" i="2"/>
  <c r="AA31" i="2" s="1"/>
  <c r="Z22" i="2"/>
  <c r="AA24" i="2" s="1"/>
  <c r="H343" i="1"/>
  <c r="H268" i="1"/>
  <c r="F268" i="1"/>
  <c r="E268" i="1"/>
  <c r="D268" i="1"/>
  <c r="C268" i="1"/>
  <c r="B268" i="1"/>
  <c r="L74" i="1"/>
  <c r="K79" i="1"/>
  <c r="K78" i="1"/>
  <c r="K77" i="1"/>
  <c r="I79" i="1"/>
  <c r="I78" i="1"/>
  <c r="I77" i="1"/>
  <c r="H79" i="1"/>
  <c r="H78" i="1"/>
  <c r="H77" i="1"/>
  <c r="G79" i="1"/>
  <c r="G78" i="1"/>
  <c r="G77" i="1"/>
  <c r="E77" i="1"/>
  <c r="F77" i="1"/>
  <c r="F79" i="1"/>
  <c r="F78" i="1"/>
  <c r="E79" i="1"/>
  <c r="E78" i="1"/>
  <c r="F55" i="1"/>
  <c r="G55" i="1"/>
  <c r="H55" i="1"/>
  <c r="I55" i="1"/>
  <c r="K55" i="1"/>
  <c r="F56" i="1"/>
  <c r="G56" i="1"/>
  <c r="H56" i="1"/>
  <c r="I56" i="1"/>
  <c r="K56" i="1"/>
  <c r="F57" i="1"/>
  <c r="G57" i="1"/>
  <c r="H57" i="1"/>
  <c r="I57" i="1"/>
  <c r="K57" i="1"/>
  <c r="F58" i="1"/>
  <c r="G58" i="1"/>
  <c r="H58" i="1"/>
  <c r="I58" i="1"/>
  <c r="K58" i="1"/>
  <c r="E55" i="1"/>
  <c r="E56" i="1"/>
  <c r="E57" i="1"/>
  <c r="E58" i="1"/>
  <c r="L24" i="12"/>
  <c r="E38" i="2"/>
  <c r="C38" i="2"/>
  <c r="B38" i="2"/>
  <c r="H10" i="8"/>
  <c r="F45" i="2" s="1"/>
  <c r="H9" i="8"/>
  <c r="E45" i="2" s="1"/>
  <c r="H8" i="8"/>
  <c r="D45" i="2" s="1"/>
  <c r="H7" i="8"/>
  <c r="C45" i="2" s="1"/>
  <c r="H6" i="8"/>
  <c r="B45" i="2" s="1"/>
  <c r="H5" i="8"/>
  <c r="H4" i="8"/>
  <c r="H3" i="8"/>
  <c r="I10" i="8"/>
  <c r="I9" i="8"/>
  <c r="I8" i="8"/>
  <c r="I7" i="8"/>
  <c r="I6" i="8"/>
  <c r="I5" i="8"/>
  <c r="I4" i="8"/>
  <c r="I3" i="8"/>
  <c r="N24" i="12"/>
  <c r="F24" i="12"/>
  <c r="F27" i="12"/>
  <c r="N27" i="12"/>
  <c r="N26" i="12"/>
  <c r="F21" i="12"/>
  <c r="B74" i="8"/>
  <c r="B84" i="8" s="1"/>
  <c r="G2" i="8"/>
  <c r="T10" i="11"/>
  <c r="A12" i="7"/>
  <c r="A33" i="7" s="1"/>
  <c r="A48" i="7" s="1"/>
  <c r="A13" i="7"/>
  <c r="A34" i="7" s="1"/>
  <c r="A49" i="7" s="1"/>
  <c r="A14" i="7"/>
  <c r="A35" i="7" s="1"/>
  <c r="A50" i="7" s="1"/>
  <c r="A15" i="7"/>
  <c r="A36" i="7" s="1"/>
  <c r="A51" i="7" s="1"/>
  <c r="A16" i="7"/>
  <c r="A37" i="7" s="1"/>
  <c r="A52" i="7" s="1"/>
  <c r="D92" i="12"/>
  <c r="D105" i="12" s="1"/>
  <c r="D91" i="12"/>
  <c r="D104" i="12" s="1"/>
  <c r="D90" i="12"/>
  <c r="D88" i="12"/>
  <c r="D101" i="12" s="1"/>
  <c r="D87" i="12"/>
  <c r="D100" i="12" s="1"/>
  <c r="D86" i="12"/>
  <c r="D85" i="12"/>
  <c r="D98" i="12" s="1"/>
  <c r="D84" i="12"/>
  <c r="D97" i="12" s="1"/>
  <c r="D66" i="12"/>
  <c r="D65" i="12"/>
  <c r="D64" i="12"/>
  <c r="D62" i="12"/>
  <c r="D61" i="12"/>
  <c r="D60" i="12"/>
  <c r="D59" i="12"/>
  <c r="D58" i="12"/>
  <c r="L27" i="12"/>
  <c r="L26" i="12"/>
  <c r="L25" i="12"/>
  <c r="L23" i="12"/>
  <c r="L22" i="12"/>
  <c r="L21" i="12"/>
  <c r="L20" i="12"/>
  <c r="L19" i="12"/>
  <c r="L32" i="12" s="1"/>
  <c r="B27" i="12"/>
  <c r="J27" i="12" s="1"/>
  <c r="B53" i="12" s="1"/>
  <c r="B66" i="12" s="1"/>
  <c r="B79" i="12" s="1"/>
  <c r="B92" i="12" s="1"/>
  <c r="B105" i="12" s="1"/>
  <c r="B118" i="12" s="1"/>
  <c r="B26" i="12"/>
  <c r="J26" i="12" s="1"/>
  <c r="B52" i="12" s="1"/>
  <c r="B65" i="12" s="1"/>
  <c r="B78" i="12" s="1"/>
  <c r="B91" i="12" s="1"/>
  <c r="B104" i="12" s="1"/>
  <c r="B117" i="12" s="1"/>
  <c r="B25" i="12"/>
  <c r="J25" i="12" s="1"/>
  <c r="B51" i="12" s="1"/>
  <c r="B64" i="12" s="1"/>
  <c r="B77" i="12" s="1"/>
  <c r="B90" i="12" s="1"/>
  <c r="B103" i="12" s="1"/>
  <c r="B116" i="12" s="1"/>
  <c r="B23" i="12"/>
  <c r="J23" i="12" s="1"/>
  <c r="B49" i="12" s="1"/>
  <c r="B62" i="12" s="1"/>
  <c r="B75" i="12" s="1"/>
  <c r="B88" i="12" s="1"/>
  <c r="B101" i="12" s="1"/>
  <c r="B114" i="12" s="1"/>
  <c r="B22" i="12"/>
  <c r="J22" i="12" s="1"/>
  <c r="B48" i="12" s="1"/>
  <c r="B61" i="12" s="1"/>
  <c r="B74" i="12" s="1"/>
  <c r="B87" i="12" s="1"/>
  <c r="B100" i="12" s="1"/>
  <c r="B113" i="12" s="1"/>
  <c r="B21" i="12"/>
  <c r="J21" i="12" s="1"/>
  <c r="B47" i="12" s="1"/>
  <c r="B60" i="12" s="1"/>
  <c r="B73" i="12" s="1"/>
  <c r="B86" i="12" s="1"/>
  <c r="B99" i="12" s="1"/>
  <c r="B112" i="12" s="1"/>
  <c r="B20" i="12"/>
  <c r="J20" i="12" s="1"/>
  <c r="B46" i="12" s="1"/>
  <c r="B59" i="12" s="1"/>
  <c r="B72" i="12" s="1"/>
  <c r="B85" i="12" s="1"/>
  <c r="B98" i="12" s="1"/>
  <c r="B111" i="12" s="1"/>
  <c r="B19" i="12"/>
  <c r="J19" i="12"/>
  <c r="B45" i="12" s="1"/>
  <c r="B58" i="12" s="1"/>
  <c r="B71" i="12" s="1"/>
  <c r="B84" i="12" s="1"/>
  <c r="B97" i="12" s="1"/>
  <c r="B110" i="12" s="1"/>
  <c r="R41" i="11"/>
  <c r="R21" i="11"/>
  <c r="Q41" i="11"/>
  <c r="Q21" i="11"/>
  <c r="P41" i="11"/>
  <c r="P21" i="11"/>
  <c r="O41" i="11"/>
  <c r="O21" i="11"/>
  <c r="N41" i="11"/>
  <c r="N21" i="11"/>
  <c r="M41" i="11"/>
  <c r="M21" i="11"/>
  <c r="L21" i="11"/>
  <c r="J41" i="11"/>
  <c r="I41" i="11"/>
  <c r="I21" i="11"/>
  <c r="H21" i="11"/>
  <c r="G41" i="11"/>
  <c r="G21" i="11"/>
  <c r="F21" i="11"/>
  <c r="E41" i="11"/>
  <c r="E21" i="11"/>
  <c r="D21" i="11"/>
  <c r="C41" i="11"/>
  <c r="B21" i="11"/>
  <c r="F41" i="11"/>
  <c r="D41" i="11"/>
  <c r="K21" i="11"/>
  <c r="J21" i="11"/>
  <c r="C21" i="11"/>
  <c r="L41" i="11"/>
  <c r="K41" i="11"/>
  <c r="H41" i="11"/>
  <c r="B41" i="11"/>
  <c r="G23" i="8"/>
  <c r="A36" i="2"/>
  <c r="G24" i="8"/>
  <c r="G25" i="8"/>
  <c r="G26" i="8"/>
  <c r="G27" i="8"/>
  <c r="G28" i="8"/>
  <c r="E23" i="2"/>
  <c r="G398" i="1" s="1"/>
  <c r="I469" i="1" s="1"/>
  <c r="J469" i="1" s="1"/>
  <c r="C15" i="2"/>
  <c r="D28" i="2"/>
  <c r="C23" i="2"/>
  <c r="F25" i="8"/>
  <c r="E25" i="8"/>
  <c r="B25" i="8"/>
  <c r="B23" i="8"/>
  <c r="B24" i="8"/>
  <c r="C22" i="8"/>
  <c r="D23" i="8"/>
  <c r="D24" i="8"/>
  <c r="B33" i="2"/>
  <c r="B28" i="2"/>
  <c r="B23" i="2"/>
  <c r="B19" i="2"/>
  <c r="B15" i="2"/>
  <c r="E22" i="8"/>
  <c r="E23" i="8"/>
  <c r="E24" i="8"/>
  <c r="F22" i="8"/>
  <c r="F23" i="8"/>
  <c r="F24" i="8"/>
  <c r="C2" i="8"/>
  <c r="D2" i="8"/>
  <c r="B1" i="9" s="1"/>
  <c r="E2" i="8"/>
  <c r="C1" i="9" s="1"/>
  <c r="F2" i="8"/>
  <c r="D1" i="9" s="1"/>
  <c r="B2" i="8"/>
  <c r="H74" i="8"/>
  <c r="H94" i="8" s="1"/>
  <c r="H75" i="8"/>
  <c r="H95" i="8" s="1"/>
  <c r="B75" i="8"/>
  <c r="B85" i="8" s="1"/>
  <c r="F74" i="8"/>
  <c r="F84" i="8" s="1"/>
  <c r="F75" i="8"/>
  <c r="F85" i="8" s="1"/>
  <c r="E74" i="8"/>
  <c r="E84" i="8" s="1"/>
  <c r="E75" i="8"/>
  <c r="D73" i="8"/>
  <c r="D83" i="8" s="1"/>
  <c r="C74" i="8"/>
  <c r="C84" i="8" s="1"/>
  <c r="A31" i="2"/>
  <c r="A26" i="2"/>
  <c r="A21" i="2"/>
  <c r="A17" i="2"/>
  <c r="A13" i="2"/>
  <c r="B29" i="2"/>
  <c r="D22" i="8"/>
  <c r="C23" i="8"/>
  <c r="C24" i="8"/>
  <c r="B22" i="8"/>
  <c r="D33" i="2"/>
  <c r="F403" i="1" s="1"/>
  <c r="F28" i="8"/>
  <c r="C27" i="8"/>
  <c r="B26" i="8"/>
  <c r="B28" i="8"/>
  <c r="E15" i="2"/>
  <c r="G390" i="1" s="1"/>
  <c r="E33" i="2"/>
  <c r="G403" i="1" s="1"/>
  <c r="I471" i="1" s="1"/>
  <c r="J471" i="1" s="1"/>
  <c r="E28" i="2"/>
  <c r="G408" i="1" s="1"/>
  <c r="I470" i="1" s="1"/>
  <c r="J470" i="1" s="1"/>
  <c r="E19" i="2"/>
  <c r="G394" i="1" s="1"/>
  <c r="D28" i="8"/>
  <c r="B27" i="8"/>
  <c r="C28" i="8"/>
  <c r="C26" i="8"/>
  <c r="C28" i="2"/>
  <c r="E24" i="2"/>
  <c r="G399" i="1" s="1"/>
  <c r="C34" i="2"/>
  <c r="C24" i="2"/>
  <c r="E29" i="2"/>
  <c r="G409" i="1" s="1"/>
  <c r="F34" i="2"/>
  <c r="H404" i="1" s="1"/>
  <c r="S21" i="11"/>
  <c r="D171" i="3"/>
  <c r="C173" i="3"/>
  <c r="D173" i="3"/>
  <c r="C177" i="3"/>
  <c r="T21" i="11"/>
  <c r="U21" i="11"/>
  <c r="D189" i="3"/>
  <c r="D177" i="3"/>
  <c r="T41" i="11"/>
  <c r="U41" i="11"/>
  <c r="D184" i="3"/>
  <c r="C172" i="3"/>
  <c r="C174" i="3"/>
  <c r="C190" i="3"/>
  <c r="C176" i="3"/>
  <c r="D176" i="3"/>
  <c r="C192" i="3"/>
  <c r="D192" i="3"/>
  <c r="C194" i="3"/>
  <c r="D194" i="3"/>
  <c r="C180" i="3"/>
  <c r="D172" i="3"/>
  <c r="D188" i="3"/>
  <c r="D180" i="3"/>
  <c r="E9" i="9"/>
  <c r="F47" i="2" s="1"/>
  <c r="D23" i="2"/>
  <c r="F398" i="1" s="1"/>
  <c r="E7" i="9"/>
  <c r="D47" i="2" s="1"/>
  <c r="C33" i="2"/>
  <c r="C29" i="2"/>
  <c r="E4" i="9"/>
  <c r="E6" i="9"/>
  <c r="C47" i="2" s="1"/>
  <c r="E5" i="9"/>
  <c r="B47" i="2" s="1"/>
  <c r="B24" i="2"/>
  <c r="D25" i="8"/>
  <c r="D74" i="8"/>
  <c r="D84" i="8" s="1"/>
  <c r="B34" i="2"/>
  <c r="E85" i="8"/>
  <c r="F26" i="8"/>
  <c r="F27" i="8"/>
  <c r="E3" i="9"/>
  <c r="C25" i="8"/>
  <c r="C75" i="8"/>
  <c r="C85" i="8" s="1"/>
  <c r="F24" i="2"/>
  <c r="H399" i="1" s="1"/>
  <c r="D26" i="8"/>
  <c r="D27" i="8"/>
  <c r="F29" i="2"/>
  <c r="H409" i="1" s="1"/>
  <c r="E27" i="8"/>
  <c r="E28" i="8"/>
  <c r="E34" i="2"/>
  <c r="G404" i="1" s="1"/>
  <c r="E8" i="9"/>
  <c r="E47" i="2" s="1"/>
  <c r="E26" i="8"/>
  <c r="C19" i="2"/>
  <c r="D169" i="3"/>
  <c r="C169" i="3"/>
  <c r="S41" i="11"/>
  <c r="E2" i="9"/>
  <c r="H11" i="8"/>
  <c r="G45" i="2" s="1"/>
  <c r="C27" i="12"/>
  <c r="E27" i="12" s="1"/>
  <c r="E49" i="12"/>
  <c r="G49" i="12" s="1"/>
  <c r="E53" i="12"/>
  <c r="E66" i="12" s="1"/>
  <c r="G66" i="12" s="1"/>
  <c r="E48" i="12"/>
  <c r="E61" i="12" s="1"/>
  <c r="G61" i="12" s="1"/>
  <c r="E23" i="12"/>
  <c r="H12" i="8"/>
  <c r="H45" i="2" s="1"/>
  <c r="G29" i="2"/>
  <c r="I409" i="1" s="1"/>
  <c r="E10" i="9"/>
  <c r="G47" i="2" s="1"/>
  <c r="G24" i="2"/>
  <c r="I399" i="1" s="1"/>
  <c r="E11" i="9"/>
  <c r="H47" i="2" s="1"/>
  <c r="G437" i="1" l="1"/>
  <c r="F449" i="1"/>
  <c r="G436" i="1"/>
  <c r="F448" i="1"/>
  <c r="D33" i="14"/>
  <c r="E33" i="14" s="1"/>
  <c r="G33" i="14" s="1"/>
  <c r="L33" i="12"/>
  <c r="D37" i="14"/>
  <c r="E37" i="14" s="1"/>
  <c r="G37" i="14" s="1"/>
  <c r="L37" i="12"/>
  <c r="D34" i="14"/>
  <c r="E34" i="14" s="1"/>
  <c r="G34" i="14" s="1"/>
  <c r="L34" i="12"/>
  <c r="D35" i="14"/>
  <c r="E35" i="14" s="1"/>
  <c r="G35" i="14" s="1"/>
  <c r="L35" i="12"/>
  <c r="D36" i="14"/>
  <c r="E36" i="14" s="1"/>
  <c r="G36" i="14" s="1"/>
  <c r="L36" i="12"/>
  <c r="D38" i="14"/>
  <c r="E38" i="14" s="1"/>
  <c r="G38" i="14" s="1"/>
  <c r="L38" i="12"/>
  <c r="D39" i="14"/>
  <c r="E39" i="14" s="1"/>
  <c r="G39" i="14" s="1"/>
  <c r="L39" i="12"/>
  <c r="D40" i="14"/>
  <c r="E40" i="14" s="1"/>
  <c r="G40" i="14" s="1"/>
  <c r="L40" i="12"/>
  <c r="K418" i="1"/>
  <c r="J438" i="1"/>
  <c r="H472" i="1"/>
  <c r="H417" i="1"/>
  <c r="K470" i="1"/>
  <c r="L436" i="1"/>
  <c r="E469" i="1"/>
  <c r="F435" i="1"/>
  <c r="H418" i="1"/>
  <c r="I418" i="1"/>
  <c r="I416" i="1"/>
  <c r="I417" i="1"/>
  <c r="K416" i="1"/>
  <c r="F394" i="1"/>
  <c r="G416" i="1"/>
  <c r="F390" i="1"/>
  <c r="I433" i="1" s="1"/>
  <c r="F445" i="1" s="1"/>
  <c r="H416" i="1"/>
  <c r="G418" i="1"/>
  <c r="G413" i="1"/>
  <c r="G417" i="1" s="1"/>
  <c r="F393" i="1"/>
  <c r="K417" i="1"/>
  <c r="G4" i="2"/>
  <c r="I381" i="1" s="1"/>
  <c r="B18" i="7"/>
  <c r="E105" i="1"/>
  <c r="G480" i="1"/>
  <c r="F712" i="1"/>
  <c r="G457" i="1"/>
  <c r="F707" i="1"/>
  <c r="H105" i="1"/>
  <c r="G458" i="1"/>
  <c r="T305" i="1"/>
  <c r="G423" i="1"/>
  <c r="H423" i="1" s="1"/>
  <c r="V302" i="1"/>
  <c r="F700" i="1"/>
  <c r="F713" i="1"/>
  <c r="G479" i="1"/>
  <c r="F701" i="1"/>
  <c r="E92" i="12"/>
  <c r="G92" i="12" s="1"/>
  <c r="G27" i="12"/>
  <c r="E88" i="12"/>
  <c r="G88" i="12" s="1"/>
  <c r="G53" i="12"/>
  <c r="E62" i="12"/>
  <c r="G62" i="12" s="1"/>
  <c r="E39" i="8"/>
  <c r="E41" i="8" s="1"/>
  <c r="G39" i="8"/>
  <c r="E158" i="1"/>
  <c r="B162" i="3"/>
  <c r="D39" i="8"/>
  <c r="F20" i="12"/>
  <c r="F22" i="12"/>
  <c r="B39" i="8"/>
  <c r="L43" i="11"/>
  <c r="F26" i="12"/>
  <c r="M22" i="12"/>
  <c r="K23" i="11"/>
  <c r="F23" i="12"/>
  <c r="G23" i="12" s="1"/>
  <c r="C125" i="3"/>
  <c r="K125" i="3" s="1"/>
  <c r="F39" i="8"/>
  <c r="F41" i="8" s="1"/>
  <c r="AC10" i="11"/>
  <c r="C185" i="3" s="1"/>
  <c r="AB10" i="11"/>
  <c r="G48" i="12"/>
  <c r="C39" i="8"/>
  <c r="L55" i="7"/>
  <c r="L56" i="7"/>
  <c r="F682" i="1"/>
  <c r="V304" i="1"/>
  <c r="F687" i="1"/>
  <c r="G478" i="1"/>
  <c r="G461" i="1"/>
  <c r="G483" i="1"/>
  <c r="G424" i="1"/>
  <c r="H424" i="1" s="1"/>
  <c r="G459" i="1"/>
  <c r="U297" i="1"/>
  <c r="U309" i="1"/>
  <c r="U315" i="1" s="1"/>
  <c r="U305" i="1"/>
  <c r="F699" i="1"/>
  <c r="G481" i="1"/>
  <c r="G505" i="1"/>
  <c r="F706" i="1"/>
  <c r="L60" i="1"/>
  <c r="F693" i="1"/>
  <c r="F681" i="1"/>
  <c r="G500" i="1"/>
  <c r="F462" i="1"/>
  <c r="T310" i="1"/>
  <c r="L61" i="1"/>
  <c r="F689" i="1"/>
  <c r="F694" i="1"/>
  <c r="G482" i="1"/>
  <c r="F695" i="1"/>
  <c r="F702" i="1"/>
  <c r="L58" i="1"/>
  <c r="G425" i="1"/>
  <c r="H425" i="1" s="1"/>
  <c r="F683" i="1"/>
  <c r="L57" i="1"/>
  <c r="K676" i="1"/>
  <c r="L62" i="1"/>
  <c r="G427" i="1"/>
  <c r="H427" i="1" s="1"/>
  <c r="G460" i="1"/>
  <c r="L59" i="1"/>
  <c r="F708" i="1"/>
  <c r="L56" i="1"/>
  <c r="L55" i="1"/>
  <c r="G502" i="1"/>
  <c r="F676" i="1"/>
  <c r="B55" i="2"/>
  <c r="C55" i="2"/>
  <c r="H55" i="2"/>
  <c r="D55" i="2"/>
  <c r="E55" i="2"/>
  <c r="F55" i="2"/>
  <c r="G55" i="2"/>
  <c r="F399" i="1"/>
  <c r="K27" i="12"/>
  <c r="M27" i="12" s="1"/>
  <c r="E22" i="12"/>
  <c r="M23" i="12"/>
  <c r="AA25" i="2"/>
  <c r="AA26" i="2" s="1"/>
  <c r="AA32" i="2"/>
  <c r="AA33" i="2"/>
  <c r="F18" i="7"/>
  <c r="H346" i="1"/>
  <c r="H344" i="1"/>
  <c r="I83" i="1"/>
  <c r="I114" i="1" s="1"/>
  <c r="I108" i="1"/>
  <c r="I220" i="1" s="1"/>
  <c r="H52" i="7"/>
  <c r="D46" i="2"/>
  <c r="D186" i="3"/>
  <c r="D193" i="3"/>
  <c r="D190" i="3"/>
  <c r="D179" i="3"/>
  <c r="D175" i="3"/>
  <c r="C183" i="3"/>
  <c r="C179" i="3"/>
  <c r="C184" i="3"/>
  <c r="C188" i="3"/>
  <c r="C175" i="3"/>
  <c r="D183" i="3"/>
  <c r="C187" i="3"/>
  <c r="J53" i="7"/>
  <c r="O676" i="1"/>
  <c r="S309" i="1"/>
  <c r="S315" i="1" s="1"/>
  <c r="S295" i="1"/>
  <c r="S299" i="1" s="1"/>
  <c r="L53" i="1"/>
  <c r="E456" i="1"/>
  <c r="E462" i="1" s="1"/>
  <c r="F428" i="1"/>
  <c r="G422" i="1"/>
  <c r="H422" i="1" s="1"/>
  <c r="G501" i="1"/>
  <c r="F484" i="1"/>
  <c r="G503" i="1"/>
  <c r="F506" i="1"/>
  <c r="E535" i="1"/>
  <c r="D191" i="3"/>
  <c r="F688" i="1"/>
  <c r="H676" i="1"/>
  <c r="I105" i="1"/>
  <c r="E428" i="1"/>
  <c r="G426" i="1"/>
  <c r="H426" i="1" s="1"/>
  <c r="Q676" i="1"/>
  <c r="K105" i="1"/>
  <c r="C171" i="3"/>
  <c r="C191" i="3"/>
  <c r="D187" i="3"/>
  <c r="M676" i="1"/>
  <c r="C41" i="8"/>
  <c r="C193" i="3"/>
  <c r="E113" i="1"/>
  <c r="E225" i="1" s="1"/>
  <c r="C186" i="3"/>
  <c r="N23" i="12"/>
  <c r="O23" i="12" s="1"/>
  <c r="E107" i="1"/>
  <c r="E219" i="1" s="1"/>
  <c r="M54" i="7"/>
  <c r="B41" i="8"/>
  <c r="N25" i="12"/>
  <c r="N22" i="12"/>
  <c r="O22" i="12" s="1"/>
  <c r="I109" i="1"/>
  <c r="H347" i="1"/>
  <c r="T297" i="1"/>
  <c r="V297" i="1" s="1"/>
  <c r="D178" i="3"/>
  <c r="D185" i="3"/>
  <c r="B10" i="2"/>
  <c r="E33" i="1" s="1"/>
  <c r="S310" i="1"/>
  <c r="AB32" i="2"/>
  <c r="D170" i="3"/>
  <c r="C189" i="3"/>
  <c r="K107" i="1"/>
  <c r="K219" i="1" s="1"/>
  <c r="G504" i="1"/>
  <c r="V303" i="1"/>
  <c r="C178" i="3"/>
  <c r="D174" i="3"/>
  <c r="C170" i="3"/>
  <c r="N20" i="12"/>
  <c r="H345" i="1"/>
  <c r="AB31" i="2"/>
  <c r="G109" i="1"/>
  <c r="G221" i="1" s="1"/>
  <c r="H108" i="1"/>
  <c r="H220" i="1" s="1"/>
  <c r="L80" i="1"/>
  <c r="I54" i="7"/>
  <c r="K208" i="1"/>
  <c r="K213" i="1" s="1"/>
  <c r="E110" i="1"/>
  <c r="E222" i="1" s="1"/>
  <c r="L79" i="1"/>
  <c r="H113" i="1"/>
  <c r="H225" i="1" s="1"/>
  <c r="K113" i="1"/>
  <c r="K225" i="1" s="1"/>
  <c r="K108" i="1"/>
  <c r="K220" i="1" s="1"/>
  <c r="F108" i="1"/>
  <c r="F220" i="1" s="1"/>
  <c r="L77" i="1"/>
  <c r="K83" i="1"/>
  <c r="K114" i="1" s="1"/>
  <c r="F112" i="1"/>
  <c r="F224" i="1" s="1"/>
  <c r="H112" i="1"/>
  <c r="H224" i="1" s="1"/>
  <c r="K112" i="1"/>
  <c r="K224" i="1" s="1"/>
  <c r="G111" i="1"/>
  <c r="G223" i="1" s="1"/>
  <c r="I111" i="1"/>
  <c r="I223" i="1" s="1"/>
  <c r="L82" i="1"/>
  <c r="K54" i="7"/>
  <c r="I110" i="1"/>
  <c r="I222" i="1" s="1"/>
  <c r="E108" i="1"/>
  <c r="E220" i="1" s="1"/>
  <c r="G110" i="1"/>
  <c r="G222" i="1" s="1"/>
  <c r="H109" i="1"/>
  <c r="F107" i="1"/>
  <c r="F219" i="1" s="1"/>
  <c r="L78" i="1"/>
  <c r="L81" i="1"/>
  <c r="I50" i="7"/>
  <c r="L52" i="7"/>
  <c r="M52" i="7"/>
  <c r="D37" i="8"/>
  <c r="G208" i="1"/>
  <c r="G213" i="1" s="1"/>
  <c r="D41" i="8"/>
  <c r="F110" i="1"/>
  <c r="F222" i="1" s="1"/>
  <c r="I107" i="1"/>
  <c r="I219" i="1" s="1"/>
  <c r="L176" i="1"/>
  <c r="K109" i="1"/>
  <c r="K221" i="1" s="1"/>
  <c r="G108" i="1"/>
  <c r="G220" i="1" s="1"/>
  <c r="H107" i="1"/>
  <c r="H219" i="1" s="1"/>
  <c r="E112" i="1"/>
  <c r="E224" i="1" s="1"/>
  <c r="I112" i="1"/>
  <c r="I224" i="1" s="1"/>
  <c r="F111" i="1"/>
  <c r="F223" i="1" s="1"/>
  <c r="H111" i="1"/>
  <c r="H223" i="1" s="1"/>
  <c r="K111" i="1"/>
  <c r="K223" i="1" s="1"/>
  <c r="I113" i="1"/>
  <c r="I225" i="1" s="1"/>
  <c r="K276" i="1"/>
  <c r="G113" i="1"/>
  <c r="G225" i="1" s="1"/>
  <c r="E109" i="1"/>
  <c r="H110" i="1"/>
  <c r="H222" i="1" s="1"/>
  <c r="G107" i="1"/>
  <c r="G219" i="1" s="1"/>
  <c r="I52" i="7"/>
  <c r="F46" i="2"/>
  <c r="L50" i="7"/>
  <c r="E46" i="2"/>
  <c r="G10" i="2"/>
  <c r="K50" i="7"/>
  <c r="J52" i="7"/>
  <c r="K52" i="7"/>
  <c r="J49" i="7"/>
  <c r="H50" i="7"/>
  <c r="L49" i="7"/>
  <c r="L51" i="7"/>
  <c r="L53" i="7"/>
  <c r="M50" i="7"/>
  <c r="F14" i="7"/>
  <c r="M53" i="7"/>
  <c r="J51" i="7"/>
  <c r="J50" i="7"/>
  <c r="H4" i="2"/>
  <c r="K381" i="1" s="1"/>
  <c r="B16" i="7"/>
  <c r="E162" i="1" s="1"/>
  <c r="B13" i="7"/>
  <c r="B17" i="7"/>
  <c r="E163" i="1" s="1"/>
  <c r="E4" i="2"/>
  <c r="G381" i="1" s="1"/>
  <c r="H89" i="3"/>
  <c r="H90" i="3" s="1"/>
  <c r="H91" i="3" s="1"/>
  <c r="B4" i="2"/>
  <c r="D4" i="2"/>
  <c r="F381" i="1" s="1"/>
  <c r="F15" i="7"/>
  <c r="U296" i="1"/>
  <c r="U298" i="1"/>
  <c r="V298" i="1" s="1"/>
  <c r="I74" i="8"/>
  <c r="F89" i="8" s="1"/>
  <c r="F94" i="8" s="1"/>
  <c r="F99" i="8" s="1"/>
  <c r="F43" i="2"/>
  <c r="F52" i="2" s="1"/>
  <c r="K471" i="1"/>
  <c r="C10" i="2"/>
  <c r="F37" i="1"/>
  <c r="G37" i="1" s="1"/>
  <c r="H51" i="7"/>
  <c r="I49" i="7"/>
  <c r="J54" i="7"/>
  <c r="K49" i="7"/>
  <c r="M49" i="7"/>
  <c r="G43" i="2"/>
  <c r="G52" i="2" s="1"/>
  <c r="H53" i="7"/>
  <c r="H54" i="7"/>
  <c r="I53" i="7"/>
  <c r="K53" i="7"/>
  <c r="H49" i="7"/>
  <c r="I51" i="7"/>
  <c r="K51" i="7"/>
  <c r="M51" i="7"/>
  <c r="L54" i="7"/>
  <c r="E470" i="1"/>
  <c r="G491" i="1"/>
  <c r="D42" i="2"/>
  <c r="G494" i="1"/>
  <c r="F470" i="1"/>
  <c r="F469" i="1"/>
  <c r="B43" i="2"/>
  <c r="B52" i="2" s="1"/>
  <c r="B41" i="2"/>
  <c r="H33" i="1" s="1"/>
  <c r="AB25" i="2"/>
  <c r="AB24" i="2"/>
  <c r="G42" i="2"/>
  <c r="G51" i="2" s="1"/>
  <c r="E43" i="2"/>
  <c r="E52" i="2" s="1"/>
  <c r="I467" i="1"/>
  <c r="E42" i="2"/>
  <c r="C43" i="2"/>
  <c r="C52" i="2" s="1"/>
  <c r="F471" i="1"/>
  <c r="E472" i="1"/>
  <c r="F109" i="1"/>
  <c r="D41" i="2"/>
  <c r="H35" i="1" s="1"/>
  <c r="H43" i="2"/>
  <c r="H52" i="2" s="1"/>
  <c r="B42" i="2"/>
  <c r="B51" i="2" s="1"/>
  <c r="C42" i="2"/>
  <c r="C51" i="2" s="1"/>
  <c r="E111" i="1"/>
  <c r="E223" i="1" s="1"/>
  <c r="F36" i="1"/>
  <c r="G36" i="1" s="1"/>
  <c r="I468" i="1"/>
  <c r="I75" i="8"/>
  <c r="F408" i="1"/>
  <c r="F472" i="1"/>
  <c r="F468" i="1"/>
  <c r="L470" i="1"/>
  <c r="C41" i="2"/>
  <c r="H34" i="1" s="1"/>
  <c r="G490" i="1"/>
  <c r="K110" i="1"/>
  <c r="V315" i="1"/>
  <c r="T295" i="1"/>
  <c r="T299" i="1" s="1"/>
  <c r="R309" i="1"/>
  <c r="R315" i="1" s="1"/>
  <c r="R295" i="1"/>
  <c r="V301" i="1"/>
  <c r="V305" i="1" s="1"/>
  <c r="D43" i="2"/>
  <c r="D52" i="2" s="1"/>
  <c r="G41" i="2"/>
  <c r="H38" i="1" s="1"/>
  <c r="F113" i="1"/>
  <c r="R37" i="2"/>
  <c r="Q37" i="2"/>
  <c r="O37" i="2"/>
  <c r="F42" i="2"/>
  <c r="E320" i="1"/>
  <c r="F285" i="1"/>
  <c r="E471" i="1"/>
  <c r="E41" i="2"/>
  <c r="H36" i="1" s="1"/>
  <c r="H41" i="2"/>
  <c r="H39" i="1" s="1"/>
  <c r="F41" i="2"/>
  <c r="H37" i="1" s="1"/>
  <c r="G112" i="1"/>
  <c r="W315" i="1"/>
  <c r="Q32" i="2"/>
  <c r="H10" i="2"/>
  <c r="H46" i="2"/>
  <c r="H42" i="2"/>
  <c r="S19" i="2" s="1"/>
  <c r="M470" i="1" l="1"/>
  <c r="G435" i="1"/>
  <c r="F447" i="1"/>
  <c r="E42" i="14"/>
  <c r="G42" i="14"/>
  <c r="G469" i="1"/>
  <c r="J433" i="1"/>
  <c r="H467" i="1"/>
  <c r="J467" i="1" s="1"/>
  <c r="E125" i="1"/>
  <c r="E468" i="1"/>
  <c r="G468" i="1" s="1"/>
  <c r="F434" i="1"/>
  <c r="F418" i="1"/>
  <c r="L435" i="1"/>
  <c r="M435" i="1" s="1"/>
  <c r="I434" i="1"/>
  <c r="M436" i="1"/>
  <c r="F417" i="1"/>
  <c r="I472" i="1"/>
  <c r="M472" i="1" s="1"/>
  <c r="F13" i="7"/>
  <c r="E159" i="1"/>
  <c r="E164" i="1"/>
  <c r="H125" i="1"/>
  <c r="E87" i="12"/>
  <c r="G87" i="12" s="1"/>
  <c r="G22" i="12"/>
  <c r="E79" i="12"/>
  <c r="G79" i="12" s="1"/>
  <c r="M79" i="12"/>
  <c r="O79" i="12" s="1"/>
  <c r="M92" i="12"/>
  <c r="O92" i="12" s="1"/>
  <c r="M87" i="12"/>
  <c r="O87" i="12" s="1"/>
  <c r="M74" i="12"/>
  <c r="O74" i="12" s="1"/>
  <c r="O27" i="12"/>
  <c r="E75" i="12"/>
  <c r="G75" i="12" s="1"/>
  <c r="M75" i="12"/>
  <c r="O75" i="12" s="1"/>
  <c r="M88" i="12"/>
  <c r="O88" i="12" s="1"/>
  <c r="E74" i="12"/>
  <c r="G74" i="12" s="1"/>
  <c r="C5" i="4"/>
  <c r="C137" i="3"/>
  <c r="K159" i="3"/>
  <c r="F12" i="7"/>
  <c r="M64" i="7"/>
  <c r="L64" i="7"/>
  <c r="I251" i="1" s="1"/>
  <c r="I226" i="1"/>
  <c r="I135" i="1"/>
  <c r="F467" i="1"/>
  <c r="F473" i="1" s="1"/>
  <c r="K469" i="1"/>
  <c r="K473" i="1" s="1"/>
  <c r="K226" i="1"/>
  <c r="K135" i="1"/>
  <c r="G484" i="1"/>
  <c r="G456" i="1"/>
  <c r="G462" i="1" s="1"/>
  <c r="L527" i="1"/>
  <c r="K559" i="1"/>
  <c r="E538" i="1"/>
  <c r="E506" i="1"/>
  <c r="K527" i="1"/>
  <c r="L469" i="1"/>
  <c r="E484" i="1"/>
  <c r="E495" i="1"/>
  <c r="E38" i="1"/>
  <c r="F38" i="1" s="1"/>
  <c r="G38" i="1" s="1"/>
  <c r="E39" i="1"/>
  <c r="F40" i="1" s="1"/>
  <c r="G40" i="1" s="1"/>
  <c r="E527" i="1"/>
  <c r="D51" i="2"/>
  <c r="F42" i="1"/>
  <c r="G42" i="1" s="1"/>
  <c r="E34" i="1"/>
  <c r="J40" i="7"/>
  <c r="D16" i="8"/>
  <c r="F133" i="1"/>
  <c r="I129" i="1"/>
  <c r="R32" i="2"/>
  <c r="O32" i="2"/>
  <c r="B37" i="8"/>
  <c r="B16" i="8" s="1"/>
  <c r="E208" i="1"/>
  <c r="E213" i="1" s="1"/>
  <c r="K242" i="1"/>
  <c r="H40" i="7"/>
  <c r="H221" i="1"/>
  <c r="H240" i="1" s="1"/>
  <c r="K243" i="1"/>
  <c r="K282" i="1"/>
  <c r="G131" i="1"/>
  <c r="K129" i="1"/>
  <c r="E238" i="1"/>
  <c r="H129" i="1"/>
  <c r="K238" i="1"/>
  <c r="K128" i="1"/>
  <c r="AB33" i="2"/>
  <c r="K125" i="1"/>
  <c r="E242" i="1"/>
  <c r="F51" i="2"/>
  <c r="G492" i="1"/>
  <c r="I130" i="1"/>
  <c r="H208" i="1"/>
  <c r="H213" i="1" s="1"/>
  <c r="F208" i="1"/>
  <c r="F213" i="1" s="1"/>
  <c r="H243" i="1"/>
  <c r="C37" i="8"/>
  <c r="C16" i="8" s="1"/>
  <c r="F242" i="1"/>
  <c r="E243" i="1"/>
  <c r="G41" i="8"/>
  <c r="K134" i="1"/>
  <c r="G506" i="1"/>
  <c r="I221" i="1"/>
  <c r="I240" i="1" s="1"/>
  <c r="K133" i="1"/>
  <c r="G428" i="1"/>
  <c r="H428" i="1" s="1"/>
  <c r="I125" i="1"/>
  <c r="I243" i="1"/>
  <c r="E37" i="8"/>
  <c r="F128" i="1"/>
  <c r="E128" i="1"/>
  <c r="H130" i="1"/>
  <c r="I131" i="1"/>
  <c r="I132" i="1"/>
  <c r="I134" i="1"/>
  <c r="G129" i="1"/>
  <c r="G130" i="1"/>
  <c r="K132" i="1"/>
  <c r="H133" i="1"/>
  <c r="H241" i="1"/>
  <c r="I241" i="1"/>
  <c r="G125" i="1"/>
  <c r="G239" i="1"/>
  <c r="E133" i="1"/>
  <c r="H131" i="1"/>
  <c r="I128" i="1"/>
  <c r="E129" i="1"/>
  <c r="H128" i="1"/>
  <c r="I133" i="1"/>
  <c r="H132" i="1"/>
  <c r="F130" i="1"/>
  <c r="G128" i="1"/>
  <c r="E221" i="1"/>
  <c r="E239" i="1" s="1"/>
  <c r="I238" i="1"/>
  <c r="F132" i="1"/>
  <c r="H83" i="1"/>
  <c r="H114" i="1" s="1"/>
  <c r="E83" i="1"/>
  <c r="E130" i="1"/>
  <c r="F131" i="1"/>
  <c r="G83" i="1"/>
  <c r="G114" i="1" s="1"/>
  <c r="F83" i="1"/>
  <c r="F114" i="1" s="1"/>
  <c r="E51" i="2"/>
  <c r="F17" i="7"/>
  <c r="F16" i="7"/>
  <c r="H92" i="3"/>
  <c r="G493" i="1"/>
  <c r="B89" i="8"/>
  <c r="B94" i="8" s="1"/>
  <c r="B99" i="8" s="1"/>
  <c r="F41" i="1"/>
  <c r="G41" i="1" s="1"/>
  <c r="E89" i="8"/>
  <c r="E94" i="8" s="1"/>
  <c r="E99" i="8" s="1"/>
  <c r="G471" i="1"/>
  <c r="C89" i="8"/>
  <c r="C94" i="8" s="1"/>
  <c r="C99" i="8" s="1"/>
  <c r="D88" i="8"/>
  <c r="D93" i="8" s="1"/>
  <c r="D98" i="8" s="1"/>
  <c r="G557" i="1"/>
  <c r="F416" i="1"/>
  <c r="G238" i="1"/>
  <c r="I242" i="1"/>
  <c r="G526" i="1"/>
  <c r="F221" i="1"/>
  <c r="F239" i="1" s="1"/>
  <c r="H238" i="1"/>
  <c r="E467" i="1"/>
  <c r="I34" i="1"/>
  <c r="K34" i="1" s="1"/>
  <c r="F241" i="1"/>
  <c r="AB26" i="2"/>
  <c r="E132" i="1"/>
  <c r="G470" i="1"/>
  <c r="G558" i="1"/>
  <c r="F129" i="1"/>
  <c r="G472" i="1"/>
  <c r="H242" i="1"/>
  <c r="I527" i="1"/>
  <c r="D50" i="2"/>
  <c r="B50" i="2"/>
  <c r="H495" i="1"/>
  <c r="J496" i="1" s="1"/>
  <c r="K239" i="1"/>
  <c r="E241" i="1"/>
  <c r="F125" i="1"/>
  <c r="L471" i="1"/>
  <c r="M471" i="1" s="1"/>
  <c r="E131" i="1"/>
  <c r="G50" i="2"/>
  <c r="G285" i="1"/>
  <c r="F333" i="1"/>
  <c r="F320" i="1"/>
  <c r="V295" i="1"/>
  <c r="V299" i="1" s="1"/>
  <c r="R299" i="1"/>
  <c r="K222" i="1"/>
  <c r="K131" i="1"/>
  <c r="K130" i="1"/>
  <c r="D89" i="8"/>
  <c r="D94" i="8" s="1"/>
  <c r="D99" i="8" s="1"/>
  <c r="F90" i="8"/>
  <c r="F95" i="8" s="1"/>
  <c r="F100" i="8" s="1"/>
  <c r="C90" i="8"/>
  <c r="C95" i="8" s="1"/>
  <c r="C100" i="8" s="1"/>
  <c r="E90" i="8"/>
  <c r="E95" i="8" s="1"/>
  <c r="E100" i="8" s="1"/>
  <c r="B90" i="8"/>
  <c r="B95" i="8" s="1"/>
  <c r="B100" i="8" s="1"/>
  <c r="H50" i="2"/>
  <c r="G614" i="1"/>
  <c r="I320" i="1"/>
  <c r="K285" i="1"/>
  <c r="I333" i="1"/>
  <c r="G613" i="1"/>
  <c r="G241" i="1"/>
  <c r="G240" i="1"/>
  <c r="F225" i="1"/>
  <c r="F243" i="1" s="1"/>
  <c r="L285" i="1"/>
  <c r="K333" i="1"/>
  <c r="K320" i="1"/>
  <c r="F238" i="1"/>
  <c r="G132" i="1"/>
  <c r="G224" i="1"/>
  <c r="G133" i="1"/>
  <c r="F50" i="2"/>
  <c r="E50" i="2"/>
  <c r="E285" i="1"/>
  <c r="G333" i="1"/>
  <c r="G320" i="1"/>
  <c r="H285" i="1"/>
  <c r="H320" i="1"/>
  <c r="I285" i="1"/>
  <c r="H333" i="1"/>
  <c r="C50" i="2"/>
  <c r="L495" i="1"/>
  <c r="S15" i="2"/>
  <c r="S23" i="2"/>
  <c r="H51" i="2"/>
  <c r="S38" i="2"/>
  <c r="S33" i="2"/>
  <c r="S28" i="2"/>
  <c r="H468" i="1" l="1"/>
  <c r="J468" i="1" s="1"/>
  <c r="F446" i="1"/>
  <c r="I473" i="1"/>
  <c r="E473" i="1"/>
  <c r="M527" i="1"/>
  <c r="M528" i="1" s="1"/>
  <c r="M469" i="1"/>
  <c r="J472" i="1"/>
  <c r="I439" i="1"/>
  <c r="J439" i="1" s="1"/>
  <c r="J440" i="1" s="1"/>
  <c r="J434" i="1"/>
  <c r="L439" i="1"/>
  <c r="M439" i="1"/>
  <c r="M440" i="1" s="1"/>
  <c r="F439" i="1"/>
  <c r="G434" i="1"/>
  <c r="G439" i="1" s="1"/>
  <c r="G440" i="1" s="1"/>
  <c r="K137" i="3"/>
  <c r="K160" i="3" s="1"/>
  <c r="G489" i="1"/>
  <c r="G495" i="1" s="1"/>
  <c r="G496" i="1" s="1"/>
  <c r="L18" i="2"/>
  <c r="B34" i="8"/>
  <c r="L14" i="2"/>
  <c r="K147" i="3"/>
  <c r="L5" i="2"/>
  <c r="O382" i="1" s="1"/>
  <c r="C22" i="7"/>
  <c r="C17" i="4"/>
  <c r="K5" i="4"/>
  <c r="L5" i="4" s="1"/>
  <c r="M5" i="4" s="1"/>
  <c r="N5" i="4" s="1"/>
  <c r="L22" i="2"/>
  <c r="H55" i="7"/>
  <c r="H56" i="7"/>
  <c r="J55" i="7"/>
  <c r="J56" i="7"/>
  <c r="F134" i="1"/>
  <c r="F226" i="1"/>
  <c r="F135" i="1"/>
  <c r="G134" i="1"/>
  <c r="G226" i="1"/>
  <c r="G135" i="1"/>
  <c r="K244" i="1"/>
  <c r="K245" i="1"/>
  <c r="H134" i="1"/>
  <c r="H226" i="1"/>
  <c r="H135" i="1"/>
  <c r="I244" i="1"/>
  <c r="I245" i="1"/>
  <c r="D34" i="8"/>
  <c r="G186" i="1"/>
  <c r="G204" i="1" s="1"/>
  <c r="C34" i="8"/>
  <c r="F186" i="1"/>
  <c r="F204" i="1" s="1"/>
  <c r="E186" i="1"/>
  <c r="E204" i="1" s="1"/>
  <c r="G527" i="1"/>
  <c r="G528" i="1" s="1"/>
  <c r="F495" i="1"/>
  <c r="F39" i="1"/>
  <c r="G39" i="1" s="1"/>
  <c r="F34" i="1"/>
  <c r="G34" i="1" s="1"/>
  <c r="F35" i="1"/>
  <c r="G35" i="1" s="1"/>
  <c r="E16" i="8"/>
  <c r="K251" i="1"/>
  <c r="M43" i="7"/>
  <c r="H239" i="1"/>
  <c r="L213" i="1"/>
  <c r="H13" i="8"/>
  <c r="I45" i="2" s="1"/>
  <c r="I50" i="2" s="1"/>
  <c r="I40" i="7"/>
  <c r="K40" i="7"/>
  <c r="I239" i="1"/>
  <c r="E240" i="1"/>
  <c r="L194" i="3"/>
  <c r="F170" i="1" s="1"/>
  <c r="H170" i="1" s="1"/>
  <c r="I170" i="1" s="1"/>
  <c r="L180" i="3"/>
  <c r="E100" i="12"/>
  <c r="G100" i="12" s="1"/>
  <c r="E105" i="12"/>
  <c r="G105" i="12" s="1"/>
  <c r="E101" i="12"/>
  <c r="G101" i="12" s="1"/>
  <c r="F240" i="1"/>
  <c r="L83" i="1"/>
  <c r="E114" i="1"/>
  <c r="H93" i="3"/>
  <c r="L473" i="1"/>
  <c r="G467" i="1"/>
  <c r="G473" i="1" s="1"/>
  <c r="K495" i="1"/>
  <c r="F527" i="1"/>
  <c r="H559" i="1"/>
  <c r="L320" i="1"/>
  <c r="I41" i="1"/>
  <c r="K41" i="1" s="1"/>
  <c r="I42" i="1"/>
  <c r="K42" i="1" s="1"/>
  <c r="I39" i="1"/>
  <c r="K39" i="1" s="1"/>
  <c r="I40" i="1"/>
  <c r="K40" i="1" s="1"/>
  <c r="E559" i="1"/>
  <c r="G242" i="1"/>
  <c r="G243" i="1"/>
  <c r="H527" i="1"/>
  <c r="J528" i="1" s="1"/>
  <c r="I37" i="1"/>
  <c r="K37" i="1" s="1"/>
  <c r="I38" i="1"/>
  <c r="K38" i="1" s="1"/>
  <c r="I35" i="1"/>
  <c r="K35" i="1" s="1"/>
  <c r="I36" i="1"/>
  <c r="K36" i="1" s="1"/>
  <c r="M495" i="1"/>
  <c r="I495" i="1"/>
  <c r="K240" i="1"/>
  <c r="K241" i="1"/>
  <c r="L333" i="1"/>
  <c r="H473" i="1" l="1"/>
  <c r="J473" i="1" s="1"/>
  <c r="J474" i="1" s="1"/>
  <c r="G474" i="1"/>
  <c r="M496" i="1"/>
  <c r="M473" i="1"/>
  <c r="M474" i="1" s="1"/>
  <c r="F553" i="1"/>
  <c r="G553" i="1" s="1"/>
  <c r="E609" i="1"/>
  <c r="F630" i="1" s="1"/>
  <c r="O389" i="1"/>
  <c r="H64" i="7"/>
  <c r="F555" i="1"/>
  <c r="G555" i="1" s="1"/>
  <c r="E611" i="1"/>
  <c r="F632" i="1" s="1"/>
  <c r="O397" i="1"/>
  <c r="F554" i="1"/>
  <c r="G554" i="1" s="1"/>
  <c r="O393" i="1"/>
  <c r="E610" i="1"/>
  <c r="F631" i="1" s="1"/>
  <c r="F168" i="1"/>
  <c r="G22" i="7"/>
  <c r="E17" i="8"/>
  <c r="H214" i="1" s="1"/>
  <c r="H86" i="1"/>
  <c r="L86" i="1" s="1"/>
  <c r="C23" i="7"/>
  <c r="P382" i="1"/>
  <c r="H16" i="8"/>
  <c r="L45" i="2" s="1"/>
  <c r="M18" i="2"/>
  <c r="L27" i="2"/>
  <c r="M22" i="2"/>
  <c r="C29" i="4"/>
  <c r="K17" i="4"/>
  <c r="L17" i="4" s="1"/>
  <c r="M17" i="4" s="1"/>
  <c r="N17" i="4" s="1"/>
  <c r="B35" i="8"/>
  <c r="M14" i="2"/>
  <c r="M44" i="7"/>
  <c r="M68" i="7" s="1"/>
  <c r="K263" i="1" s="1"/>
  <c r="M67" i="7"/>
  <c r="K262" i="1" s="1"/>
  <c r="I55" i="7"/>
  <c r="I56" i="7"/>
  <c r="J64" i="7"/>
  <c r="K55" i="7"/>
  <c r="K56" i="7"/>
  <c r="E134" i="1"/>
  <c r="E226" i="1"/>
  <c r="E135" i="1"/>
  <c r="H244" i="1"/>
  <c r="H245" i="1"/>
  <c r="F244" i="1"/>
  <c r="F245" i="1"/>
  <c r="G244" i="1"/>
  <c r="G245" i="1"/>
  <c r="D35" i="8"/>
  <c r="G187" i="1"/>
  <c r="G205" i="1" s="1"/>
  <c r="G87" i="1"/>
  <c r="C35" i="8"/>
  <c r="F187" i="1"/>
  <c r="F205" i="1" s="1"/>
  <c r="F87" i="1"/>
  <c r="E34" i="8"/>
  <c r="H186" i="1"/>
  <c r="H204" i="1" s="1"/>
  <c r="E187" i="1"/>
  <c r="E205" i="1" s="1"/>
  <c r="E87" i="1"/>
  <c r="H94" i="3"/>
  <c r="H95" i="3" s="1"/>
  <c r="H96" i="3" s="1"/>
  <c r="G23" i="7" l="1"/>
  <c r="F611" i="1"/>
  <c r="P397" i="1"/>
  <c r="C114" i="14"/>
  <c r="E114" i="14" s="1"/>
  <c r="P393" i="1"/>
  <c r="F610" i="1"/>
  <c r="C113" i="14"/>
  <c r="E113" i="14" s="1"/>
  <c r="F609" i="1"/>
  <c r="P389" i="1"/>
  <c r="C112" i="14"/>
  <c r="E112" i="14" s="1"/>
  <c r="E251" i="1"/>
  <c r="H62" i="7"/>
  <c r="H43" i="7" s="1"/>
  <c r="G251" i="1"/>
  <c r="J62" i="7"/>
  <c r="J43" i="7" s="1"/>
  <c r="H17" i="8"/>
  <c r="C117" i="14"/>
  <c r="E117" i="14" s="1"/>
  <c r="F556" i="1"/>
  <c r="E612" i="1"/>
  <c r="O407" i="1"/>
  <c r="O416" i="1" s="1"/>
  <c r="U22" i="2"/>
  <c r="W22" i="2"/>
  <c r="W18" i="2"/>
  <c r="U18" i="2"/>
  <c r="U14" i="2"/>
  <c r="W14" i="2"/>
  <c r="M77" i="7"/>
  <c r="L282" i="1" s="1"/>
  <c r="M89" i="7"/>
  <c r="M27" i="2"/>
  <c r="M88" i="7"/>
  <c r="K29" i="4"/>
  <c r="L29" i="4" s="1"/>
  <c r="M29" i="4" s="1"/>
  <c r="N29" i="4" s="1"/>
  <c r="C41" i="4"/>
  <c r="M76" i="7"/>
  <c r="L276" i="1"/>
  <c r="K64" i="7"/>
  <c r="I64" i="7"/>
  <c r="E244" i="1"/>
  <c r="E245" i="1"/>
  <c r="L186" i="1"/>
  <c r="Q22" i="2"/>
  <c r="O22" i="2"/>
  <c r="C112" i="12"/>
  <c r="E112" i="12" s="1"/>
  <c r="R22" i="2"/>
  <c r="E35" i="8"/>
  <c r="H187" i="1"/>
  <c r="H205" i="1" s="1"/>
  <c r="H87" i="1"/>
  <c r="L41" i="2"/>
  <c r="R18" i="2"/>
  <c r="Q18" i="2"/>
  <c r="O18" i="2"/>
  <c r="C111" i="12"/>
  <c r="E111" i="12" s="1"/>
  <c r="Q14" i="2"/>
  <c r="R14" i="2"/>
  <c r="O14" i="2"/>
  <c r="C110" i="12"/>
  <c r="E110" i="12" s="1"/>
  <c r="H97" i="3"/>
  <c r="H98" i="3" s="1"/>
  <c r="F575" i="1" l="1"/>
  <c r="G575" i="1" s="1"/>
  <c r="F640" i="1"/>
  <c r="F650" i="1" s="1"/>
  <c r="F576" i="1"/>
  <c r="G576" i="1" s="1"/>
  <c r="F641" i="1"/>
  <c r="F651" i="1" s="1"/>
  <c r="F577" i="1"/>
  <c r="G577" i="1" s="1"/>
  <c r="F642" i="1"/>
  <c r="F652" i="1" s="1"/>
  <c r="E615" i="1"/>
  <c r="F633" i="1"/>
  <c r="I633" i="1" s="1"/>
  <c r="K633" i="1" s="1"/>
  <c r="E121" i="14"/>
  <c r="J44" i="7"/>
  <c r="J68" i="7" s="1"/>
  <c r="J67" i="7"/>
  <c r="H44" i="7"/>
  <c r="H68" i="7" s="1"/>
  <c r="H67" i="7"/>
  <c r="F251" i="1"/>
  <c r="I62" i="7"/>
  <c r="I43" i="7" s="1"/>
  <c r="F612" i="1"/>
  <c r="P407" i="1"/>
  <c r="P416" i="1" s="1"/>
  <c r="G556" i="1"/>
  <c r="G559" i="1" s="1"/>
  <c r="G560" i="1" s="1"/>
  <c r="F559" i="1"/>
  <c r="M45" i="2"/>
  <c r="L214" i="1"/>
  <c r="H251" i="1"/>
  <c r="K62" i="7"/>
  <c r="K43" i="7" s="1"/>
  <c r="C132" i="14"/>
  <c r="C147" i="14"/>
  <c r="E147" i="14" s="1"/>
  <c r="H147" i="14" s="1"/>
  <c r="W27" i="2"/>
  <c r="W30" i="2" s="1"/>
  <c r="U27" i="2"/>
  <c r="U30" i="2" s="1"/>
  <c r="N8" i="1" s="1"/>
  <c r="F600" i="1" s="1"/>
  <c r="C53" i="4"/>
  <c r="K41" i="4"/>
  <c r="L41" i="4" s="1"/>
  <c r="M41" i="4" s="1"/>
  <c r="N41" i="4" s="1"/>
  <c r="L87" i="1"/>
  <c r="L187" i="1"/>
  <c r="G611" i="1"/>
  <c r="M41" i="2"/>
  <c r="Q27" i="2"/>
  <c r="R27" i="2"/>
  <c r="C115" i="12"/>
  <c r="O27" i="2"/>
  <c r="L55" i="2"/>
  <c r="G610" i="1"/>
  <c r="H43" i="1"/>
  <c r="I43" i="1" s="1"/>
  <c r="K43" i="1" s="1"/>
  <c r="L50" i="2"/>
  <c r="F578" i="1" l="1"/>
  <c r="G578" i="1" s="1"/>
  <c r="G581" i="1" s="1"/>
  <c r="G582" i="1" s="1"/>
  <c r="F643" i="1"/>
  <c r="E262" i="1"/>
  <c r="H88" i="7"/>
  <c r="H76" i="7"/>
  <c r="E263" i="1"/>
  <c r="H89" i="7"/>
  <c r="F276" i="1"/>
  <c r="H77" i="7"/>
  <c r="F282" i="1" s="1"/>
  <c r="G262" i="1"/>
  <c r="J88" i="7"/>
  <c r="J76" i="7"/>
  <c r="I44" i="7"/>
  <c r="I68" i="7" s="1"/>
  <c r="I67" i="7"/>
  <c r="G263" i="1"/>
  <c r="J77" i="7"/>
  <c r="H282" i="1" s="1"/>
  <c r="J89" i="7"/>
  <c r="H276" i="1"/>
  <c r="M50" i="2"/>
  <c r="D59" i="2"/>
  <c r="D60" i="2" s="1"/>
  <c r="D61" i="2" s="1"/>
  <c r="K44" i="7"/>
  <c r="K68" i="7" s="1"/>
  <c r="K67" i="7"/>
  <c r="E115" i="12"/>
  <c r="E119" i="12" s="1"/>
  <c r="C145" i="12" s="1"/>
  <c r="E145" i="12" s="1"/>
  <c r="H145" i="12" s="1"/>
  <c r="C65" i="4"/>
  <c r="K53" i="4"/>
  <c r="L53" i="4" s="1"/>
  <c r="M53" i="4" s="1"/>
  <c r="N53" i="4" s="1"/>
  <c r="M55" i="2"/>
  <c r="G612" i="1"/>
  <c r="G609" i="1"/>
  <c r="H44" i="1"/>
  <c r="I44" i="1" s="1"/>
  <c r="K44" i="1" s="1"/>
  <c r="K149" i="4"/>
  <c r="L149" i="4" s="1"/>
  <c r="F581" i="1" l="1"/>
  <c r="I643" i="1"/>
  <c r="K643" i="1" s="1"/>
  <c r="F653" i="1"/>
  <c r="I653" i="1" s="1"/>
  <c r="K653" i="1" s="1"/>
  <c r="F262" i="1"/>
  <c r="I76" i="7"/>
  <c r="I88" i="7"/>
  <c r="F263" i="1"/>
  <c r="G276" i="1"/>
  <c r="I89" i="7"/>
  <c r="I77" i="7"/>
  <c r="G282" i="1" s="1"/>
  <c r="H262" i="1"/>
  <c r="G67" i="7"/>
  <c r="K88" i="7"/>
  <c r="K76" i="7"/>
  <c r="N76" i="7" s="1"/>
  <c r="I276" i="1"/>
  <c r="G68" i="7"/>
  <c r="E276" i="1" s="1"/>
  <c r="H263" i="1"/>
  <c r="K77" i="7"/>
  <c r="K89" i="7"/>
  <c r="N89" i="7" s="1"/>
  <c r="C130" i="12"/>
  <c r="C77" i="4"/>
  <c r="K65" i="4"/>
  <c r="L65" i="4" s="1"/>
  <c r="M65" i="4" s="1"/>
  <c r="N65" i="4" s="1"/>
  <c r="G615" i="1"/>
  <c r="G616" i="1" s="1"/>
  <c r="F615" i="1"/>
  <c r="M149" i="4"/>
  <c r="N149" i="4" s="1"/>
  <c r="K150" i="4"/>
  <c r="O150" i="3" s="1"/>
  <c r="H159" i="1" s="1"/>
  <c r="O149" i="3"/>
  <c r="H158" i="1" s="1"/>
  <c r="N88" i="7" l="1"/>
  <c r="L263" i="1"/>
  <c r="N77" i="7"/>
  <c r="E282" i="1" s="1"/>
  <c r="I282" i="1"/>
  <c r="C89" i="4"/>
  <c r="K77" i="4"/>
  <c r="L77" i="4" s="1"/>
  <c r="M77" i="4" s="1"/>
  <c r="N77" i="4" s="1"/>
  <c r="L150" i="4"/>
  <c r="M150" i="4" s="1"/>
  <c r="N150" i="4" s="1"/>
  <c r="K151" i="4"/>
  <c r="L151" i="4" l="1"/>
  <c r="M151" i="4" s="1"/>
  <c r="N151" i="4" s="1"/>
  <c r="O151" i="3"/>
  <c r="H160" i="1" s="1"/>
  <c r="C101" i="4"/>
  <c r="K89" i="4"/>
  <c r="L89" i="4" s="1"/>
  <c r="M89" i="4" s="1"/>
  <c r="N89" i="4" s="1"/>
  <c r="K152" i="4"/>
  <c r="L152" i="4" l="1"/>
  <c r="M152" i="4" s="1"/>
  <c r="N152" i="4" s="1"/>
  <c r="O152" i="3"/>
  <c r="H161" i="1" s="1"/>
  <c r="C113" i="4"/>
  <c r="K101" i="4"/>
  <c r="K153" i="4"/>
  <c r="O153" i="3" s="1"/>
  <c r="H162" i="1" s="1"/>
  <c r="L101" i="4" l="1"/>
  <c r="M101" i="4" s="1"/>
  <c r="N101" i="4" s="1"/>
  <c r="K157" i="4"/>
  <c r="K113" i="4"/>
  <c r="L153" i="4"/>
  <c r="M153" i="4" s="1"/>
  <c r="N153" i="4" s="1"/>
  <c r="K154" i="4"/>
  <c r="K156" i="4"/>
  <c r="L156" i="4" l="1"/>
  <c r="M156" i="4" s="1"/>
  <c r="N156" i="4" s="1"/>
  <c r="O156" i="3"/>
  <c r="H165" i="1" s="1"/>
  <c r="L113" i="4"/>
  <c r="M113" i="4" s="1"/>
  <c r="N113" i="4" s="1"/>
  <c r="K158" i="4"/>
  <c r="C137" i="4"/>
  <c r="K137" i="4" s="1"/>
  <c r="K160" i="4" s="1"/>
  <c r="I169" i="1" s="1"/>
  <c r="K125" i="4"/>
  <c r="K159" i="4" s="1"/>
  <c r="H168" i="1" s="1"/>
  <c r="I168" i="1" s="1"/>
  <c r="L154" i="4"/>
  <c r="M154" i="4" s="1"/>
  <c r="N154" i="4" s="1"/>
  <c r="O154" i="3"/>
  <c r="H163" i="1" s="1"/>
  <c r="O157" i="3"/>
  <c r="L157" i="4"/>
  <c r="M157" i="4" s="1"/>
  <c r="N157" i="4" s="1"/>
  <c r="K155" i="4"/>
  <c r="O155" i="3" s="1"/>
  <c r="H164" i="1" s="1"/>
  <c r="K147" i="4" l="1"/>
  <c r="P157" i="3"/>
  <c r="H166" i="1"/>
  <c r="I166" i="1"/>
  <c r="V157" i="3"/>
  <c r="U157" i="3"/>
  <c r="W157" i="3"/>
  <c r="T157" i="3"/>
  <c r="S157" i="3"/>
  <c r="R157" i="3"/>
  <c r="Q157" i="3"/>
  <c r="K166" i="1" s="1"/>
  <c r="O158" i="3"/>
  <c r="L158" i="4"/>
  <c r="M158" i="4" s="1"/>
  <c r="N158" i="4" s="1"/>
  <c r="L155" i="4"/>
  <c r="K164" i="4"/>
  <c r="L164" i="4" s="1"/>
  <c r="K162" i="4"/>
  <c r="I514" i="1" l="1"/>
  <c r="I515" i="1"/>
  <c r="I516" i="1"/>
  <c r="I513" i="1"/>
  <c r="I511" i="1"/>
  <c r="I512" i="1"/>
  <c r="P158" i="3"/>
  <c r="H167" i="1"/>
  <c r="I167" i="1"/>
  <c r="W158" i="3"/>
  <c r="T158" i="3"/>
  <c r="V158" i="3"/>
  <c r="U158" i="3"/>
  <c r="S158" i="3"/>
  <c r="R158" i="3"/>
  <c r="Q158" i="3"/>
  <c r="K167" i="1" s="1"/>
  <c r="L162" i="4"/>
  <c r="M155" i="4"/>
  <c r="N155" i="4" s="1"/>
  <c r="H543" i="1" l="1"/>
  <c r="H545" i="1"/>
  <c r="H547" i="1"/>
  <c r="H544" i="1"/>
  <c r="H548" i="1"/>
  <c r="I544" i="1"/>
  <c r="H566" i="1" s="1"/>
  <c r="I543" i="1"/>
  <c r="H565" i="1" s="1"/>
  <c r="I547" i="1"/>
  <c r="H569" i="1" s="1"/>
  <c r="I546" i="1"/>
  <c r="H568" i="1" s="1"/>
  <c r="I548" i="1"/>
  <c r="H570" i="1" s="1"/>
  <c r="I545" i="1"/>
  <c r="H567" i="1" s="1"/>
  <c r="H546" i="1"/>
  <c r="J543" i="1" l="1"/>
  <c r="J547" i="1"/>
  <c r="J545" i="1"/>
  <c r="J548" i="1"/>
  <c r="J546" i="1"/>
  <c r="J544" i="1"/>
  <c r="G3" i="4" l="1"/>
  <c r="G3" i="3"/>
  <c r="G4" i="4" l="1"/>
  <c r="G4" i="3"/>
  <c r="G5" i="4" l="1"/>
  <c r="G5" i="3"/>
  <c r="G6" i="4" l="1"/>
  <c r="G6" i="3"/>
  <c r="G7" i="4" l="1"/>
  <c r="G7" i="3"/>
  <c r="G8" i="4" l="1"/>
  <c r="G8" i="3"/>
  <c r="G9" i="4" l="1"/>
  <c r="G9" i="3"/>
  <c r="G10" i="4" l="1"/>
  <c r="G10" i="3"/>
  <c r="G11" i="4" l="1"/>
  <c r="G11" i="3"/>
  <c r="G12" i="4" l="1"/>
  <c r="G12" i="3"/>
  <c r="G13" i="4" l="1"/>
  <c r="G13" i="3"/>
  <c r="G14" i="4" l="1"/>
  <c r="G14" i="3"/>
  <c r="G15" i="4" l="1"/>
  <c r="G15" i="3"/>
  <c r="K149" i="3"/>
  <c r="G16" i="4" l="1"/>
  <c r="G16" i="3"/>
  <c r="P149" i="3"/>
  <c r="L149" i="3"/>
  <c r="C12" i="7"/>
  <c r="F158" i="1" s="1"/>
  <c r="G158" i="1" s="1"/>
  <c r="B5" i="2"/>
  <c r="B6" i="2" s="1"/>
  <c r="F383" i="1" s="1"/>
  <c r="G17" i="4" l="1"/>
  <c r="G17" i="3"/>
  <c r="L343" i="1"/>
  <c r="K343" i="1"/>
  <c r="L347" i="1"/>
  <c r="K345" i="1"/>
  <c r="I349" i="1"/>
  <c r="M349" i="1" s="1"/>
  <c r="K352" i="1"/>
  <c r="I346" i="1"/>
  <c r="I352" i="1"/>
  <c r="I350" i="1"/>
  <c r="I343" i="1"/>
  <c r="K349" i="1"/>
  <c r="K348" i="1"/>
  <c r="L350" i="1"/>
  <c r="I344" i="1"/>
  <c r="L352" i="1"/>
  <c r="K344" i="1"/>
  <c r="L346" i="1"/>
  <c r="L349" i="1"/>
  <c r="L348" i="1"/>
  <c r="K347" i="1"/>
  <c r="I348" i="1"/>
  <c r="L351" i="1"/>
  <c r="L345" i="1"/>
  <c r="L344" i="1"/>
  <c r="I345" i="1"/>
  <c r="I351" i="1"/>
  <c r="K351" i="1"/>
  <c r="K350" i="1"/>
  <c r="I347" i="1"/>
  <c r="K346" i="1"/>
  <c r="I158" i="1"/>
  <c r="V149" i="3"/>
  <c r="T149" i="3"/>
  <c r="W149" i="3"/>
  <c r="U149" i="3"/>
  <c r="S149" i="3"/>
  <c r="R149" i="3"/>
  <c r="Q149" i="3"/>
  <c r="K158" i="1" s="1"/>
  <c r="D12" i="7"/>
  <c r="E12" i="7" s="1"/>
  <c r="M149" i="3"/>
  <c r="N149" i="3" s="1"/>
  <c r="M347" i="1" l="1"/>
  <c r="M343" i="1"/>
  <c r="M352" i="1"/>
  <c r="M346" i="1"/>
  <c r="G18" i="4"/>
  <c r="G18" i="3"/>
  <c r="M348" i="1"/>
  <c r="M344" i="1"/>
  <c r="M351" i="1"/>
  <c r="M345" i="1"/>
  <c r="M350" i="1"/>
  <c r="G19" i="4" l="1"/>
  <c r="G19" i="3"/>
  <c r="G20" i="4" l="1"/>
  <c r="G20" i="3"/>
  <c r="G21" i="4" l="1"/>
  <c r="G21" i="3"/>
  <c r="G22" i="4" l="1"/>
  <c r="G22" i="3"/>
  <c r="G23" i="4"/>
  <c r="G24" i="4" l="1"/>
  <c r="G23" i="3"/>
  <c r="G25" i="4" l="1"/>
  <c r="G24" i="3"/>
  <c r="G26" i="4" l="1"/>
  <c r="G25" i="3"/>
  <c r="G26" i="3" l="1"/>
  <c r="G27" i="4"/>
  <c r="G27" i="3" l="1"/>
  <c r="G28" i="4"/>
  <c r="K150" i="3"/>
  <c r="P150" i="3" l="1"/>
  <c r="C13" i="7"/>
  <c r="F159" i="1" s="1"/>
  <c r="G159" i="1" s="1"/>
  <c r="L150" i="3"/>
  <c r="C5" i="2"/>
  <c r="C6" i="2" s="1"/>
  <c r="G383" i="1" s="1"/>
  <c r="G29" i="4"/>
  <c r="G28" i="3"/>
  <c r="I159" i="1" l="1"/>
  <c r="W150" i="3"/>
  <c r="V150" i="3"/>
  <c r="U150" i="3"/>
  <c r="T150" i="3"/>
  <c r="S150" i="3"/>
  <c r="R150" i="3"/>
  <c r="Q150" i="3"/>
  <c r="K159" i="1" s="1"/>
  <c r="G30" i="4"/>
  <c r="G29" i="3"/>
  <c r="M150" i="3"/>
  <c r="N150" i="3" s="1"/>
  <c r="D13" i="7"/>
  <c r="E13" i="7" s="1"/>
  <c r="G166" i="1"/>
  <c r="G31" i="4" l="1"/>
  <c r="G30" i="3"/>
  <c r="G32" i="4" l="1"/>
  <c r="G31" i="3"/>
  <c r="G33" i="4" l="1"/>
  <c r="G32" i="3"/>
  <c r="G34" i="4" l="1"/>
  <c r="G33" i="3"/>
  <c r="G35" i="4" l="1"/>
  <c r="G34" i="3"/>
  <c r="G36" i="4" l="1"/>
  <c r="G35" i="3"/>
  <c r="G37" i="4" l="1"/>
  <c r="G36" i="3"/>
  <c r="G38" i="4" l="1"/>
  <c r="G37" i="3"/>
  <c r="G38" i="3" l="1"/>
  <c r="G39" i="4"/>
  <c r="G39" i="3" l="1"/>
  <c r="G40" i="4"/>
  <c r="K151" i="3"/>
  <c r="P151" i="3" l="1"/>
  <c r="C14" i="7"/>
  <c r="F160" i="1" s="1"/>
  <c r="G160" i="1" s="1"/>
  <c r="D5" i="2"/>
  <c r="F382" i="1" s="1"/>
  <c r="L151" i="3"/>
  <c r="G41" i="4"/>
  <c r="G40" i="3"/>
  <c r="I160" i="1" l="1"/>
  <c r="T151" i="3"/>
  <c r="W151" i="3"/>
  <c r="V151" i="3"/>
  <c r="U151" i="3"/>
  <c r="S151" i="3"/>
  <c r="Q151" i="3"/>
  <c r="K160" i="1" s="1"/>
  <c r="R151" i="3"/>
  <c r="M151" i="3"/>
  <c r="N151" i="3" s="1"/>
  <c r="G42" i="4"/>
  <c r="G41" i="3"/>
  <c r="D6" i="2"/>
  <c r="H383" i="1" s="1"/>
  <c r="G167" i="1"/>
  <c r="D14" i="7"/>
  <c r="E14" i="7" s="1"/>
  <c r="E446" i="1" l="1"/>
  <c r="E449" i="1"/>
  <c r="E445" i="1"/>
  <c r="E450" i="1"/>
  <c r="E447" i="1"/>
  <c r="E448" i="1"/>
  <c r="H450" i="1"/>
  <c r="H445" i="1"/>
  <c r="H449" i="1"/>
  <c r="H448" i="1"/>
  <c r="H447" i="1"/>
  <c r="H446" i="1"/>
  <c r="G43" i="4"/>
  <c r="G42" i="3"/>
  <c r="I446" i="1" l="1"/>
  <c r="G447" i="1"/>
  <c r="H590" i="1"/>
  <c r="G450" i="1"/>
  <c r="H593" i="1"/>
  <c r="G445" i="1"/>
  <c r="H588" i="1"/>
  <c r="G448" i="1"/>
  <c r="H591" i="1"/>
  <c r="G449" i="1"/>
  <c r="H592" i="1"/>
  <c r="G446" i="1"/>
  <c r="H589" i="1"/>
  <c r="I445" i="1"/>
  <c r="I450" i="1"/>
  <c r="I449" i="1"/>
  <c r="I447" i="1"/>
  <c r="I448" i="1"/>
  <c r="G44" i="4"/>
  <c r="G43" i="3"/>
  <c r="G45" i="4" l="1"/>
  <c r="G44" i="3"/>
  <c r="G46" i="4" l="1"/>
  <c r="G45" i="3"/>
  <c r="G47" i="4" l="1"/>
  <c r="G46" i="3"/>
  <c r="G48" i="4" l="1"/>
  <c r="G47" i="3"/>
  <c r="G49" i="4" l="1"/>
  <c r="G48" i="3"/>
  <c r="G50" i="4" l="1"/>
  <c r="G49" i="3"/>
  <c r="G50" i="3" l="1"/>
  <c r="G51" i="4"/>
  <c r="G51" i="3" l="1"/>
  <c r="G52" i="4"/>
  <c r="K152" i="3"/>
  <c r="P152" i="3" l="1"/>
  <c r="G53" i="4"/>
  <c r="G52" i="3"/>
  <c r="E5" i="2"/>
  <c r="G382" i="1" s="1"/>
  <c r="L152" i="3"/>
  <c r="C15" i="7"/>
  <c r="F161" i="1" s="1"/>
  <c r="G161" i="1" s="1"/>
  <c r="I161" i="1" l="1"/>
  <c r="T152" i="3"/>
  <c r="W152" i="3"/>
  <c r="V152" i="3"/>
  <c r="U152" i="3"/>
  <c r="S152" i="3"/>
  <c r="Q152" i="3"/>
  <c r="K161" i="1" s="1"/>
  <c r="R152" i="3"/>
  <c r="E6" i="2"/>
  <c r="I383" i="1" s="1"/>
  <c r="M152" i="3"/>
  <c r="N152" i="3" s="1"/>
  <c r="D15" i="7"/>
  <c r="E15" i="7" s="1"/>
  <c r="G54" i="4"/>
  <c r="G53" i="3"/>
  <c r="G55" i="4" l="1"/>
  <c r="G54" i="3"/>
  <c r="G56" i="4" l="1"/>
  <c r="G55" i="3"/>
  <c r="G57" i="4" l="1"/>
  <c r="G56" i="3"/>
  <c r="G58" i="4" l="1"/>
  <c r="G57" i="3"/>
  <c r="G59" i="4" l="1"/>
  <c r="G58" i="3"/>
  <c r="G60" i="4" l="1"/>
  <c r="G59" i="3"/>
  <c r="G61" i="4" l="1"/>
  <c r="G60" i="3"/>
  <c r="G62" i="4" l="1"/>
  <c r="G61" i="3"/>
  <c r="G62" i="3" l="1"/>
  <c r="G63" i="4"/>
  <c r="G63" i="3" l="1"/>
  <c r="G64" i="4"/>
  <c r="K153" i="3"/>
  <c r="P153" i="3" s="1"/>
  <c r="I162" i="1" l="1"/>
  <c r="U153" i="3"/>
  <c r="V153" i="3"/>
  <c r="W153" i="3"/>
  <c r="T153" i="3"/>
  <c r="S153" i="3"/>
  <c r="R153" i="3"/>
  <c r="Q153" i="3"/>
  <c r="K162" i="1" s="1"/>
  <c r="G65" i="4"/>
  <c r="G64" i="3"/>
  <c r="L153" i="3"/>
  <c r="F5" i="2"/>
  <c r="H382" i="1" s="1"/>
  <c r="C16" i="7"/>
  <c r="F162" i="1" s="1"/>
  <c r="G162" i="1" s="1"/>
  <c r="M153" i="3" l="1"/>
  <c r="N153" i="3" s="1"/>
  <c r="F6" i="2"/>
  <c r="K383" i="1" s="1"/>
  <c r="D16" i="7"/>
  <c r="E16" i="7" s="1"/>
  <c r="G66" i="4"/>
  <c r="G65" i="3"/>
  <c r="G67" i="4" l="1"/>
  <c r="G66" i="3"/>
  <c r="G67" i="3" l="1"/>
  <c r="G68" i="4"/>
  <c r="G69" i="4" l="1"/>
  <c r="G68" i="3"/>
  <c r="G70" i="4" l="1"/>
  <c r="G69" i="3"/>
  <c r="G70" i="3" l="1"/>
  <c r="G71" i="4"/>
  <c r="G72" i="4" l="1"/>
  <c r="G71" i="3"/>
  <c r="G72" i="3" l="1"/>
  <c r="G73" i="4"/>
  <c r="G74" i="4" l="1"/>
  <c r="G73" i="3"/>
  <c r="G75" i="4" l="1"/>
  <c r="G74" i="3"/>
  <c r="K154" i="3" l="1"/>
  <c r="P154" i="3" s="1"/>
  <c r="G75" i="3"/>
  <c r="G76" i="4"/>
  <c r="I163" i="1" l="1"/>
  <c r="V154" i="3"/>
  <c r="W154" i="3"/>
  <c r="U154" i="3"/>
  <c r="T154" i="3"/>
  <c r="S154" i="3"/>
  <c r="R154" i="3"/>
  <c r="Q154" i="3"/>
  <c r="K163" i="1" s="1"/>
  <c r="G77" i="4"/>
  <c r="G76" i="3"/>
  <c r="L154" i="3"/>
  <c r="M154" i="3" s="1"/>
  <c r="N154" i="3" s="1"/>
  <c r="C17" i="7"/>
  <c r="F163" i="1" s="1"/>
  <c r="G163" i="1" s="1"/>
  <c r="G5" i="2"/>
  <c r="I382" i="1" s="1"/>
  <c r="G6" i="2" l="1"/>
  <c r="L383" i="1" s="1"/>
  <c r="G78" i="4"/>
  <c r="G77" i="3"/>
  <c r="D17" i="7"/>
  <c r="E17" i="7" s="1"/>
  <c r="G79" i="4" l="1"/>
  <c r="G78" i="3"/>
  <c r="G79" i="3" l="1"/>
  <c r="G80" i="4"/>
  <c r="G81" i="4" l="1"/>
  <c r="G80" i="3"/>
  <c r="G82" i="4" l="1"/>
  <c r="G81" i="3"/>
  <c r="G82" i="3" l="1"/>
  <c r="G83" i="4"/>
  <c r="G84" i="4" l="1"/>
  <c r="G83" i="3"/>
  <c r="G85" i="4" l="1"/>
  <c r="G84" i="3"/>
  <c r="G85" i="3" l="1"/>
  <c r="G86" i="4"/>
  <c r="G86" i="3" l="1"/>
  <c r="G87" i="4"/>
  <c r="G87" i="3" l="1"/>
  <c r="G88" i="4"/>
  <c r="K155" i="3"/>
  <c r="H5" i="2" l="1"/>
  <c r="P155" i="3"/>
  <c r="G89" i="4"/>
  <c r="G88" i="3"/>
  <c r="C18" i="7"/>
  <c r="F164" i="1" s="1"/>
  <c r="G164" i="1" s="1"/>
  <c r="L155" i="3"/>
  <c r="I164" i="1" l="1"/>
  <c r="T155" i="3"/>
  <c r="W155" i="3"/>
  <c r="V155" i="3"/>
  <c r="U155" i="3"/>
  <c r="S155" i="3"/>
  <c r="R155" i="3"/>
  <c r="Q155" i="3"/>
  <c r="K164" i="1" s="1"/>
  <c r="H6" i="2"/>
  <c r="M383" i="1" s="1"/>
  <c r="K382" i="1"/>
  <c r="M155" i="3"/>
  <c r="N155" i="3" s="1"/>
  <c r="D18" i="7"/>
  <c r="E18" i="7" s="1"/>
  <c r="G90" i="4"/>
  <c r="G89" i="3"/>
  <c r="G90" i="3" l="1"/>
  <c r="G91" i="4"/>
  <c r="G92" i="4" l="1"/>
  <c r="G91" i="3"/>
  <c r="G93" i="4" l="1"/>
  <c r="G92" i="3"/>
  <c r="G93" i="3" l="1"/>
  <c r="G94" i="4"/>
  <c r="G95" i="4" l="1"/>
  <c r="G94" i="3"/>
  <c r="G95" i="3" l="1"/>
  <c r="G96" i="4"/>
  <c r="G96" i="3" l="1"/>
  <c r="G97" i="4"/>
  <c r="G98" i="4" l="1"/>
  <c r="G97" i="3"/>
  <c r="G98" i="3" l="1"/>
  <c r="K156" i="3" l="1"/>
  <c r="K162" i="3" l="1"/>
  <c r="I5" i="2"/>
  <c r="P156" i="3"/>
  <c r="K164" i="3"/>
  <c r="L164" i="3" s="1"/>
  <c r="C19" i="7"/>
  <c r="L156" i="3"/>
  <c r="I6" i="2" l="1"/>
  <c r="N383" i="1" s="1"/>
  <c r="L382" i="1"/>
  <c r="D19" i="7"/>
  <c r="E19" i="7" s="1"/>
  <c r="F165" i="1"/>
  <c r="G165" i="1" s="1"/>
  <c r="I165" i="1"/>
  <c r="U156" i="3"/>
  <c r="T156" i="3"/>
  <c r="W156" i="3"/>
  <c r="V156" i="3"/>
  <c r="S156" i="3"/>
  <c r="R156" i="3"/>
  <c r="Q156" i="3"/>
  <c r="K165" i="1" s="1"/>
  <c r="M156" i="3"/>
  <c r="N156" i="3" s="1"/>
  <c r="L162" i="3"/>
  <c r="H514" i="1" l="1"/>
  <c r="J514" i="1" s="1"/>
  <c r="H515" i="1"/>
  <c r="J515" i="1" s="1"/>
  <c r="H516" i="1"/>
  <c r="J516" i="1" s="1"/>
  <c r="H513" i="1"/>
  <c r="J513" i="1" s="1"/>
  <c r="H512" i="1"/>
  <c r="J512" i="1" s="1"/>
  <c r="H511" i="1"/>
  <c r="J511" i="1" s="1"/>
  <c r="F19" i="7"/>
  <c r="F26" i="7" s="1"/>
  <c r="E44" i="1" l="1"/>
  <c r="G71" i="7" l="1"/>
  <c r="G76" i="7" s="1"/>
  <c r="K80" i="7" s="1"/>
  <c r="K71" i="7" s="1"/>
  <c r="I92" i="1" s="1"/>
  <c r="L10" i="2"/>
  <c r="G72" i="7"/>
  <c r="G77" i="7" s="1"/>
  <c r="B28" i="9"/>
  <c r="B32" i="9" l="1"/>
  <c r="E368" i="1" s="1"/>
  <c r="E364" i="1"/>
  <c r="L80" i="7"/>
  <c r="M80" i="7"/>
  <c r="M71" i="7" s="1"/>
  <c r="H80" i="7"/>
  <c r="H71" i="7" s="1"/>
  <c r="I80" i="7"/>
  <c r="I71" i="7" s="1"/>
  <c r="J80" i="7"/>
  <c r="J71" i="7" s="1"/>
  <c r="L28" i="2"/>
  <c r="O408" i="1" s="1"/>
  <c r="I556" i="1" s="1"/>
  <c r="F568" i="1" s="1"/>
  <c r="I568" i="1" s="1"/>
  <c r="H624" i="1" s="1"/>
  <c r="H65" i="1"/>
  <c r="J81" i="7"/>
  <c r="J72" i="7" s="1"/>
  <c r="H93" i="1" s="1"/>
  <c r="K81" i="7"/>
  <c r="K72" i="7" s="1"/>
  <c r="I93" i="1" s="1"/>
  <c r="I81" i="7"/>
  <c r="I72" i="7" s="1"/>
  <c r="G93" i="1" s="1"/>
  <c r="L81" i="7"/>
  <c r="L72" i="7" s="1"/>
  <c r="J93" i="1" s="1"/>
  <c r="H81" i="7"/>
  <c r="H72" i="7" s="1"/>
  <c r="F93" i="1" s="1"/>
  <c r="M81" i="7"/>
  <c r="M72" i="7" s="1"/>
  <c r="K93" i="1" s="1"/>
  <c r="E43" i="1"/>
  <c r="F43" i="1" s="1"/>
  <c r="G43" i="1" s="1"/>
  <c r="G568" i="1" l="1"/>
  <c r="J568" i="1"/>
  <c r="K65" i="1"/>
  <c r="K92" i="1"/>
  <c r="G65" i="1"/>
  <c r="H92" i="1"/>
  <c r="F65" i="1"/>
  <c r="G92" i="1"/>
  <c r="E65" i="1"/>
  <c r="F92" i="1"/>
  <c r="J556" i="1"/>
  <c r="H612" i="1"/>
  <c r="D633" i="1" s="1"/>
  <c r="L71" i="7"/>
  <c r="L15" i="2"/>
  <c r="I553" i="1" s="1"/>
  <c r="F565" i="1" s="1"/>
  <c r="I565" i="1" s="1"/>
  <c r="H621" i="1" s="1"/>
  <c r="L38" i="2"/>
  <c r="O413" i="1" s="1"/>
  <c r="N80" i="7"/>
  <c r="L23" i="2"/>
  <c r="O398" i="1" s="1"/>
  <c r="I555" i="1" s="1"/>
  <c r="F567" i="1" s="1"/>
  <c r="I567" i="1" s="1"/>
  <c r="H623" i="1" s="1"/>
  <c r="L19" i="2"/>
  <c r="O394" i="1" s="1"/>
  <c r="B15" i="9"/>
  <c r="L24" i="2" s="1"/>
  <c r="C5" i="14"/>
  <c r="C19" i="14" s="1"/>
  <c r="E99" i="14" s="1"/>
  <c r="I65" i="1"/>
  <c r="C12" i="14"/>
  <c r="C26" i="14" s="1"/>
  <c r="E106" i="14" s="1"/>
  <c r="I331" i="1"/>
  <c r="F331" i="1"/>
  <c r="K331" i="1"/>
  <c r="H331" i="1"/>
  <c r="E331" i="1"/>
  <c r="N81" i="7"/>
  <c r="G331" i="1"/>
  <c r="F44" i="1"/>
  <c r="G44" i="1" s="1"/>
  <c r="C28" i="9"/>
  <c r="D28" i="9"/>
  <c r="E12" i="9"/>
  <c r="I47" i="2" s="1"/>
  <c r="I52" i="2" s="1"/>
  <c r="D10" i="12"/>
  <c r="O29" i="2"/>
  <c r="O30" i="2" s="1"/>
  <c r="M8" i="1" s="1"/>
  <c r="F535" i="1" s="1"/>
  <c r="E600" i="1" s="1"/>
  <c r="G600" i="1" s="1"/>
  <c r="Q29" i="2"/>
  <c r="Q30" i="2" s="1"/>
  <c r="G565" i="1" l="1"/>
  <c r="J565" i="1"/>
  <c r="J567" i="1"/>
  <c r="G567" i="1"/>
  <c r="L33" i="2"/>
  <c r="O403" i="1" s="1"/>
  <c r="I557" i="1" s="1"/>
  <c r="F569" i="1" s="1"/>
  <c r="I569" i="1" s="1"/>
  <c r="H625" i="1" s="1"/>
  <c r="J92" i="1"/>
  <c r="J555" i="1"/>
  <c r="H611" i="1"/>
  <c r="D632" i="1" s="1"/>
  <c r="J553" i="1"/>
  <c r="H609" i="1"/>
  <c r="D630" i="1" s="1"/>
  <c r="I630" i="1" s="1"/>
  <c r="N71" i="7"/>
  <c r="L46" i="2" s="1"/>
  <c r="L34" i="2"/>
  <c r="O404" i="1" s="1"/>
  <c r="O390" i="1"/>
  <c r="W15" i="2"/>
  <c r="W16" i="2" s="1"/>
  <c r="U15" i="2"/>
  <c r="U16" i="2" s="1"/>
  <c r="N5" i="1" s="1"/>
  <c r="F597" i="1" s="1"/>
  <c r="I558" i="1"/>
  <c r="F570" i="1" s="1"/>
  <c r="I570" i="1" s="1"/>
  <c r="H626" i="1" s="1"/>
  <c r="D32" i="9"/>
  <c r="G368" i="1" s="1"/>
  <c r="G364" i="1"/>
  <c r="I554" i="1"/>
  <c r="F566" i="1" s="1"/>
  <c r="I566" i="1" s="1"/>
  <c r="H622" i="1" s="1"/>
  <c r="E376" i="1"/>
  <c r="C32" i="9"/>
  <c r="F368" i="1" s="1"/>
  <c r="F364" i="1"/>
  <c r="G535" i="1"/>
  <c r="U38" i="2"/>
  <c r="U39" i="2" s="1"/>
  <c r="N10" i="1" s="1"/>
  <c r="F602" i="1" s="1"/>
  <c r="C7" i="14"/>
  <c r="C21" i="14" s="1"/>
  <c r="K21" i="14" s="1"/>
  <c r="K35" i="14" s="1"/>
  <c r="M35" i="14" s="1"/>
  <c r="O35" i="14" s="1"/>
  <c r="P398" i="1"/>
  <c r="I611" i="1" s="1"/>
  <c r="D642" i="1" s="1"/>
  <c r="D652" i="1" s="1"/>
  <c r="P394" i="1"/>
  <c r="I610" i="1"/>
  <c r="D641" i="1" s="1"/>
  <c r="D651" i="1" s="1"/>
  <c r="I651" i="1" s="1"/>
  <c r="K651" i="1" s="1"/>
  <c r="K611" i="1"/>
  <c r="E632" i="1" s="1"/>
  <c r="I632" i="1" s="1"/>
  <c r="K632" i="1" s="1"/>
  <c r="O399" i="1"/>
  <c r="L555" i="1"/>
  <c r="M555" i="1" s="1"/>
  <c r="W38" i="2"/>
  <c r="W39" i="2" s="1"/>
  <c r="C11" i="14"/>
  <c r="C25" i="14" s="1"/>
  <c r="E25" i="14" s="1"/>
  <c r="E79" i="14" s="1"/>
  <c r="G79" i="14" s="1"/>
  <c r="P403" i="1"/>
  <c r="I613" i="1" s="1"/>
  <c r="D644" i="1" s="1"/>
  <c r="D654" i="1" s="1"/>
  <c r="U19" i="2"/>
  <c r="U20" i="2" s="1"/>
  <c r="N6" i="1" s="1"/>
  <c r="F598" i="1" s="1"/>
  <c r="M42" i="2"/>
  <c r="W19" i="2"/>
  <c r="W20" i="2" s="1"/>
  <c r="I609" i="1"/>
  <c r="P390" i="1"/>
  <c r="I614" i="1"/>
  <c r="D645" i="1" s="1"/>
  <c r="D655" i="1" s="1"/>
  <c r="I655" i="1" s="1"/>
  <c r="K655" i="1" s="1"/>
  <c r="P413" i="1"/>
  <c r="C6" i="14"/>
  <c r="C20" i="14" s="1"/>
  <c r="E100" i="14" s="1"/>
  <c r="C10" i="14"/>
  <c r="P408" i="1"/>
  <c r="I612" i="1" s="1"/>
  <c r="D643" i="1" s="1"/>
  <c r="D653" i="1" s="1"/>
  <c r="M102" i="12"/>
  <c r="O102" i="12" s="1"/>
  <c r="M50" i="12"/>
  <c r="E26" i="14"/>
  <c r="K19" i="14"/>
  <c r="E19" i="14"/>
  <c r="K26" i="14"/>
  <c r="I279" i="1"/>
  <c r="L279" i="1"/>
  <c r="H279" i="1"/>
  <c r="G279" i="1"/>
  <c r="L331" i="1"/>
  <c r="K279" i="1"/>
  <c r="N72" i="7"/>
  <c r="F279" i="1"/>
  <c r="G50" i="12"/>
  <c r="K630" i="1" l="1"/>
  <c r="I575" i="1"/>
  <c r="J575" i="1" s="1"/>
  <c r="D640" i="1"/>
  <c r="I576" i="1"/>
  <c r="J576" i="1" s="1"/>
  <c r="I641" i="1"/>
  <c r="K641" i="1" s="1"/>
  <c r="I579" i="1"/>
  <c r="J579" i="1" s="1"/>
  <c r="I577" i="1"/>
  <c r="J577" i="1" s="1"/>
  <c r="I580" i="1"/>
  <c r="J580" i="1" s="1"/>
  <c r="I645" i="1"/>
  <c r="K645" i="1" s="1"/>
  <c r="I591" i="1"/>
  <c r="J591" i="1" s="1"/>
  <c r="I578" i="1"/>
  <c r="J578" i="1" s="1"/>
  <c r="I626" i="1"/>
  <c r="J626" i="1" s="1"/>
  <c r="I593" i="1"/>
  <c r="J593" i="1" s="1"/>
  <c r="I621" i="1"/>
  <c r="J621" i="1" s="1"/>
  <c r="I588" i="1"/>
  <c r="J588" i="1" s="1"/>
  <c r="I625" i="1"/>
  <c r="J625" i="1" s="1"/>
  <c r="I592" i="1"/>
  <c r="J592" i="1" s="1"/>
  <c r="I623" i="1"/>
  <c r="J623" i="1" s="1"/>
  <c r="I590" i="1"/>
  <c r="J590" i="1" s="1"/>
  <c r="I622" i="1"/>
  <c r="J622" i="1" s="1"/>
  <c r="I589" i="1"/>
  <c r="J589" i="1" s="1"/>
  <c r="J612" i="1"/>
  <c r="I624" i="1"/>
  <c r="J624" i="1" s="1"/>
  <c r="H614" i="1"/>
  <c r="J557" i="1"/>
  <c r="H610" i="1"/>
  <c r="H613" i="1"/>
  <c r="D634" i="1" s="1"/>
  <c r="O417" i="1"/>
  <c r="J609" i="1"/>
  <c r="J611" i="1"/>
  <c r="J558" i="1"/>
  <c r="J554" i="1"/>
  <c r="O71" i="7"/>
  <c r="L557" i="1"/>
  <c r="M557" i="1" s="1"/>
  <c r="M559" i="1" s="1"/>
  <c r="M560" i="1" s="1"/>
  <c r="K613" i="1"/>
  <c r="G376" i="1"/>
  <c r="I559" i="1"/>
  <c r="C14" i="14"/>
  <c r="E20" i="14"/>
  <c r="E74" i="14" s="1"/>
  <c r="G74" i="14" s="1"/>
  <c r="G25" i="14"/>
  <c r="C139" i="14" s="1"/>
  <c r="P417" i="1"/>
  <c r="O418" i="1"/>
  <c r="E21" i="14"/>
  <c r="E75" i="14" s="1"/>
  <c r="G75" i="14" s="1"/>
  <c r="M21" i="14"/>
  <c r="M75" i="14" s="1"/>
  <c r="K40" i="14"/>
  <c r="M40" i="14" s="1"/>
  <c r="O40" i="14" s="1"/>
  <c r="M106" i="14"/>
  <c r="M34" i="2"/>
  <c r="W34" i="2" s="1"/>
  <c r="W35" i="2" s="1"/>
  <c r="G377" i="1"/>
  <c r="K24" i="14"/>
  <c r="K38" i="14" s="1"/>
  <c r="M38" i="14" s="1"/>
  <c r="O38" i="14" s="1"/>
  <c r="C24" i="14"/>
  <c r="M24" i="2"/>
  <c r="D7" i="14" s="1"/>
  <c r="E377" i="1"/>
  <c r="K25" i="14"/>
  <c r="K39" i="14" s="1"/>
  <c r="M39" i="14" s="1"/>
  <c r="O39" i="14" s="1"/>
  <c r="E53" i="14"/>
  <c r="E66" i="14" s="1"/>
  <c r="G66" i="14" s="1"/>
  <c r="K33" i="14"/>
  <c r="M33" i="14" s="1"/>
  <c r="M99" i="14"/>
  <c r="K20" i="14"/>
  <c r="M20" i="14" s="1"/>
  <c r="M63" i="12"/>
  <c r="O63" i="12" s="1"/>
  <c r="O50" i="12"/>
  <c r="G19" i="14"/>
  <c r="C138" i="14" s="1"/>
  <c r="E73" i="14"/>
  <c r="G73" i="14" s="1"/>
  <c r="E47" i="14"/>
  <c r="G26" i="14"/>
  <c r="C142" i="14" s="1"/>
  <c r="E54" i="14"/>
  <c r="E80" i="14"/>
  <c r="G80" i="14" s="1"/>
  <c r="M26" i="14"/>
  <c r="M19" i="14"/>
  <c r="O72" i="7"/>
  <c r="E15" i="9"/>
  <c r="L47" i="2" s="1"/>
  <c r="C7" i="12"/>
  <c r="E117" i="1"/>
  <c r="O19" i="2"/>
  <c r="O20" i="2" s="1"/>
  <c r="M6" i="1" s="1"/>
  <c r="F533" i="1" s="1"/>
  <c r="E598" i="1" s="1"/>
  <c r="G598" i="1" s="1"/>
  <c r="C6" i="12"/>
  <c r="C20" i="12" s="1"/>
  <c r="Q19" i="2"/>
  <c r="Q20" i="2" s="1"/>
  <c r="Q38" i="2"/>
  <c r="Q39" i="2" s="1"/>
  <c r="C12" i="12"/>
  <c r="C26" i="12" s="1"/>
  <c r="O38" i="2"/>
  <c r="O39" i="2" s="1"/>
  <c r="M10" i="1" s="1"/>
  <c r="F537" i="1" s="1"/>
  <c r="E602" i="1" s="1"/>
  <c r="G602" i="1" s="1"/>
  <c r="E279" i="1"/>
  <c r="F117" i="1"/>
  <c r="F118" i="1"/>
  <c r="K118" i="1"/>
  <c r="K117" i="1"/>
  <c r="D11" i="12"/>
  <c r="Q34" i="2"/>
  <c r="Q35" i="2" s="1"/>
  <c r="O34" i="2"/>
  <c r="O35" i="2" s="1"/>
  <c r="M9" i="1" s="1"/>
  <c r="F536" i="1" s="1"/>
  <c r="E601" i="1" s="1"/>
  <c r="C10" i="12"/>
  <c r="C24" i="12" s="1"/>
  <c r="E24" i="12" s="1"/>
  <c r="L65" i="1"/>
  <c r="I118" i="1"/>
  <c r="I117" i="1"/>
  <c r="E16" i="9"/>
  <c r="M47" i="2" s="1"/>
  <c r="O15" i="2"/>
  <c r="O16" i="2" s="1"/>
  <c r="M5" i="1" s="1"/>
  <c r="L42" i="2"/>
  <c r="Q15" i="2"/>
  <c r="Q16" i="2" s="1"/>
  <c r="C5" i="12"/>
  <c r="C11" i="12"/>
  <c r="C25" i="12" s="1"/>
  <c r="E25" i="12" s="1"/>
  <c r="G117" i="1"/>
  <c r="G118" i="1"/>
  <c r="H118" i="1"/>
  <c r="H117" i="1"/>
  <c r="I640" i="1" l="1"/>
  <c r="D650" i="1"/>
  <c r="I650" i="1" s="1"/>
  <c r="I581" i="1"/>
  <c r="K615" i="1"/>
  <c r="E634" i="1"/>
  <c r="I634" i="1" s="1"/>
  <c r="K634" i="1" s="1"/>
  <c r="J610" i="1"/>
  <c r="D631" i="1"/>
  <c r="I631" i="1" s="1"/>
  <c r="J614" i="1"/>
  <c r="D635" i="1"/>
  <c r="I635" i="1" s="1"/>
  <c r="K635" i="1" s="1"/>
  <c r="J581" i="1"/>
  <c r="J582" i="1" s="1"/>
  <c r="L559" i="1"/>
  <c r="H615" i="1"/>
  <c r="G569" i="1"/>
  <c r="J569" i="1"/>
  <c r="J570" i="1"/>
  <c r="G570" i="1"/>
  <c r="J566" i="1"/>
  <c r="G566" i="1"/>
  <c r="J613" i="1"/>
  <c r="J559" i="1"/>
  <c r="J560" i="1" s="1"/>
  <c r="G20" i="14"/>
  <c r="E48" i="14"/>
  <c r="G48" i="14" s="1"/>
  <c r="W24" i="2"/>
  <c r="W25" i="2" s="1"/>
  <c r="G21" i="14"/>
  <c r="O21" i="14"/>
  <c r="U34" i="2"/>
  <c r="U35" i="2" s="1"/>
  <c r="N9" i="1" s="1"/>
  <c r="F601" i="1" s="1"/>
  <c r="M25" i="14"/>
  <c r="M79" i="14" s="1"/>
  <c r="M92" i="14" s="1"/>
  <c r="O92" i="14" s="1"/>
  <c r="M24" i="14"/>
  <c r="O24" i="14" s="1"/>
  <c r="D140" i="14" s="1"/>
  <c r="G53" i="14"/>
  <c r="K28" i="14"/>
  <c r="P404" i="1"/>
  <c r="L613" i="1"/>
  <c r="E644" i="1" s="1"/>
  <c r="D11" i="14"/>
  <c r="M53" i="14" s="1"/>
  <c r="G533" i="1"/>
  <c r="H377" i="1"/>
  <c r="P399" i="1"/>
  <c r="L611" i="1"/>
  <c r="E642" i="1" s="1"/>
  <c r="F532" i="1"/>
  <c r="E597" i="1" s="1"/>
  <c r="G597" i="1" s="1"/>
  <c r="U24" i="2"/>
  <c r="U25" i="2" s="1"/>
  <c r="K34" i="14"/>
  <c r="M34" i="14" s="1"/>
  <c r="O34" i="14" s="1"/>
  <c r="M100" i="14"/>
  <c r="C28" i="14"/>
  <c r="E24" i="14"/>
  <c r="G536" i="1"/>
  <c r="G537" i="1"/>
  <c r="E90" i="12"/>
  <c r="G90" i="12" s="1"/>
  <c r="G25" i="12"/>
  <c r="E20" i="12"/>
  <c r="E98" i="12"/>
  <c r="G98" i="12" s="1"/>
  <c r="M103" i="12"/>
  <c r="O103" i="12" s="1"/>
  <c r="M51" i="12"/>
  <c r="E89" i="12"/>
  <c r="G89" i="12" s="1"/>
  <c r="E76" i="12"/>
  <c r="G76" i="12" s="1"/>
  <c r="G24" i="12"/>
  <c r="C138" i="12" s="1"/>
  <c r="E26" i="12"/>
  <c r="E104" i="12"/>
  <c r="G104" i="12" s="1"/>
  <c r="O19" i="14"/>
  <c r="M73" i="14"/>
  <c r="M47" i="14"/>
  <c r="M48" i="14"/>
  <c r="M74" i="14"/>
  <c r="O75" i="14"/>
  <c r="M88" i="14"/>
  <c r="O88" i="14" s="1"/>
  <c r="G54" i="14"/>
  <c r="E67" i="14"/>
  <c r="G67" i="14" s="1"/>
  <c r="M101" i="14"/>
  <c r="O101" i="14" s="1"/>
  <c r="M49" i="14"/>
  <c r="G47" i="14"/>
  <c r="E60" i="14"/>
  <c r="G60" i="14" s="1"/>
  <c r="M80" i="14"/>
  <c r="M54" i="14"/>
  <c r="O20" i="14"/>
  <c r="O26" i="14"/>
  <c r="O33" i="14"/>
  <c r="E88" i="14"/>
  <c r="G88" i="14" s="1"/>
  <c r="W41" i="2"/>
  <c r="K24" i="12"/>
  <c r="M24" i="12" s="1"/>
  <c r="K25" i="12"/>
  <c r="M25" i="12" s="1"/>
  <c r="K20" i="12"/>
  <c r="H138" i="1"/>
  <c r="H230" i="1"/>
  <c r="H257" i="1" s="1"/>
  <c r="G229" i="1"/>
  <c r="G137" i="1"/>
  <c r="K230" i="1"/>
  <c r="K257" i="1" s="1"/>
  <c r="K138" i="1"/>
  <c r="E229" i="1"/>
  <c r="E137" i="1"/>
  <c r="I138" i="1"/>
  <c r="I230" i="1"/>
  <c r="I257" i="1" s="1"/>
  <c r="M51" i="2"/>
  <c r="F230" i="1"/>
  <c r="F257" i="1" s="1"/>
  <c r="F138" i="1"/>
  <c r="E118" i="1"/>
  <c r="L66" i="1"/>
  <c r="C59" i="2"/>
  <c r="C60" i="2" s="1"/>
  <c r="C61" i="2" s="1"/>
  <c r="L51" i="2"/>
  <c r="K26" i="12"/>
  <c r="F137" i="1"/>
  <c r="F229" i="1"/>
  <c r="C21" i="12"/>
  <c r="E21" i="12" s="1"/>
  <c r="H137" i="1"/>
  <c r="H229" i="1"/>
  <c r="C19" i="12"/>
  <c r="E97" i="12" s="1"/>
  <c r="G97" i="12" s="1"/>
  <c r="C14" i="12"/>
  <c r="M43" i="2"/>
  <c r="M52" i="2" s="1"/>
  <c r="L43" i="2"/>
  <c r="L52" i="2" s="1"/>
  <c r="Q24" i="2"/>
  <c r="Q25" i="2" s="1"/>
  <c r="Q41" i="2" s="1"/>
  <c r="O24" i="2"/>
  <c r="O25" i="2" s="1"/>
  <c r="D7" i="12"/>
  <c r="G138" i="1"/>
  <c r="G230" i="1"/>
  <c r="G257" i="1" s="1"/>
  <c r="K229" i="1"/>
  <c r="K137" i="1"/>
  <c r="I137" i="1"/>
  <c r="I229" i="1"/>
  <c r="K640" i="1" l="1"/>
  <c r="K631" i="1"/>
  <c r="K636" i="1" s="1"/>
  <c r="I636" i="1"/>
  <c r="K650" i="1"/>
  <c r="I642" i="1"/>
  <c r="K642" i="1" s="1"/>
  <c r="E652" i="1"/>
  <c r="I652" i="1" s="1"/>
  <c r="K652" i="1" s="1"/>
  <c r="I644" i="1"/>
  <c r="K644" i="1" s="1"/>
  <c r="I654" i="1"/>
  <c r="K654" i="1" s="1"/>
  <c r="J615" i="1"/>
  <c r="J616" i="1" s="1"/>
  <c r="M613" i="1"/>
  <c r="L579" i="1"/>
  <c r="M579" i="1" s="1"/>
  <c r="M611" i="1"/>
  <c r="L577" i="1"/>
  <c r="G601" i="1"/>
  <c r="C141" i="14"/>
  <c r="E61" i="14"/>
  <c r="G61" i="14" s="1"/>
  <c r="O79" i="14"/>
  <c r="O25" i="14"/>
  <c r="D139" i="14" s="1"/>
  <c r="E139" i="14" s="1"/>
  <c r="M78" i="14"/>
  <c r="M91" i="14" s="1"/>
  <c r="O91" i="14" s="1"/>
  <c r="M28" i="14"/>
  <c r="D14" i="14"/>
  <c r="M105" i="14"/>
  <c r="O105" i="14" s="1"/>
  <c r="O42" i="14"/>
  <c r="C126" i="14" s="1"/>
  <c r="M42" i="14"/>
  <c r="U41" i="2"/>
  <c r="N7" i="1"/>
  <c r="F599" i="1" s="1"/>
  <c r="O41" i="2"/>
  <c r="M7" i="1"/>
  <c r="G532" i="1"/>
  <c r="D142" i="14"/>
  <c r="E142" i="14" s="1"/>
  <c r="D141" i="14"/>
  <c r="E28" i="14"/>
  <c r="G24" i="14"/>
  <c r="E78" i="14"/>
  <c r="P418" i="1"/>
  <c r="K42" i="14"/>
  <c r="K247" i="1"/>
  <c r="K256" i="1"/>
  <c r="K329" i="1" s="1"/>
  <c r="K337" i="1" s="1"/>
  <c r="G247" i="1"/>
  <c r="G256" i="1"/>
  <c r="G329" i="1" s="1"/>
  <c r="G337" i="1" s="1"/>
  <c r="F247" i="1"/>
  <c r="F256" i="1"/>
  <c r="F329" i="1" s="1"/>
  <c r="F337" i="1" s="1"/>
  <c r="H247" i="1"/>
  <c r="H256" i="1"/>
  <c r="H329" i="1" s="1"/>
  <c r="H337" i="1" s="1"/>
  <c r="E247" i="1"/>
  <c r="E256" i="1"/>
  <c r="I247" i="1"/>
  <c r="I256" i="1"/>
  <c r="I329" i="1" s="1"/>
  <c r="I337" i="1" s="1"/>
  <c r="E73" i="12"/>
  <c r="G73" i="12" s="1"/>
  <c r="E86" i="12"/>
  <c r="G86" i="12" s="1"/>
  <c r="G21" i="12"/>
  <c r="M64" i="12"/>
  <c r="O64" i="12" s="1"/>
  <c r="O51" i="12"/>
  <c r="M77" i="12"/>
  <c r="O77" i="12" s="1"/>
  <c r="M90" i="12"/>
  <c r="O90" i="12" s="1"/>
  <c r="M38" i="12"/>
  <c r="O38" i="12" s="1"/>
  <c r="O25" i="12"/>
  <c r="E85" i="12"/>
  <c r="G85" i="12" s="1"/>
  <c r="E46" i="12"/>
  <c r="G46" i="12" s="1"/>
  <c r="G20" i="12"/>
  <c r="M99" i="12"/>
  <c r="O99" i="12" s="1"/>
  <c r="M47" i="12"/>
  <c r="E91" i="12"/>
  <c r="G91" i="12" s="1"/>
  <c r="E78" i="12"/>
  <c r="G78" i="12" s="1"/>
  <c r="E52" i="12"/>
  <c r="G52" i="12" s="1"/>
  <c r="G26" i="12"/>
  <c r="C140" i="12" s="1"/>
  <c r="M89" i="12"/>
  <c r="O89" i="12" s="1"/>
  <c r="M76" i="12"/>
  <c r="O76" i="12" s="1"/>
  <c r="M37" i="12"/>
  <c r="O37" i="12" s="1"/>
  <c r="O24" i="12"/>
  <c r="M26" i="12"/>
  <c r="M104" i="12"/>
  <c r="O104" i="12" s="1"/>
  <c r="M20" i="12"/>
  <c r="M98" i="12"/>
  <c r="O98" i="12" s="1"/>
  <c r="D138" i="14"/>
  <c r="O80" i="14"/>
  <c r="M93" i="14"/>
  <c r="O74" i="14"/>
  <c r="M87" i="14"/>
  <c r="O48" i="14"/>
  <c r="M61" i="14"/>
  <c r="O61" i="14" s="1"/>
  <c r="O54" i="14"/>
  <c r="M67" i="14"/>
  <c r="O67" i="14" s="1"/>
  <c r="M62" i="14"/>
  <c r="O62" i="14" s="1"/>
  <c r="O49" i="14"/>
  <c r="M60" i="14"/>
  <c r="M56" i="14"/>
  <c r="O47" i="14"/>
  <c r="O53" i="14"/>
  <c r="M66" i="14"/>
  <c r="O66" i="14" s="1"/>
  <c r="M86" i="14"/>
  <c r="O73" i="14"/>
  <c r="E92" i="14"/>
  <c r="G92" i="14" s="1"/>
  <c r="E93" i="14"/>
  <c r="G93" i="14" s="1"/>
  <c r="G56" i="14"/>
  <c r="E56" i="14"/>
  <c r="E87" i="14"/>
  <c r="G87" i="14" s="1"/>
  <c r="G248" i="1"/>
  <c r="K248" i="1"/>
  <c r="I248" i="1"/>
  <c r="I615" i="1"/>
  <c r="K19" i="12"/>
  <c r="M97" i="12" s="1"/>
  <c r="O97" i="12" s="1"/>
  <c r="C28" i="12"/>
  <c r="E19" i="12"/>
  <c r="K21" i="12"/>
  <c r="M21" i="12" s="1"/>
  <c r="E230" i="1"/>
  <c r="E138" i="1"/>
  <c r="H248" i="1"/>
  <c r="D14" i="12"/>
  <c r="E64" i="12"/>
  <c r="G64" i="12" s="1"/>
  <c r="G51" i="12"/>
  <c r="F248" i="1"/>
  <c r="I646" i="1" l="1"/>
  <c r="K646" i="1"/>
  <c r="I656" i="1"/>
  <c r="K656" i="1"/>
  <c r="C144" i="14"/>
  <c r="F56" i="14"/>
  <c r="L581" i="1"/>
  <c r="M577" i="1"/>
  <c r="M581" i="1" s="1"/>
  <c r="M582" i="1" s="1"/>
  <c r="E141" i="14"/>
  <c r="O78" i="14"/>
  <c r="O82" i="14" s="1"/>
  <c r="O28" i="14"/>
  <c r="Q42" i="14"/>
  <c r="D138" i="12"/>
  <c r="E138" i="12" s="1"/>
  <c r="G78" i="14"/>
  <c r="E91" i="14"/>
  <c r="G91" i="14" s="1"/>
  <c r="D137" i="12"/>
  <c r="E137" i="12" s="1"/>
  <c r="C140" i="14"/>
  <c r="E140" i="14" s="1"/>
  <c r="G28" i="14"/>
  <c r="F534" i="1"/>
  <c r="E599" i="1" s="1"/>
  <c r="G599" i="1" s="1"/>
  <c r="M11" i="1"/>
  <c r="M22" i="1" s="1"/>
  <c r="N11" i="1"/>
  <c r="N22" i="1" s="1"/>
  <c r="O106" i="12"/>
  <c r="D144" i="12" s="1"/>
  <c r="C139" i="12"/>
  <c r="H376" i="1"/>
  <c r="E329" i="1"/>
  <c r="L262" i="1"/>
  <c r="E248" i="1"/>
  <c r="E257" i="1"/>
  <c r="E84" i="12"/>
  <c r="G84" i="12" s="1"/>
  <c r="E45" i="12"/>
  <c r="G45" i="12" s="1"/>
  <c r="G19" i="12"/>
  <c r="C136" i="12" s="1"/>
  <c r="M78" i="12"/>
  <c r="O78" i="12" s="1"/>
  <c r="M91" i="12"/>
  <c r="O91" i="12" s="1"/>
  <c r="O26" i="12"/>
  <c r="D140" i="12" s="1"/>
  <c r="E140" i="12" s="1"/>
  <c r="M60" i="12"/>
  <c r="O60" i="12" s="1"/>
  <c r="O47" i="12"/>
  <c r="M86" i="12"/>
  <c r="O86" i="12" s="1"/>
  <c r="M73" i="12"/>
  <c r="O73" i="12" s="1"/>
  <c r="M34" i="12"/>
  <c r="O34" i="12" s="1"/>
  <c r="O21" i="12"/>
  <c r="M72" i="12"/>
  <c r="O72" i="12" s="1"/>
  <c r="M85" i="12"/>
  <c r="O85" i="12" s="1"/>
  <c r="M33" i="12"/>
  <c r="O20" i="12"/>
  <c r="E138" i="14"/>
  <c r="O56" i="14"/>
  <c r="N56" i="14" s="1"/>
  <c r="O87" i="14"/>
  <c r="O100" i="14"/>
  <c r="O60" i="14"/>
  <c r="O69" i="14" s="1"/>
  <c r="M69" i="14"/>
  <c r="O86" i="14"/>
  <c r="M95" i="14"/>
  <c r="O106" i="14"/>
  <c r="O93" i="14"/>
  <c r="G106" i="14"/>
  <c r="E59" i="12"/>
  <c r="G100" i="14"/>
  <c r="G69" i="14"/>
  <c r="E69" i="14"/>
  <c r="E65" i="12"/>
  <c r="G65" i="12" s="1"/>
  <c r="M19" i="12"/>
  <c r="K28" i="12"/>
  <c r="E60" i="12"/>
  <c r="G60" i="12" s="1"/>
  <c r="G47" i="12"/>
  <c r="E28" i="12"/>
  <c r="M615" i="1"/>
  <c r="M616" i="1" s="1"/>
  <c r="L615" i="1"/>
  <c r="D145" i="14" l="1"/>
  <c r="N69" i="14"/>
  <c r="C145" i="14"/>
  <c r="F69" i="14"/>
  <c r="C125" i="14"/>
  <c r="Q28" i="14"/>
  <c r="F603" i="1"/>
  <c r="E603" i="1"/>
  <c r="G534" i="1"/>
  <c r="G538" i="1" s="1"/>
  <c r="F538" i="1"/>
  <c r="L329" i="1"/>
  <c r="L337" i="1" s="1"/>
  <c r="E337" i="1"/>
  <c r="E72" i="12"/>
  <c r="G72" i="12" s="1"/>
  <c r="G59" i="12"/>
  <c r="M71" i="12"/>
  <c r="O71" i="12" s="1"/>
  <c r="O80" i="12" s="1"/>
  <c r="M84" i="12"/>
  <c r="O84" i="12" s="1"/>
  <c r="O93" i="12" s="1"/>
  <c r="M32" i="12"/>
  <c r="O19" i="12"/>
  <c r="M46" i="12"/>
  <c r="O33" i="12"/>
  <c r="D139" i="12" s="1"/>
  <c r="E139" i="12" s="1"/>
  <c r="Q56" i="14"/>
  <c r="D144" i="14"/>
  <c r="E144" i="14" s="1"/>
  <c r="H144" i="14" s="1"/>
  <c r="F138" i="14"/>
  <c r="F139" i="14"/>
  <c r="F142" i="14"/>
  <c r="F140" i="14"/>
  <c r="F141" i="14"/>
  <c r="E145" i="14"/>
  <c r="H145" i="14" s="1"/>
  <c r="C129" i="14"/>
  <c r="C128" i="14"/>
  <c r="O95" i="14"/>
  <c r="D143" i="14" s="1"/>
  <c r="M108" i="14"/>
  <c r="O99" i="14"/>
  <c r="O108" i="14" s="1"/>
  <c r="Q69" i="14"/>
  <c r="G54" i="12"/>
  <c r="C142" i="12" s="1"/>
  <c r="O28" i="12"/>
  <c r="G82" i="14"/>
  <c r="E86" i="14"/>
  <c r="G86" i="14" s="1"/>
  <c r="E82" i="14"/>
  <c r="G28" i="12"/>
  <c r="E54" i="12"/>
  <c r="M28" i="12"/>
  <c r="D146" i="14" l="1"/>
  <c r="N108" i="14"/>
  <c r="Q28" i="12"/>
  <c r="D141" i="12"/>
  <c r="G603" i="1"/>
  <c r="M59" i="12"/>
  <c r="O59" i="12" s="1"/>
  <c r="O46" i="12"/>
  <c r="M45" i="12"/>
  <c r="O32" i="12"/>
  <c r="O41" i="12" s="1"/>
  <c r="C123" i="12"/>
  <c r="D148" i="14"/>
  <c r="C127" i="14"/>
  <c r="E58" i="12"/>
  <c r="G58" i="12" s="1"/>
  <c r="G67" i="12" s="1"/>
  <c r="C143" i="12" s="1"/>
  <c r="Q82" i="14"/>
  <c r="G99" i="14"/>
  <c r="G95" i="14"/>
  <c r="C130" i="14" s="1"/>
  <c r="E95" i="14"/>
  <c r="D136" i="12" l="1"/>
  <c r="E136" i="12" s="1"/>
  <c r="F136" i="12" s="1"/>
  <c r="E71" i="12"/>
  <c r="G71" i="12" s="1"/>
  <c r="G80" i="12" s="1"/>
  <c r="C124" i="12"/>
  <c r="Q41" i="12"/>
  <c r="E67" i="12"/>
  <c r="M58" i="12"/>
  <c r="O58" i="12" s="1"/>
  <c r="O67" i="12" s="1"/>
  <c r="O45" i="12"/>
  <c r="O54" i="12" s="1"/>
  <c r="D142" i="12" s="1"/>
  <c r="E142" i="12" s="1"/>
  <c r="H142" i="12" s="1"/>
  <c r="C143" i="14"/>
  <c r="E143" i="14" s="1"/>
  <c r="Q95" i="14"/>
  <c r="G108" i="14"/>
  <c r="E108" i="14"/>
  <c r="F108" i="14" l="1"/>
  <c r="C133" i="14"/>
  <c r="F140" i="12"/>
  <c r="F138" i="12"/>
  <c r="F139" i="12"/>
  <c r="F137" i="12"/>
  <c r="C125" i="12"/>
  <c r="C127" i="12"/>
  <c r="D143" i="12"/>
  <c r="E143" i="12" s="1"/>
  <c r="H143" i="12" s="1"/>
  <c r="E80" i="12"/>
  <c r="C126" i="12"/>
  <c r="Q54" i="12"/>
  <c r="Q67" i="12"/>
  <c r="Q80" i="12"/>
  <c r="C131" i="14"/>
  <c r="C146" i="14"/>
  <c r="E146" i="14" s="1"/>
  <c r="H146" i="14" s="1"/>
  <c r="H143" i="14"/>
  <c r="Q108" i="14"/>
  <c r="G93" i="12"/>
  <c r="C141" i="12" s="1"/>
  <c r="E141" i="12" s="1"/>
  <c r="H141" i="12" s="1"/>
  <c r="E93" i="12"/>
  <c r="C128" i="12" l="1"/>
  <c r="Q93" i="12"/>
  <c r="E148" i="14"/>
  <c r="G139" i="14"/>
  <c r="H139" i="14" s="1"/>
  <c r="G138" i="14"/>
  <c r="G140" i="14"/>
  <c r="H140" i="14" s="1"/>
  <c r="G141" i="14"/>
  <c r="H141" i="14" s="1"/>
  <c r="G142" i="14"/>
  <c r="H142" i="14" s="1"/>
  <c r="C134" i="14"/>
  <c r="C148" i="14"/>
  <c r="G106" i="12"/>
  <c r="C144" i="12" s="1"/>
  <c r="E144" i="12" s="1"/>
  <c r="H144" i="12" s="1"/>
  <c r="E106" i="12"/>
  <c r="C129" i="12" l="1"/>
  <c r="C131" i="12"/>
  <c r="Q106" i="12"/>
  <c r="G148" i="14"/>
  <c r="H148" i="14" s="1"/>
  <c r="H138" i="14"/>
  <c r="C132" i="12" l="1"/>
  <c r="G136" i="12"/>
  <c r="G138" i="12"/>
  <c r="H138" i="12" s="1"/>
  <c r="G140" i="12"/>
  <c r="H140" i="12" s="1"/>
  <c r="G139" i="12"/>
  <c r="H139" i="12" s="1"/>
  <c r="G137" i="12"/>
  <c r="H137" i="12" s="1"/>
  <c r="H136" i="12" l="1"/>
  <c r="H146" i="12" s="1"/>
  <c r="G146" i="12"/>
</calcChain>
</file>

<file path=xl/comments1.xml><?xml version="1.0" encoding="utf-8"?>
<comments xmlns="http://schemas.openxmlformats.org/spreadsheetml/2006/main">
  <authors>
    <author>Andrew Belsito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Environment Canada Website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Environment Canada Website
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</commentList>
</comments>
</file>

<file path=xl/comments2.xml><?xml version="1.0" encoding="utf-8"?>
<comments xmlns="http://schemas.openxmlformats.org/spreadsheetml/2006/main">
  <authors>
    <author>Andrew Belsito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</commentList>
</comments>
</file>

<file path=xl/comments3.xml><?xml version="1.0" encoding="utf-8"?>
<comments xmlns="http://schemas.openxmlformats.org/spreadsheetml/2006/main">
  <authors>
    <author>Tyler Kasubeck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not using cdm
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not using cdm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should read metered kWh</t>
        </r>
      </text>
    </comment>
  </commentList>
</comments>
</file>

<file path=xl/comments4.xml><?xml version="1.0" encoding="utf-8"?>
<comments xmlns="http://schemas.openxmlformats.org/spreadsheetml/2006/main">
  <authors>
    <author>Andrew Belsito</author>
    <author>Tyler Kasubeck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Rate Classes
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from chapter 2 appendicies
</t>
        </r>
      </text>
    </comment>
    <comment ref="H75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I75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J75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</commentList>
</comments>
</file>

<file path=xl/comments5.xml><?xml version="1.0" encoding="utf-8"?>
<comments xmlns="http://schemas.openxmlformats.org/spreadsheetml/2006/main">
  <authors>
    <author>Tyler Kasubeck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>Tyler Kasubeck:</t>
        </r>
        <r>
          <rPr>
            <b/>
            <i/>
            <sz val="9"/>
            <color indexed="81"/>
            <rFont val="Tahoma"/>
            <family val="2"/>
          </rPr>
          <t xml:space="preserve">
have to use the LF with the old 340,080 kwh forecast for street lights to get the numbers </t>
        </r>
      </text>
    </comment>
  </commentList>
</comments>
</file>

<file path=xl/comments6.xml><?xml version="1.0" encoding="utf-8"?>
<comments xmlns="http://schemas.openxmlformats.org/spreadsheetml/2006/main">
  <authors>
    <author>Tyler Kasubeck</author>
  </authors>
  <commentList>
    <comment ref="F16" authorId="0" shapeId="0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updated audit done October 2020</t>
        </r>
      </text>
    </comment>
  </commentList>
</comments>
</file>

<file path=xl/comments7.xml><?xml version="1.0" encoding="utf-8"?>
<comments xmlns="http://schemas.openxmlformats.org/spreadsheetml/2006/main">
  <authors>
    <author>Andrew Belsito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Converts kwh to kW's for these classes
</t>
        </r>
      </text>
    </comment>
  </commentList>
</comments>
</file>

<file path=xl/comments8.xml><?xml version="1.0" encoding="utf-8"?>
<comments xmlns="http://schemas.openxmlformats.org/spreadsheetml/2006/main">
  <authors>
    <author>Andrew Belsito</author>
    <author>Tyler Kasubeck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Based on November 2016 Customer Count in 2.1.2
</t>
        </r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I updated percentages to dec 31, 2019 customer count
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Comes from chapter 2 appendices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Proposed Loss factor from Appendix 2R in the appendices spreadsheet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http://www.ontarioenergyboard.ca/oeb/_Documents/EB-2004-0205/RPP_Price_Report_May2016.pdf
Average Supply Cost
</t>
        </r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https://www.oeb.ca/sites/default/files/rpp-price-report-20191022.pdf
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http://www.ontarioenergyboard.ca/oeb/_Documents/EB-2004-0205/RPP_Price_Report_May2016.pdf
Forecast WEP + GA</t>
        </r>
      </text>
    </comment>
    <comment ref="D109" authorId="1" shapeId="0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rate is updated regularly. </t>
        </r>
      </text>
    </comment>
  </commentList>
</comments>
</file>

<file path=xl/comments9.xml><?xml version="1.0" encoding="utf-8"?>
<comments xmlns="http://schemas.openxmlformats.org/spreadsheetml/2006/main">
  <authors>
    <author>Andrew Belsito</author>
    <author>Tyler Kasubeck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Based on November 2016 Customer Count in 2.1.2
</t>
        </r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I updated percentages to dec 31, 2019 customer count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Proposed Loss factor from Appendix 2R in the appendices spreadsheet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http://www.ontarioenergyboard.ca/oeb/_Documents/EB-2004-0205/RPP_Price_Report_May2016.pdf
Average Supply Cost
</t>
        </r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https://www.oeb.ca/sites/default/files/rpp-price-report-20191022.pdf
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http://www.ontarioenergyboard.ca/oeb/_Documents/EB-2004-0205/RPP_Price_Report_May2016.pdf
Forecast WEP + GA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Proposed Loss factor from Appendix 2R in the appendices spreadsheet
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http://www.ontarioenergyboard.ca/oeb/_Documents/EB-2004-0205/RPP_Price_Report_May2016.pdf
Average Supply Cost
</t>
        </r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https://www.oeb.ca/sites/default/files/rpp-price-report-20191022.pdf
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Proposed Loss factor from Appendix 2R in the appendices spreadsheet
</t>
        </r>
      </text>
    </comment>
    <comment ref="N33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http://www.ontarioenergyboard.ca/oeb/_Documents/EB-2004-0205/RPP_Price_Report_May2016.pdf
Average Supply Cost
</t>
        </r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https://www.oeb.ca/sites/default/files/rpp-price-report-20191022.pdf
</t>
        </r>
      </text>
    </comment>
    <comment ref="C134" authorId="1" shapeId="0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should match H148
</t>
        </r>
      </text>
    </comment>
    <comment ref="H137" authorId="1" shapeId="0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these final numbers used in 2021 trial balance</t>
        </r>
      </text>
    </comment>
    <comment ref="H148" authorId="1" shapeId="0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should match c134
</t>
        </r>
      </text>
    </comment>
  </commentList>
</comments>
</file>

<file path=xl/sharedStrings.xml><?xml version="1.0" encoding="utf-8"?>
<sst xmlns="http://schemas.openxmlformats.org/spreadsheetml/2006/main" count="1551" uniqueCount="425">
  <si>
    <t>Loss Factor</t>
  </si>
  <si>
    <t xml:space="preserve">Residential </t>
  </si>
  <si>
    <t xml:space="preserve">Unmetered Loads 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</si>
  <si>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</si>
  <si>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</si>
  <si>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</si>
  <si>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</si>
  <si>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</si>
  <si>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</si>
  <si>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</si>
  <si>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</si>
  <si>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</si>
  <si>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</si>
  <si>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</si>
  <si>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</si>
  <si>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</si>
  <si>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</si>
  <si>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</si>
  <si>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</si>
  <si>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</si>
  <si>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</si>
  <si>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</si>
  <si>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</si>
  <si>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</si>
  <si>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</si>
  <si>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 xml:space="preserve">Used </t>
  </si>
  <si>
    <t>Spring Fall Flag</t>
  </si>
  <si>
    <t>SUMMARY OUTPUT</t>
  </si>
  <si>
    <t>R Square</t>
  </si>
  <si>
    <t>Adjusted R Square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</si>
  <si>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</si>
  <si>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</si>
  <si>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</si>
  <si>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</si>
  <si>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</si>
  <si>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</si>
  <si>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</si>
  <si>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</si>
  <si>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</si>
  <si>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</si>
  <si>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</si>
  <si>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</si>
  <si>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</si>
  <si>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</si>
  <si>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</si>
  <si>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</si>
  <si>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Purchased kWh</t>
  </si>
  <si>
    <t>Street Lights</t>
  </si>
  <si>
    <t>Weather Normal</t>
  </si>
  <si>
    <t>May</t>
  </si>
  <si>
    <t>kWh</t>
  </si>
  <si>
    <t>kW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</si>
  <si>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</si>
  <si>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</si>
  <si>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</si>
  <si>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</si>
  <si>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</si>
  <si>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</si>
  <si>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</si>
  <si>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</si>
  <si>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</si>
  <si>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</si>
  <si>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</si>
  <si>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</si>
  <si>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</si>
  <si>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</si>
  <si>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</si>
  <si>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</si>
  <si>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</si>
  <si>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Number of Customers</t>
  </si>
  <si>
    <t>% Variance (Abs)</t>
  </si>
  <si>
    <t>Large User</t>
  </si>
  <si>
    <t xml:space="preserve">2010 Actual </t>
  </si>
  <si>
    <t xml:space="preserve">2011 Actual </t>
  </si>
  <si>
    <t xml:space="preserve">2012 Actual </t>
  </si>
  <si>
    <t>CDM Purchase Adjustment</t>
  </si>
  <si>
    <t>Predicted kWh Purchases after CDM</t>
  </si>
  <si>
    <t xml:space="preserve">Billed kWh 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</si>
  <si>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</si>
  <si>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</si>
  <si>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</si>
  <si>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</si>
  <si>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</si>
  <si>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</si>
  <si>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</si>
  <si>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</si>
  <si>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</si>
  <si>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</si>
  <si>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</si>
  <si>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</si>
  <si>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</si>
  <si>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</si>
  <si>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</si>
  <si>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</si>
  <si>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</si>
  <si>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Average</t>
  </si>
  <si>
    <t>4751 - Smart Metering Entity charge</t>
  </si>
  <si>
    <t>General Service &lt; 50 kW</t>
  </si>
  <si>
    <t>General Service &gt; 1000 to 4999 kW</t>
  </si>
  <si>
    <t>Embedded Distributors - Hydro One</t>
  </si>
  <si>
    <t xml:space="preserve">2013 Actual </t>
  </si>
  <si>
    <t xml:space="preserve">2014 Actual </t>
  </si>
  <si>
    <t>Weather Normal Projection</t>
  </si>
  <si>
    <t>Residential</t>
  </si>
  <si>
    <t>General Service &lt;50</t>
  </si>
  <si>
    <t>General Service &gt;50</t>
  </si>
  <si>
    <t>USL</t>
  </si>
  <si>
    <t>Sentinel Lights</t>
  </si>
  <si>
    <t>Espanola Regional Hydro Inc. Weather Normal Load Forecast for 2016 Rate Application</t>
  </si>
  <si>
    <t>Check totals above should be zero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</si>
  <si>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</si>
  <si>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</si>
  <si>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</si>
  <si>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</si>
  <si>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</si>
  <si>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</si>
  <si>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</si>
  <si>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</si>
  <si>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>General Service 50 to 2999 kW</t>
  </si>
  <si>
    <t>Street Lighting</t>
  </si>
  <si>
    <t>Sentinel Lighting</t>
  </si>
  <si>
    <t xml:space="preserve">Unmetered Scattered Load </t>
  </si>
  <si>
    <t>Billed Energy (GWh)</t>
  </si>
  <si>
    <t>Number of Customers/Connections</t>
  </si>
  <si>
    <t>Energy Usage per Customer/Connection (kWh per customer/connection)</t>
  </si>
  <si>
    <t>Annual Growth Rate in Usage per Customer/Connection</t>
  </si>
  <si>
    <t>Statistic</t>
  </si>
  <si>
    <t>Value</t>
  </si>
  <si>
    <t>F Test</t>
  </si>
  <si>
    <t xml:space="preserve">MAPE (Monthly) </t>
  </si>
  <si>
    <t>T-stats by Coefficient</t>
  </si>
  <si>
    <t>Constant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</si>
  <si>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</si>
  <si>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</si>
  <si>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</si>
  <si>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</si>
  <si>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</si>
  <si>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</si>
  <si>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</si>
  <si>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</si>
  <si>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</si>
  <si>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Weather Sensitivity</t>
  </si>
  <si>
    <t>4 Year (2011-2014) kWh Target:</t>
  </si>
  <si>
    <t>2011 CDM Programs</t>
  </si>
  <si>
    <t>2012 CDM Programs</t>
  </si>
  <si>
    <t>2013 CDM Programs</t>
  </si>
  <si>
    <t>2014 CDM Programs</t>
  </si>
  <si>
    <t>Total in Year</t>
  </si>
  <si>
    <t>2015 CDM Programs</t>
  </si>
  <si>
    <t>Non-normalized Weather Billed Energy Forecast (GWh)</t>
  </si>
  <si>
    <t>Adjustment for Weather (GWh)</t>
  </si>
  <si>
    <t>Adjustment for CDM (GWh)</t>
  </si>
  <si>
    <t>Adjustment for Loss of Customer (GWh)</t>
  </si>
  <si>
    <t>Weather Normalized Billed Energy Forecast (GWh)</t>
  </si>
  <si>
    <t>Billed Annual kW</t>
  </si>
  <si>
    <t>Ratio of kW to kWh</t>
  </si>
  <si>
    <t>Predicted Billed kW</t>
  </si>
  <si>
    <t>% Difference between actual and predicted purchases</t>
  </si>
  <si>
    <t>2014 Actual</t>
  </si>
  <si>
    <t xml:space="preserve">  Connections</t>
  </si>
  <si>
    <t>Customer/Connections</t>
  </si>
  <si>
    <t xml:space="preserve">kW </t>
  </si>
  <si>
    <t>Billing Determinants</t>
  </si>
  <si>
    <t>Volumeteric Difference</t>
  </si>
  <si>
    <t>2012 Board Approved</t>
  </si>
  <si>
    <t xml:space="preserve"> 2012 Board Approved vs 2012 Actual</t>
  </si>
  <si>
    <t xml:space="preserve">2012 Board Approved </t>
  </si>
  <si>
    <t>Table 16: (2011-2014) Expected kWh Target Results</t>
  </si>
  <si>
    <t>Distribution Revenue</t>
  </si>
  <si>
    <t>Variance</t>
  </si>
  <si>
    <t>2012 Actual</t>
  </si>
  <si>
    <t>2013 Actual</t>
  </si>
  <si>
    <t>Other Revenue</t>
  </si>
  <si>
    <t>Forecast for RTSR &gt;50 Non-loss Adjusted Metered kWh and kW</t>
  </si>
  <si>
    <t>lights</t>
  </si>
  <si>
    <t>Current Dx Rates effective May 1, 2015</t>
  </si>
  <si>
    <t>Rate rider for ICM</t>
  </si>
  <si>
    <t>SME Charge</t>
  </si>
  <si>
    <t>Smart Meter Entity Charge</t>
  </si>
  <si>
    <t>Customers</t>
  </si>
  <si>
    <t>Low Voltage</t>
  </si>
  <si>
    <t>Table 3-2: Summary of Load and Customer/Connection Forecast</t>
  </si>
  <si>
    <t>Table 3-3: Billed Energy and Number of Customers / Connections by Rate Class</t>
  </si>
  <si>
    <t>Table 16 ----------&gt;</t>
  </si>
  <si>
    <t>Table 17 ----------&gt;</t>
  </si>
  <si>
    <t>USoA</t>
  </si>
  <si>
    <t>2012 Actual vs. 2012 Board Approved</t>
  </si>
  <si>
    <t>2013 Actual vs. 2012 Actual</t>
  </si>
  <si>
    <t>2014 Actual vs. 2013 Actual</t>
  </si>
  <si>
    <t>SSS Admin Charge Revenue</t>
  </si>
  <si>
    <t>Rent From Electric Property</t>
  </si>
  <si>
    <t>Late Payment Charges</t>
  </si>
  <si>
    <t>Merchandising, Jobbing</t>
  </si>
  <si>
    <t>Specific Service Charges</t>
  </si>
  <si>
    <t>Expenses of Non-Utility Operations</t>
  </si>
  <si>
    <t>Revenues from Non-Utility Operations</t>
  </si>
  <si>
    <t>Miscellaneous Non-Operating Income</t>
  </si>
  <si>
    <t>Interest &amp; Divident Income</t>
  </si>
  <si>
    <t>Retail Services Revenue</t>
  </si>
  <si>
    <t>Service Transmission Requests</t>
  </si>
  <si>
    <t>Other Electric Revenues</t>
  </si>
  <si>
    <t>General Service 50 to 4,999 kW</t>
  </si>
  <si>
    <t>General Service 50 to 2,999 kW</t>
  </si>
  <si>
    <t>GS&gt;50</t>
  </si>
  <si>
    <t>GS&lt;50</t>
  </si>
  <si>
    <t>Sentinel</t>
  </si>
  <si>
    <t>2015 Actual</t>
  </si>
  <si>
    <t>2016 Actual</t>
  </si>
  <si>
    <t>General Service &gt; 50 to 4999 kW</t>
  </si>
  <si>
    <t>Table 3-1: Summary of Operating Revenue</t>
  </si>
  <si>
    <t>Description</t>
  </si>
  <si>
    <t>2012 OEB Approved</t>
  </si>
  <si>
    <t>2016 Bridge</t>
  </si>
  <si>
    <t>Distribution Revenues</t>
  </si>
  <si>
    <t>General Service  50 to 4,999 kW</t>
  </si>
  <si>
    <t>Unmetered Scattered Load</t>
  </si>
  <si>
    <t>Other Distribution Revenue</t>
  </si>
  <si>
    <t>Other Income and Expenses</t>
  </si>
  <si>
    <t>Total Operating Revenue</t>
  </si>
  <si>
    <t>2017 Test - Normalized</t>
  </si>
  <si>
    <t>Mean Average Percentage Error</t>
  </si>
  <si>
    <t>2017 (Not Normalized)</t>
  </si>
  <si>
    <t>2016 CDM Programs</t>
  </si>
  <si>
    <t>Table 17: (2011-2014) Expected kWh Target Results Along with 2016 Expected Results</t>
  </si>
  <si>
    <t>2017 LRAMVA kWh</t>
  </si>
  <si>
    <t>2017 LRAMVA kW</t>
  </si>
  <si>
    <t>2017 Test</t>
  </si>
  <si>
    <t>2015 Actual vs. 2014 Actual</t>
  </si>
  <si>
    <t>2016 Bridge vs. 2015 Actual</t>
  </si>
  <si>
    <t>2016 Bridge vs. 2016 Bridge</t>
  </si>
  <si>
    <t>Loss on Disposition of Utility &amp; Other Property</t>
  </si>
  <si>
    <t>Foreign Exchange Gains &amp; Losses</t>
  </si>
  <si>
    <t>Government Assistance Directly Credited to Income</t>
  </si>
  <si>
    <t>2017 Test vs. 2016 Bridge</t>
  </si>
  <si>
    <t>Heating and Cooling Program</t>
  </si>
  <si>
    <t>Coupon Program</t>
  </si>
  <si>
    <t>Local - HEAR</t>
  </si>
  <si>
    <t>Retrofit</t>
  </si>
  <si>
    <t>Small Business Lighting</t>
  </si>
  <si>
    <t>High Performance New Construction</t>
  </si>
  <si>
    <t>Audit Funding Program</t>
  </si>
  <si>
    <t>Energy Manager Program</t>
  </si>
  <si>
    <t>Pilot Home Solar</t>
  </si>
  <si>
    <t>Pilot - Channel Partner</t>
  </si>
  <si>
    <t>2017 Expected Resutls from 2015 to 2020 CDM Plan</t>
  </si>
  <si>
    <t>CDM Activity</t>
  </si>
  <si>
    <t>Predicted Purchases Weather Normalized</t>
  </si>
  <si>
    <t>Weather Normalized Factor</t>
  </si>
  <si>
    <t>Regression Statistics</t>
  </si>
  <si>
    <t>Multiple R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</si>
  <si>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</si>
  <si>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</si>
  <si>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</si>
  <si>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</si>
  <si>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</si>
  <si>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</si>
  <si>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</si>
  <si>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</si>
  <si>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</si>
  <si>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</si>
  <si>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</si>
  <si>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</si>
  <si>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</si>
  <si>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</si>
  <si>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</si>
  <si>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</si>
  <si>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</si>
  <si>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</si>
  <si>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Total to 2019</t>
  </si>
  <si>
    <t>Total Metered</t>
  </si>
  <si>
    <t>HO and ESP Loss Factor</t>
  </si>
  <si>
    <t>2017 Actual</t>
  </si>
  <si>
    <t>2018 Actual</t>
  </si>
  <si>
    <t>2019 Actual</t>
  </si>
  <si>
    <t>2021 Weather Normal</t>
  </si>
  <si>
    <t>2012 approved</t>
  </si>
  <si>
    <t>2021 projected</t>
  </si>
  <si>
    <t>2021 Test - Normalized</t>
  </si>
  <si>
    <t>2020 Weather Normal</t>
  </si>
  <si>
    <t xml:space="preserve">2018 Actual </t>
  </si>
  <si>
    <t xml:space="preserve">2019 Actual </t>
  </si>
  <si>
    <t>2020 Bridge</t>
  </si>
  <si>
    <t>2021 Test Year - Existing Rates</t>
  </si>
  <si>
    <t>2021 Test Year - Proposed Rates</t>
  </si>
  <si>
    <t>2021 Test</t>
  </si>
  <si>
    <t>Geo Mean - 20010 to 2019</t>
  </si>
  <si>
    <t>SSS Admin Charges</t>
  </si>
  <si>
    <t xml:space="preserve">Covid 19 % Impact </t>
  </si>
  <si>
    <t xml:space="preserve">Covid 19 Impact </t>
  </si>
  <si>
    <t>From March 15th</t>
  </si>
  <si>
    <t>Full Year</t>
  </si>
  <si>
    <t>Base on April 23rd IESO Webinar</t>
  </si>
  <si>
    <t>Cost of Power 2020</t>
  </si>
  <si>
    <t>2020 Forecasted Metered kWhs</t>
  </si>
  <si>
    <t>2019  Loss Factor</t>
  </si>
  <si>
    <t>2020%RPP</t>
  </si>
  <si>
    <t>2020 Load Forecast</t>
  </si>
  <si>
    <t xml:space="preserve">4006- Residential </t>
  </si>
  <si>
    <t>4025 Street Lighting</t>
  </si>
  <si>
    <t>4030 Sentinel</t>
  </si>
  <si>
    <t>4035 General Energy</t>
  </si>
  <si>
    <t>4062 -  WMS</t>
  </si>
  <si>
    <t>4066 - NW</t>
  </si>
  <si>
    <t>4068 CN</t>
  </si>
  <si>
    <t>4075 LV Charges</t>
  </si>
  <si>
    <t>4076 Billed SME</t>
  </si>
  <si>
    <t>Cost of Power 2021</t>
  </si>
  <si>
    <t>2021 Forecasted Metered kWhs</t>
  </si>
  <si>
    <t>Distribution Revenue at Current Rates 2020</t>
  </si>
  <si>
    <t>Distribution Revenue at Current Rates 2021</t>
  </si>
  <si>
    <t>Ontario Energy Rebate</t>
  </si>
  <si>
    <t>Weather Normalized Actuals Total</t>
  </si>
  <si>
    <t>Weather Normalized Residential</t>
  </si>
  <si>
    <t>Weather Normalized GS&lt;50</t>
  </si>
  <si>
    <t>Weather Normalized GS&gt;50</t>
  </si>
  <si>
    <t>WN Street Light</t>
  </si>
  <si>
    <t>WN Sentinnel Lights</t>
  </si>
  <si>
    <t>WN USL</t>
  </si>
  <si>
    <t>March 19, 2015 DO Tariff Sheet</t>
  </si>
  <si>
    <t>Global Adjustment Non Rpp</t>
  </si>
  <si>
    <t>4707  - Global Adjustment</t>
  </si>
  <si>
    <t>OER 31.8% credit</t>
  </si>
  <si>
    <t>RPP</t>
  </si>
  <si>
    <t>Non RPP</t>
  </si>
  <si>
    <t>Percentage</t>
  </si>
  <si>
    <t>Allocated 31.8%</t>
  </si>
  <si>
    <t>Total for Trial Balance</t>
  </si>
  <si>
    <t>4055 Energy for Resale (USL)</t>
  </si>
  <si>
    <t>2020 Bridge - Normalized</t>
  </si>
  <si>
    <t>Table 3-4: Number of Customers/Connections</t>
  </si>
  <si>
    <t>2020 - Bridge</t>
  </si>
  <si>
    <t>2021 - Test</t>
  </si>
  <si>
    <t>2021 - 20 year trend</t>
  </si>
  <si>
    <t>Predicted Weather Normal</t>
  </si>
  <si>
    <t>Weather Normal Conversion Factor</t>
  </si>
  <si>
    <t>Actual Wether Normal</t>
  </si>
  <si>
    <t>Geo Mean - 2010 to 2019</t>
  </si>
  <si>
    <t>Table 3: Growth Rate in Usage Per Customer/Connection</t>
  </si>
  <si>
    <t>Average 2010 to 2019</t>
  </si>
  <si>
    <t>Varaince %</t>
  </si>
  <si>
    <t xml:space="preserve">2017 Actual </t>
  </si>
  <si>
    <t>2010-2019</t>
  </si>
  <si>
    <t>2015-2019</t>
  </si>
  <si>
    <t>X Variable 1</t>
  </si>
  <si>
    <t>X Variable 2</t>
  </si>
  <si>
    <t>X Variable 3</t>
  </si>
  <si>
    <t>X Variable 4</t>
  </si>
  <si>
    <t>SUMMARY OUTPUT - New</t>
  </si>
  <si>
    <t>Res</t>
  </si>
  <si>
    <t>Street</t>
  </si>
  <si>
    <t>New</t>
  </si>
  <si>
    <t>Old</t>
  </si>
  <si>
    <t>USED</t>
  </si>
  <si>
    <t>: Alignmenet of Non-Normal to Weather Normal Forecast</t>
  </si>
  <si>
    <t>: 2015 Expected CDM Savings by Rate Class for LRAM Variance Account</t>
  </si>
  <si>
    <t xml:space="preserve">: Alignment of Non-normal to Weather Normal Forecast </t>
  </si>
  <si>
    <t>: Distribution Revenue - 2012 Board Approved vs 2012 Actual</t>
  </si>
  <si>
    <t>Volumetric Difference (kwh)</t>
  </si>
  <si>
    <t>Total Percentage Difference</t>
  </si>
  <si>
    <t xml:space="preserve"> Billing Determinants - 2012 Actual vs 2013 Actual</t>
  </si>
  <si>
    <t>Distribution Revenue - 2012 Actual vs 2013 Actual</t>
  </si>
  <si>
    <t xml:space="preserve"> Distribution Revenue - 2017 Actual vs 2018 Actual</t>
  </si>
  <si>
    <t xml:space="preserve"> Distribution Revenue - 2018 Actual vs 2019 Actual</t>
  </si>
  <si>
    <t xml:space="preserve"> Distribution Revenue - 2019 Actual vs 2020 Bridge</t>
  </si>
  <si>
    <t xml:space="preserve"> Distribution Revenue - 2020 Bridge vs 2021 Test</t>
  </si>
  <si>
    <t>: Other Revenue with Variances</t>
  </si>
  <si>
    <t>: 2012 Actual vs 2012 Board Approved</t>
  </si>
  <si>
    <t>: 2013 Actual vs 2012 Actual</t>
  </si>
  <si>
    <t>: 2014 Actual vs 2013 Actual</t>
  </si>
  <si>
    <t>: 2015 Actual vs 2014 Actual</t>
  </si>
  <si>
    <t>: 2016 Bridge vs 2015 Actual</t>
  </si>
  <si>
    <t>: 2017 Test vs 2016 Bridge</t>
  </si>
  <si>
    <t>2021%RPP</t>
  </si>
  <si>
    <t>2012 board approved</t>
  </si>
  <si>
    <t>2020 Bridge - Projected*</t>
  </si>
  <si>
    <t xml:space="preserve">*the 2020 projection for Streetlights results in a drop of 263 connections. This is due to a change in methodology from number of devices to number of connections. </t>
  </si>
  <si>
    <t>Table 3-5: Weather Corrected Forecast</t>
  </si>
  <si>
    <t>Table 3-7: Statistcial Results</t>
  </si>
  <si>
    <t>Table 3-8: Total System Purchases</t>
  </si>
  <si>
    <t>Table 3-9: Historical Customer/Connection Data</t>
  </si>
  <si>
    <t>Table 3-10: Growth Rate in Customer/Connections</t>
  </si>
  <si>
    <t>Table 3-11: Customer/Connection Forecast</t>
  </si>
  <si>
    <t>Table 3-12: Historical Annual Usage per Customer</t>
  </si>
  <si>
    <t>Table 3-13: Forecast Annual kWh Usage per Customer/Connection</t>
  </si>
  <si>
    <t>Table 3-14: Non-normalized Weather Billed Energy Forecast</t>
  </si>
  <si>
    <t>Table 3-15: Weather Sensitivity by Rate Class</t>
  </si>
  <si>
    <t>Table 3-16: Historical Annual kW per Applicable Rate Class</t>
  </si>
  <si>
    <t>Table 3-17: Historical kW/KWh Ratio per Applicable Rate Class</t>
  </si>
  <si>
    <t>Table 3-18: kW Forecast by Applicable Rate Class</t>
  </si>
  <si>
    <t>Table 3-19: Summary of Total Forecast</t>
  </si>
  <si>
    <t>Table 3-20 Billing Determinants - 2012 Actual vs 2012 Board Approved</t>
  </si>
  <si>
    <t>Average Consumption or Demand per Customer/Connection</t>
  </si>
  <si>
    <t>kWh/kW</t>
  </si>
  <si>
    <t>2012 Board Approved (normalized)</t>
  </si>
  <si>
    <t>2012 Weather Actual</t>
  </si>
  <si>
    <t>2012 Actual Weather-Normalized</t>
  </si>
  <si>
    <t>Table 3-21: Average Consumption - 2012 Actual vs 2012 Board Approved</t>
  </si>
  <si>
    <t>Table 3-22 Billing Determinants - 2017 Actual vs 2018 Actual</t>
  </si>
  <si>
    <t>Table 3-24: Billing Determinants - 2018 Actual vs 2019 Actual</t>
  </si>
  <si>
    <t>Weather - Actual</t>
  </si>
  <si>
    <t>Weather Normalized</t>
  </si>
  <si>
    <t>Table 3-23: Average Consumption - 2017 Actual vs 2018 Actual</t>
  </si>
  <si>
    <t>Table 3-25: Average Consumption - 2018 Actual vs 2019 Actual</t>
  </si>
  <si>
    <t>Table 3-26 Billing Determinants - 2019 Actual vs 2020 Bridge</t>
  </si>
  <si>
    <t>Table 3-27: Average Consumption - 2019 Actual vs 2020 Bridge</t>
  </si>
  <si>
    <t>Class</t>
  </si>
  <si>
    <t>Annual kWh</t>
  </si>
  <si>
    <t>annual kW</t>
  </si>
  <si>
    <t>Monthly Fxied Charge</t>
  </si>
  <si>
    <t>Volumetric Charge</t>
  </si>
  <si>
    <t>Dist Rev Including transformer Allowane</t>
  </si>
  <si>
    <t>Transformer Allowance</t>
  </si>
  <si>
    <t>Annualized Customer/ Connections</t>
  </si>
  <si>
    <t>Table 3-32: 2020 Distribution Revenue At Existing Rates</t>
  </si>
  <si>
    <t>OER 33.2% credit</t>
  </si>
  <si>
    <t>Table 3-33: 2021 Distribution Revenue At Existing Rates</t>
  </si>
  <si>
    <t>Table 3-34: 2021 Distribution Revenue At Proposed Rates</t>
  </si>
  <si>
    <t>Expected</t>
  </si>
  <si>
    <t>Allocated 33.2%</t>
  </si>
  <si>
    <t>Table 3-6: Annual Usage per Customer/Connection by Rate Class</t>
  </si>
  <si>
    <t>Table 3-30: Billing Determinants - 2012 Board Approved vs 2021 Test Year</t>
  </si>
  <si>
    <t>Table 3-31: Average Consumption - 2012 Board Approved vs 2021 Test Year</t>
  </si>
  <si>
    <t>Table 3-28 Billing Determinants - 2020 Bridge vs 2021 Test</t>
  </si>
  <si>
    <t>Table 3-29: Average Consumption - 2020 Bridge vs 2021 Test Year</t>
  </si>
  <si>
    <t>Monthly Fixed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</si>
</sst>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4"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0.0"/>
    <numFmt numFmtId="171" formatCode="#,##0;\(#,##0\)"/>
    <numFmt numFmtId="172" formatCode="0.0000"/>
    <numFmt numFmtId="173" formatCode="#,##0.0000"/>
    <numFmt numFmtId="174" formatCode="0.0000%"/>
    <numFmt numFmtId="175" formatCode="#,##0.0000_);\(#,##0.0000\)"/>
    <numFmt numFmtId="176" formatCode="_(* #,##0_);_(* \(#,##0\);_(* &quot;-&quot;??_);_(@_)"/>
    <numFmt numFmtId="177" formatCode="_(* #,##0.0_);_(* \(#,##0.0\);_(* &quot;-&quot;??_);_(@_)"/>
    <numFmt numFmtId="178" formatCode="_(* #,##0.0000_);_(* \(#,##0.0000\);_(* &quot;-&quot;??_);_(@_)"/>
    <numFmt numFmtId="179" formatCode="_-* #,##0_-;\-* #,##0_-;_-* &quot;-&quot;??_-;_-@_-"/>
    <numFmt numFmtId="180" formatCode="&quot;$&quot;#,##0.00000_);\(&quot;$&quot;#,##0.00000\)"/>
    <numFmt numFmtId="181" formatCode="#,##0.00000_);\(#,##0.00000\)"/>
    <numFmt numFmtId="182" formatCode="&quot;$&quot;#,##0.0000_);\(&quot;$&quot;#,##0.0000\)"/>
    <numFmt numFmtId="183" formatCode="0.0%;\(0.0%\)"/>
    <numFmt numFmtId="184" formatCode="#,##0.0"/>
    <numFmt numFmtId="185" formatCode="#,##0.0;\(#,##0.0\)"/>
    <numFmt numFmtId="186" formatCode="0.0000%;\(0.0%\)"/>
    <numFmt numFmtId="187" formatCode="0.0;\(0.0\)"/>
    <numFmt numFmtId="188" formatCode="&quot;£ &quot;#,##0.00;[Red]\-&quot;£ &quot;#,##0.00"/>
    <numFmt numFmtId="189" formatCode="##\-#"/>
    <numFmt numFmtId="190" formatCode="mm/dd/yyyy"/>
    <numFmt numFmtId="191" formatCode="0\-0"/>
    <numFmt numFmtId="192" formatCode="0.00%;\(0.00%\)"/>
    <numFmt numFmtId="193" formatCode="0;\(0\)"/>
    <numFmt numFmtId="194" formatCode="#,##0_ ;\-#,##0\ "/>
    <numFmt numFmtId="195" formatCode="0.000"/>
    <numFmt numFmtId="196" formatCode="#,##0.000;\(#,##0.000\)"/>
    <numFmt numFmtId="197" formatCode="#,##0.00000"/>
    <numFmt numFmtId="198" formatCode="_(* #,##0.000_);_(* \(#,##0.000\);_(* &quot;-&quot;??_);_(@_)"/>
    <numFmt numFmtId="199" formatCode="_-&quot;$&quot;* #,##0_-;\-&quot;$&quot;* #,##0_-;_-&quot;$&quot;* &quot;-&quot;??_-;_-@_-"/>
    <numFmt numFmtId="200" formatCode="_(&quot;$&quot;* #,##0.000_);_(&quot;$&quot;* \(#,##0.000\);_(&quot;$&quot;* &quot;-&quot;??_);_(@_)"/>
    <numFmt numFmtId="201" formatCode="_(&quot;$&quot;* #,##0.0000_);_(&quot;$&quot;* \(#,##0.0000\);_(&quot;$&quot;* &quot;-&quot;??_);_(@_)"/>
    <numFmt numFmtId="202" formatCode="_-[$$-1009]* #,##0.00_-;\-[$$-1009]* #,##0.00_-;_-[$$-1009]* &quot;-&quot;??_-;_-@_-"/>
    <numFmt numFmtId="203" formatCode="_-[$$-1009]* #,##0_-;\-[$$-1009]* #,##0_-;_-[$$-1009]* &quot;-&quot;??_-;_-@_-"/>
    <numFmt numFmtId="204" formatCode="_(&quot;$&quot;* #,##0_);_(&quot;$&quot;* \(#,##0\);_(&quot;$&quot;* &quot;-&quot;??_);_(@_)"/>
    <numFmt numFmtId="205" formatCode="&quot;$&quot;#,##0.00"/>
    <numFmt numFmtId="206" formatCode="#,##0.0000000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rgb="FF00B0F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u val="singleAccounting"/>
      <sz val="10"/>
      <name val="Arial"/>
      <family val="2"/>
    </font>
    <font>
      <b/>
      <i/>
      <sz val="9"/>
      <color indexed="81"/>
      <name val="Tahoma"/>
      <family val="2"/>
    </font>
  </fonts>
  <fills count="6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29">
    <xf numFmtId="0" fontId="0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5" borderId="1" applyNumberFormat="0" applyProtection="0">
      <alignment horizontal="left" vertical="center"/>
    </xf>
    <xf numFmtId="0" fontId="6" fillId="0" borderId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6" fillId="0" borderId="0"/>
    <xf numFmtId="184" fontId="6" fillId="0" borderId="0"/>
    <xf numFmtId="190" fontId="6" fillId="0" borderId="0"/>
    <xf numFmtId="191" fontId="6" fillId="0" borderId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3" borderId="0" applyNumberFormat="0" applyBorder="0" applyAlignment="0" applyProtection="0"/>
    <xf numFmtId="0" fontId="40" fillId="46" borderId="0" applyNumberFormat="0" applyBorder="0" applyAlignment="0" applyProtection="0"/>
    <xf numFmtId="0" fontId="40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7" borderId="0" applyNumberFormat="0" applyBorder="0" applyAlignment="0" applyProtection="0"/>
    <xf numFmtId="0" fontId="42" fillId="41" borderId="0" applyNumberFormat="0" applyBorder="0" applyAlignment="0" applyProtection="0"/>
    <xf numFmtId="0" fontId="43" fillId="58" borderId="30" applyNumberFormat="0" applyAlignment="0" applyProtection="0"/>
    <xf numFmtId="0" fontId="44" fillId="59" borderId="31" applyNumberFormat="0" applyAlignment="0" applyProtection="0"/>
    <xf numFmtId="0" fontId="45" fillId="0" borderId="0" applyNumberFormat="0" applyFill="0" applyBorder="0" applyAlignment="0" applyProtection="0"/>
    <xf numFmtId="0" fontId="46" fillId="42" borderId="0" applyNumberFormat="0" applyBorder="0" applyAlignment="0" applyProtection="0"/>
    <xf numFmtId="38" fontId="12" fillId="60" borderId="0" applyNumberFormat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0" fontId="50" fillId="45" borderId="30" applyNumberFormat="0" applyAlignment="0" applyProtection="0"/>
    <xf numFmtId="10" fontId="12" fillId="61" borderId="1" applyNumberFormat="0" applyBorder="0" applyAlignment="0" applyProtection="0"/>
    <xf numFmtId="0" fontId="51" fillId="0" borderId="35" applyNumberFormat="0" applyFill="0" applyAlignment="0" applyProtection="0"/>
    <xf numFmtId="189" fontId="6" fillId="0" borderId="0"/>
    <xf numFmtId="176" fontId="6" fillId="0" borderId="0"/>
    <xf numFmtId="0" fontId="52" fillId="62" borderId="0" applyNumberFormat="0" applyBorder="0" applyAlignment="0" applyProtection="0"/>
    <xf numFmtId="188" fontId="6" fillId="0" borderId="0"/>
    <xf numFmtId="0" fontId="6" fillId="0" borderId="0"/>
    <xf numFmtId="0" fontId="53" fillId="0" borderId="0"/>
    <xf numFmtId="0" fontId="6" fillId="63" borderId="36" applyNumberFormat="0" applyFont="0" applyAlignment="0" applyProtection="0"/>
    <xf numFmtId="0" fontId="54" fillId="58" borderId="37" applyNumberFormat="0" applyAlignment="0" applyProtection="0"/>
    <xf numFmtId="10" fontId="6" fillId="0" borderId="0" applyFont="0" applyFill="0" applyBorder="0" applyAlignment="0" applyProtection="0"/>
    <xf numFmtId="0" fontId="55" fillId="0" borderId="0" applyNumberFormat="0" applyBorder="0" applyAlignment="0"/>
    <xf numFmtId="0" fontId="60" fillId="0" borderId="0" applyNumberFormat="0" applyBorder="0" applyAlignment="0"/>
    <xf numFmtId="0" fontId="61" fillId="0" borderId="0" applyNumberFormat="0" applyBorder="0" applyAlignment="0"/>
    <xf numFmtId="0" fontId="56" fillId="0" borderId="38">
      <alignment horizontal="center" vertical="center"/>
    </xf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22" applyNumberFormat="0" applyFill="0" applyAlignment="0" applyProtection="0"/>
    <xf numFmtId="0" fontId="25" fillId="0" borderId="21" applyNumberFormat="0" applyFill="0" applyAlignment="0" applyProtection="0"/>
    <xf numFmtId="0" fontId="5" fillId="0" borderId="0"/>
    <xf numFmtId="0" fontId="27" fillId="0" borderId="23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24" applyNumberFormat="0" applyAlignment="0" applyProtection="0"/>
    <xf numFmtId="0" fontId="32" fillId="13" borderId="25" applyNumberFormat="0" applyAlignment="0" applyProtection="0"/>
    <xf numFmtId="0" fontId="33" fillId="13" borderId="24" applyNumberFormat="0" applyAlignment="0" applyProtection="0"/>
    <xf numFmtId="0" fontId="34" fillId="0" borderId="26" applyNumberFormat="0" applyFill="0" applyAlignment="0" applyProtection="0"/>
    <xf numFmtId="0" fontId="35" fillId="14" borderId="27" applyNumberFormat="0" applyAlignment="0" applyProtection="0"/>
    <xf numFmtId="0" fontId="36" fillId="0" borderId="0" applyNumberFormat="0" applyFill="0" applyBorder="0" applyAlignment="0" applyProtection="0"/>
    <xf numFmtId="0" fontId="5" fillId="15" borderId="2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3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39" fillId="39" borderId="0" applyNumberFormat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7" fontId="6" fillId="0" borderId="0"/>
    <xf numFmtId="177" fontId="6" fillId="0" borderId="0"/>
    <xf numFmtId="177" fontId="6" fillId="0" borderId="0"/>
    <xf numFmtId="177" fontId="6" fillId="0" borderId="0"/>
    <xf numFmtId="190" fontId="6" fillId="0" borderId="0"/>
    <xf numFmtId="38" fontId="12" fillId="60" borderId="0" applyNumberFormat="0" applyBorder="0" applyAlignment="0" applyProtection="0"/>
    <xf numFmtId="10" fontId="12" fillId="61" borderId="1" applyNumberFormat="0" applyBorder="0" applyAlignment="0" applyProtection="0"/>
    <xf numFmtId="189" fontId="6" fillId="0" borderId="0"/>
    <xf numFmtId="189" fontId="6" fillId="0" borderId="0"/>
    <xf numFmtId="189" fontId="6" fillId="0" borderId="0"/>
    <xf numFmtId="189" fontId="6" fillId="0" borderId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50" fillId="45" borderId="30" applyNumberFormat="0" applyAlignment="0" applyProtection="0"/>
    <xf numFmtId="0" fontId="50" fillId="45" borderId="30" applyNumberFormat="0" applyAlignment="0" applyProtection="0"/>
    <xf numFmtId="0" fontId="50" fillId="45" borderId="30" applyNumberFormat="0" applyAlignment="0" applyProtection="0"/>
    <xf numFmtId="0" fontId="50" fillId="45" borderId="30" applyNumberFormat="0" applyAlignment="0" applyProtection="0"/>
    <xf numFmtId="0" fontId="50" fillId="45" borderId="30" applyNumberFormat="0" applyAlignment="0" applyProtection="0"/>
    <xf numFmtId="0" fontId="50" fillId="45" borderId="30" applyNumberFormat="0" applyAlignment="0" applyProtection="0"/>
    <xf numFmtId="0" fontId="50" fillId="45" borderId="30" applyNumberFormat="0" applyAlignment="0" applyProtection="0"/>
    <xf numFmtId="0" fontId="6" fillId="0" borderId="0"/>
    <xf numFmtId="0" fontId="6" fillId="5" borderId="1" applyNumberFormat="0" applyProtection="0">
      <alignment horizontal="left" vertical="center"/>
    </xf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4" fillId="15" borderId="28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62" fillId="0" borderId="0" applyFont="0" applyFill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50" fillId="45" borderId="30" applyNumberFormat="0" applyAlignment="0" applyProtection="0"/>
    <xf numFmtId="0" fontId="50" fillId="45" borderId="30" applyNumberFormat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15" borderId="28" applyNumberFormat="0" applyFont="0" applyAlignment="0" applyProtection="0"/>
    <xf numFmtId="0" fontId="3" fillId="15" borderId="28" applyNumberFormat="0" applyFont="0" applyAlignment="0" applyProtection="0"/>
    <xf numFmtId="0" fontId="6" fillId="63" borderId="36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28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28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6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6" fillId="0" borderId="46" applyNumberFormat="0" applyFont="0" applyBorder="0" applyAlignment="0" applyProtection="0"/>
    <xf numFmtId="0" fontId="10" fillId="0" borderId="0" applyNumberFormat="0" applyFont="0" applyFill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824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wrapText="1"/>
    </xf>
    <xf numFmtId="3" fontId="8" fillId="0" borderId="0" xfId="0" applyNumberFormat="1" applyFont="1" applyAlignment="1">
      <alignment horizontal="center" wrapText="1"/>
    </xf>
    <xf numFmtId="37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6" fillId="0" borderId="0" xfId="1" applyNumberFormat="1" applyAlignment="1">
      <alignment horizontal="center"/>
    </xf>
    <xf numFmtId="169" fontId="7" fillId="0" borderId="0" xfId="0" applyNumberFormat="1" applyFont="1" applyAlignment="1">
      <alignment horizontal="center"/>
    </xf>
    <xf numFmtId="0" fontId="7" fillId="0" borderId="0" xfId="0" applyFont="1"/>
    <xf numFmtId="10" fontId="0" fillId="0" borderId="0" xfId="0" applyNumberFormat="1" applyAlignment="1">
      <alignment horizontal="center"/>
    </xf>
    <xf numFmtId="37" fontId="7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0" borderId="0" xfId="0" applyFont="1"/>
    <xf numFmtId="0" fontId="9" fillId="0" borderId="0" xfId="0" applyFont="1" applyAlignment="1"/>
    <xf numFmtId="3" fontId="0" fillId="2" borderId="0" xfId="0" applyNumberFormat="1" applyFill="1" applyAlignment="1">
      <alignment horizontal="center"/>
    </xf>
    <xf numFmtId="17" fontId="9" fillId="0" borderId="0" xfId="0" applyNumberFormat="1" applyFont="1"/>
    <xf numFmtId="0" fontId="0" fillId="0" borderId="0" xfId="0" applyFill="1" applyAlignment="1">
      <alignment horizontal="center"/>
    </xf>
    <xf numFmtId="172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7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171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9" fillId="0" borderId="0" xfId="0" applyNumberFormat="1" applyFont="1"/>
    <xf numFmtId="0" fontId="10" fillId="0" borderId="0" xfId="0" applyFont="1"/>
    <xf numFmtId="169" fontId="0" fillId="0" borderId="0" xfId="0" applyNumberFormat="1" applyAlignment="1">
      <alignment horizontal="center" wrapText="1"/>
    </xf>
    <xf numFmtId="0" fontId="9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68" fontId="0" fillId="0" borderId="0" xfId="1" applyFont="1" applyAlignment="1">
      <alignment horizontal="center"/>
    </xf>
    <xf numFmtId="168" fontId="0" fillId="0" borderId="0" xfId="1" applyFont="1"/>
    <xf numFmtId="176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3" xfId="0" applyBorder="1"/>
    <xf numFmtId="0" fontId="0" fillId="0" borderId="0" xfId="0" applyBorder="1"/>
    <xf numFmtId="0" fontId="0" fillId="0" borderId="8" xfId="0" applyBorder="1"/>
    <xf numFmtId="10" fontId="0" fillId="0" borderId="0" xfId="2" applyNumberFormat="1" applyFont="1" applyAlignment="1">
      <alignment horizontal="center"/>
    </xf>
    <xf numFmtId="3" fontId="0" fillId="0" borderId="3" xfId="0" applyNumberFormat="1" applyBorder="1"/>
    <xf numFmtId="177" fontId="0" fillId="0" borderId="0" xfId="1" applyNumberFormat="1" applyFont="1" applyAlignment="1">
      <alignment horizontal="center"/>
    </xf>
    <xf numFmtId="176" fontId="0" fillId="0" borderId="0" xfId="0" applyNumberFormat="1" applyAlignment="1">
      <alignment horizontal="center"/>
    </xf>
    <xf numFmtId="0" fontId="9" fillId="0" borderId="6" xfId="0" applyFont="1" applyBorder="1"/>
    <xf numFmtId="0" fontId="9" fillId="0" borderId="0" xfId="0" applyFont="1" applyAlignment="1">
      <alignment horizontal="center"/>
    </xf>
    <xf numFmtId="3" fontId="0" fillId="4" borderId="0" xfId="0" applyNumberFormat="1" applyFill="1" applyAlignment="1">
      <alignment horizontal="center"/>
    </xf>
    <xf numFmtId="3" fontId="7" fillId="4" borderId="0" xfId="0" applyNumberFormat="1" applyFont="1" applyFill="1" applyBorder="1" applyAlignment="1">
      <alignment horizontal="center"/>
    </xf>
    <xf numFmtId="3" fontId="0" fillId="4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73" fontId="0" fillId="0" borderId="0" xfId="0" applyNumberFormat="1" applyFill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15" fillId="0" borderId="0" xfId="0" applyNumberFormat="1" applyFont="1" applyAlignment="1">
      <alignment horizontal="left"/>
    </xf>
    <xf numFmtId="37" fontId="7" fillId="4" borderId="0" xfId="0" applyNumberFormat="1" applyFont="1" applyFill="1" applyAlignment="1">
      <alignment horizontal="center"/>
    </xf>
    <xf numFmtId="3" fontId="0" fillId="0" borderId="1" xfId="0" applyNumberFormat="1" applyBorder="1"/>
    <xf numFmtId="37" fontId="0" fillId="0" borderId="1" xfId="0" applyNumberFormat="1" applyFill="1" applyBorder="1"/>
    <xf numFmtId="175" fontId="0" fillId="0" borderId="1" xfId="0" applyNumberFormat="1" applyFill="1" applyBorder="1"/>
    <xf numFmtId="176" fontId="6" fillId="0" borderId="1" xfId="1" applyNumberFormat="1" applyFill="1" applyBorder="1"/>
    <xf numFmtId="0" fontId="9" fillId="0" borderId="1" xfId="0" applyFont="1" applyBorder="1" applyAlignment="1">
      <alignment horizontal="left" indent="1"/>
    </xf>
    <xf numFmtId="37" fontId="9" fillId="0" borderId="1" xfId="0" applyNumberFormat="1" applyFont="1" applyBorder="1"/>
    <xf numFmtId="0" fontId="9" fillId="0" borderId="1" xfId="0" applyFont="1" applyBorder="1"/>
    <xf numFmtId="175" fontId="0" fillId="3" borderId="1" xfId="0" applyNumberFormat="1" applyFill="1" applyBorder="1"/>
    <xf numFmtId="37" fontId="0" fillId="0" borderId="1" xfId="0" applyNumberFormat="1" applyBorder="1"/>
    <xf numFmtId="180" fontId="0" fillId="3" borderId="1" xfId="0" applyNumberFormat="1" applyFill="1" applyBorder="1"/>
    <xf numFmtId="164" fontId="0" fillId="0" borderId="1" xfId="0" applyNumberFormat="1" applyBorder="1"/>
    <xf numFmtId="181" fontId="0" fillId="0" borderId="1" xfId="0" applyNumberFormat="1" applyBorder="1"/>
    <xf numFmtId="164" fontId="9" fillId="0" borderId="1" xfId="0" applyNumberFormat="1" applyFont="1" applyFill="1" applyBorder="1"/>
    <xf numFmtId="0" fontId="9" fillId="0" borderId="0" xfId="0" applyFont="1" applyBorder="1" applyAlignment="1">
      <alignment horizontal="left" indent="1"/>
    </xf>
    <xf numFmtId="37" fontId="9" fillId="0" borderId="0" xfId="0" applyNumberFormat="1" applyFont="1" applyBorder="1"/>
    <xf numFmtId="0" fontId="9" fillId="0" borderId="0" xfId="0" applyFont="1" applyBorder="1"/>
    <xf numFmtId="181" fontId="0" fillId="0" borderId="0" xfId="0" applyNumberFormat="1" applyBorder="1"/>
    <xf numFmtId="164" fontId="9" fillId="0" borderId="0" xfId="0" applyNumberFormat="1" applyFont="1" applyFill="1" applyBorder="1"/>
    <xf numFmtId="3" fontId="0" fillId="0" borderId="14" xfId="0" applyNumberFormat="1" applyBorder="1"/>
    <xf numFmtId="175" fontId="0" fillId="0" borderId="1" xfId="0" applyNumberFormat="1" applyBorder="1" applyAlignment="1">
      <alignment horizontal="center"/>
    </xf>
    <xf numFmtId="182" fontId="0" fillId="3" borderId="1" xfId="0" applyNumberFormat="1" applyFill="1" applyBorder="1"/>
    <xf numFmtId="164" fontId="9" fillId="0" borderId="1" xfId="0" applyNumberFormat="1" applyFont="1" applyBorder="1"/>
    <xf numFmtId="37" fontId="0" fillId="0" borderId="13" xfId="0" applyNumberFormat="1" applyBorder="1"/>
    <xf numFmtId="164" fontId="0" fillId="0" borderId="14" xfId="0" applyNumberFormat="1" applyFill="1" applyBorder="1"/>
    <xf numFmtId="0" fontId="0" fillId="0" borderId="0" xfId="0" applyAlignment="1">
      <alignment horizontal="center"/>
    </xf>
    <xf numFmtId="173" fontId="0" fillId="4" borderId="0" xfId="0" applyNumberFormat="1" applyFill="1" applyAlignment="1">
      <alignment horizontal="center"/>
    </xf>
    <xf numFmtId="9" fontId="0" fillId="0" borderId="0" xfId="2" applyFont="1" applyFill="1" applyBorder="1" applyAlignment="1"/>
    <xf numFmtId="0" fontId="6" fillId="0" borderId="0" xfId="0" applyFont="1" applyAlignment="1">
      <alignment horizontal="left"/>
    </xf>
    <xf numFmtId="170" fontId="7" fillId="2" borderId="0" xfId="0" applyNumberFormat="1" applyFont="1" applyFill="1" applyAlignment="1">
      <alignment horizontal="center"/>
    </xf>
    <xf numFmtId="0" fontId="6" fillId="0" borderId="0" xfId="0" applyFont="1"/>
    <xf numFmtId="0" fontId="9" fillId="0" borderId="0" xfId="0" applyFont="1" applyFill="1" applyAlignment="1">
      <alignment horizontal="center" wrapText="1"/>
    </xf>
    <xf numFmtId="169" fontId="0" fillId="0" borderId="0" xfId="0" applyNumberFormat="1" applyFill="1" applyAlignment="1">
      <alignment horizontal="center" wrapText="1"/>
    </xf>
    <xf numFmtId="178" fontId="13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3" fontId="6" fillId="3" borderId="0" xfId="0" quotePrefix="1" applyNumberFormat="1" applyFont="1" applyFill="1" applyAlignment="1">
      <alignment horizontal="center" wrapText="1"/>
    </xf>
    <xf numFmtId="0" fontId="6" fillId="0" borderId="0" xfId="4"/>
    <xf numFmtId="171" fontId="0" fillId="0" borderId="0" xfId="0" applyNumberFormat="1" applyFill="1" applyAlignment="1">
      <alignment horizontal="center"/>
    </xf>
    <xf numFmtId="3" fontId="0" fillId="0" borderId="0" xfId="0" applyNumberFormat="1" applyFill="1"/>
    <xf numFmtId="3" fontId="6" fillId="4" borderId="0" xfId="0" applyNumberFormat="1" applyFont="1" applyFill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4" applyFont="1"/>
    <xf numFmtId="0" fontId="17" fillId="0" borderId="0" xfId="4" applyFont="1"/>
    <xf numFmtId="168" fontId="6" fillId="0" borderId="0" xfId="11" applyFont="1"/>
    <xf numFmtId="0" fontId="18" fillId="0" borderId="0" xfId="4" applyFont="1"/>
    <xf numFmtId="168" fontId="12" fillId="0" borderId="0" xfId="11" applyFont="1"/>
    <xf numFmtId="0" fontId="12" fillId="0" borderId="0" xfId="4" applyFont="1"/>
    <xf numFmtId="168" fontId="19" fillId="0" borderId="0" xfId="11" applyFont="1" applyAlignment="1">
      <alignment horizontal="right"/>
    </xf>
    <xf numFmtId="0" fontId="19" fillId="0" borderId="11" xfId="4" applyFont="1" applyBorder="1" applyAlignment="1">
      <alignment horizontal="right"/>
    </xf>
    <xf numFmtId="0" fontId="19" fillId="2" borderId="0" xfId="4" applyFont="1" applyFill="1"/>
    <xf numFmtId="0" fontId="12" fillId="0" borderId="0" xfId="4" applyFont="1" applyAlignment="1">
      <alignment horizontal="right"/>
    </xf>
    <xf numFmtId="168" fontId="12" fillId="0" borderId="0" xfId="4" applyNumberFormat="1" applyFont="1" applyAlignment="1">
      <alignment horizontal="right"/>
    </xf>
    <xf numFmtId="2" fontId="12" fillId="2" borderId="0" xfId="4" applyNumberFormat="1" applyFont="1" applyFill="1"/>
    <xf numFmtId="4" fontId="12" fillId="2" borderId="0" xfId="4" applyNumberFormat="1" applyFont="1" applyFill="1"/>
    <xf numFmtId="2" fontId="6" fillId="0" borderId="0" xfId="4" applyNumberFormat="1"/>
    <xf numFmtId="168" fontId="6" fillId="0" borderId="0" xfId="4" applyNumberFormat="1"/>
    <xf numFmtId="0" fontId="6" fillId="0" borderId="0" xfId="4" applyFill="1"/>
    <xf numFmtId="10" fontId="6" fillId="3" borderId="1" xfId="2" applyNumberFormat="1" applyFill="1" applyBorder="1"/>
    <xf numFmtId="0" fontId="14" fillId="6" borderId="1" xfId="0" applyFont="1" applyFill="1" applyBorder="1"/>
    <xf numFmtId="0" fontId="9" fillId="6" borderId="1" xfId="0" applyFont="1" applyFill="1" applyBorder="1"/>
    <xf numFmtId="0" fontId="14" fillId="6" borderId="13" xfId="0" applyFont="1" applyFill="1" applyBorder="1"/>
    <xf numFmtId="0" fontId="9" fillId="6" borderId="10" xfId="0" applyFont="1" applyFill="1" applyBorder="1"/>
    <xf numFmtId="0" fontId="9" fillId="6" borderId="8" xfId="0" applyFont="1" applyFill="1" applyBorder="1" applyAlignment="1">
      <alignment horizontal="center"/>
    </xf>
    <xf numFmtId="0" fontId="9" fillId="6" borderId="8" xfId="0" applyFont="1" applyFill="1" applyBorder="1"/>
    <xf numFmtId="0" fontId="9" fillId="6" borderId="9" xfId="0" applyFont="1" applyFill="1" applyBorder="1"/>
    <xf numFmtId="0" fontId="9" fillId="6" borderId="5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/>
    </xf>
    <xf numFmtId="0" fontId="0" fillId="6" borderId="8" xfId="0" applyFill="1" applyBorder="1"/>
    <xf numFmtId="0" fontId="9" fillId="6" borderId="7" xfId="0" applyFont="1" applyFill="1" applyBorder="1" applyAlignment="1">
      <alignment horizontal="center"/>
    </xf>
    <xf numFmtId="0" fontId="6" fillId="0" borderId="3" xfId="0" applyFont="1" applyBorder="1"/>
    <xf numFmtId="0" fontId="9" fillId="6" borderId="12" xfId="0" applyNumberFormat="1" applyFont="1" applyFill="1" applyBorder="1" applyAlignment="1">
      <alignment horizontal="center"/>
    </xf>
    <xf numFmtId="180" fontId="15" fillId="3" borderId="1" xfId="0" applyNumberFormat="1" applyFont="1" applyFill="1" applyBorder="1"/>
    <xf numFmtId="181" fontId="15" fillId="0" borderId="1" xfId="0" applyNumberFormat="1" applyFont="1" applyBorder="1"/>
    <xf numFmtId="182" fontId="15" fillId="3" borderId="1" xfId="0" applyNumberFormat="1" applyFont="1" applyFill="1" applyBorder="1"/>
    <xf numFmtId="182" fontId="20" fillId="3" borderId="1" xfId="0" applyNumberFormat="1" applyFont="1" applyFill="1" applyBorder="1"/>
    <xf numFmtId="3" fontId="7" fillId="4" borderId="0" xfId="0" applyNumberFormat="1" applyFont="1" applyFill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wrapText="1"/>
    </xf>
    <xf numFmtId="37" fontId="6" fillId="0" borderId="0" xfId="0" quotePrefix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3" fontId="6" fillId="3" borderId="0" xfId="0" applyNumberFormat="1" applyFont="1" applyFill="1" applyAlignment="1">
      <alignment horizontal="center" wrapText="1"/>
    </xf>
    <xf numFmtId="170" fontId="0" fillId="0" borderId="0" xfId="0" applyNumberFormat="1" applyFill="1" applyAlignment="1">
      <alignment horizontal="center"/>
    </xf>
    <xf numFmtId="168" fontId="7" fillId="4" borderId="0" xfId="1" applyNumberFormat="1" applyFont="1" applyFill="1" applyAlignment="1">
      <alignment horizontal="center"/>
    </xf>
    <xf numFmtId="168" fontId="0" fillId="4" borderId="0" xfId="1" applyNumberFormat="1" applyFont="1" applyFill="1" applyAlignment="1">
      <alignment horizontal="center"/>
    </xf>
    <xf numFmtId="37" fontId="6" fillId="4" borderId="0" xfId="0" applyNumberFormat="1" applyFont="1" applyFill="1" applyAlignment="1">
      <alignment horizontal="center"/>
    </xf>
    <xf numFmtId="10" fontId="0" fillId="0" borderId="0" xfId="2" applyNumberFormat="1" applyFont="1"/>
    <xf numFmtId="0" fontId="19" fillId="7" borderId="0" xfId="0" applyFont="1" applyFill="1" applyAlignment="1">
      <alignment horizontal="center" vertical="center"/>
    </xf>
    <xf numFmtId="0" fontId="0" fillId="7" borderId="0" xfId="0" applyFill="1"/>
    <xf numFmtId="0" fontId="19" fillId="7" borderId="0" xfId="0" applyFont="1" applyFill="1" applyAlignment="1">
      <alignment horizontal="left" vertical="center"/>
    </xf>
    <xf numFmtId="198" fontId="0" fillId="0" borderId="0" xfId="1" applyNumberFormat="1" applyFont="1" applyAlignment="1">
      <alignment horizontal="center"/>
    </xf>
    <xf numFmtId="10" fontId="6" fillId="0" borderId="0" xfId="0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9" fontId="0" fillId="0" borderId="0" xfId="0" applyNumberFormat="1" applyFill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17" fontId="0" fillId="0" borderId="1" xfId="0" applyNumberFormat="1" applyFill="1" applyBorder="1" applyAlignment="1">
      <alignment horizontal="left"/>
    </xf>
    <xf numFmtId="168" fontId="0" fillId="0" borderId="1" xfId="1" applyNumberFormat="1" applyFont="1" applyFill="1" applyBorder="1" applyAlignment="1">
      <alignment horizontal="center"/>
    </xf>
    <xf numFmtId="168" fontId="7" fillId="0" borderId="1" xfId="1" applyNumberFormat="1" applyFont="1" applyFill="1" applyBorder="1" applyAlignment="1">
      <alignment horizontal="center"/>
    </xf>
    <xf numFmtId="176" fontId="0" fillId="0" borderId="1" xfId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9" fillId="6" borderId="12" xfId="0" applyNumberFormat="1" applyFont="1" applyFill="1" applyBorder="1" applyAlignment="1">
      <alignment horizontal="center"/>
    </xf>
    <xf numFmtId="168" fontId="0" fillId="0" borderId="0" xfId="1" applyFont="1" applyFill="1" applyAlignment="1">
      <alignment horizontal="center"/>
    </xf>
    <xf numFmtId="178" fontId="0" fillId="0" borderId="0" xfId="1" applyNumberFormat="1" applyFont="1" applyFill="1" applyAlignment="1">
      <alignment horizontal="center"/>
    </xf>
    <xf numFmtId="178" fontId="0" fillId="0" borderId="0" xfId="1" applyNumberFormat="1" applyFont="1" applyFill="1"/>
    <xf numFmtId="178" fontId="9" fillId="0" borderId="0" xfId="1" applyNumberFormat="1" applyFont="1" applyFill="1" applyAlignment="1">
      <alignment horizontal="center" wrapText="1"/>
    </xf>
    <xf numFmtId="3" fontId="9" fillId="0" borderId="0" xfId="0" applyNumberFormat="1" applyFont="1" applyFill="1" applyAlignment="1">
      <alignment horizontal="center"/>
    </xf>
    <xf numFmtId="178" fontId="0" fillId="0" borderId="0" xfId="1" applyNumberFormat="1" applyFon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75" fontId="6" fillId="0" borderId="1" xfId="0" applyNumberFormat="1" applyFont="1" applyBorder="1" applyAlignment="1">
      <alignment horizontal="center"/>
    </xf>
    <xf numFmtId="0" fontId="9" fillId="6" borderId="12" xfId="0" applyNumberFormat="1" applyFont="1" applyFill="1" applyBorder="1" applyAlignment="1">
      <alignment horizontal="center"/>
    </xf>
    <xf numFmtId="168" fontId="0" fillId="0" borderId="0" xfId="1" applyNumberFormat="1" applyFont="1" applyFill="1" applyBorder="1" applyAlignment="1">
      <alignment horizontal="center"/>
    </xf>
    <xf numFmtId="164" fontId="9" fillId="0" borderId="0" xfId="0" applyNumberFormat="1" applyFont="1" applyBorder="1"/>
    <xf numFmtId="176" fontId="0" fillId="7" borderId="0" xfId="1" applyNumberFormat="1" applyFont="1" applyFill="1"/>
    <xf numFmtId="0" fontId="56" fillId="64" borderId="6" xfId="60" applyFont="1" applyFill="1" applyBorder="1" applyAlignment="1">
      <alignment horizontal="left" vertical="center"/>
    </xf>
    <xf numFmtId="0" fontId="56" fillId="64" borderId="2" xfId="60" applyFont="1" applyFill="1" applyBorder="1" applyAlignment="1">
      <alignment horizontal="center" vertical="center"/>
    </xf>
    <xf numFmtId="0" fontId="56" fillId="64" borderId="1" xfId="60" applyFont="1" applyFill="1" applyBorder="1" applyAlignment="1">
      <alignment horizontal="center" vertical="center" wrapText="1"/>
    </xf>
    <xf numFmtId="0" fontId="56" fillId="7" borderId="6" xfId="0" applyFont="1" applyFill="1" applyBorder="1" applyAlignment="1">
      <alignment horizontal="left" vertical="center"/>
    </xf>
    <xf numFmtId="0" fontId="56" fillId="7" borderId="2" xfId="0" applyFont="1" applyFill="1" applyBorder="1" applyAlignment="1">
      <alignment horizontal="left" vertical="center" wrapText="1"/>
    </xf>
    <xf numFmtId="0" fontId="56" fillId="7" borderId="2" xfId="0" applyFont="1" applyFill="1" applyBorder="1" applyAlignment="1">
      <alignment horizontal="left" vertical="center"/>
    </xf>
    <xf numFmtId="0" fontId="56" fillId="7" borderId="7" xfId="0" applyFont="1" applyFill="1" applyBorder="1" applyAlignment="1">
      <alignment horizontal="left" vertical="center"/>
    </xf>
    <xf numFmtId="0" fontId="63" fillId="7" borderId="6" xfId="0" applyFont="1" applyFill="1" applyBorder="1" applyAlignment="1">
      <alignment horizontal="left" vertical="center"/>
    </xf>
    <xf numFmtId="0" fontId="63" fillId="7" borderId="2" xfId="0" applyFont="1" applyFill="1" applyBorder="1" applyAlignment="1">
      <alignment horizontal="left" vertical="center"/>
    </xf>
    <xf numFmtId="170" fontId="63" fillId="7" borderId="1" xfId="59" applyNumberFormat="1" applyFont="1" applyFill="1" applyBorder="1" applyAlignment="1">
      <alignment horizontal="center" vertical="center"/>
    </xf>
    <xf numFmtId="3" fontId="63" fillId="7" borderId="1" xfId="0" applyNumberFormat="1" applyFont="1" applyFill="1" applyBorder="1" applyAlignment="1">
      <alignment horizontal="center" vertical="center" wrapText="1"/>
    </xf>
    <xf numFmtId="166" fontId="63" fillId="7" borderId="1" xfId="59" applyNumberFormat="1" applyFont="1" applyFill="1" applyBorder="1" applyAlignment="1">
      <alignment vertical="center"/>
    </xf>
    <xf numFmtId="3" fontId="63" fillId="7" borderId="7" xfId="59" applyNumberFormat="1" applyFont="1" applyFill="1" applyBorder="1" applyAlignment="1">
      <alignment horizontal="center" vertical="center"/>
    </xf>
    <xf numFmtId="184" fontId="63" fillId="7" borderId="1" xfId="59" applyNumberFormat="1" applyFont="1" applyFill="1" applyBorder="1" applyAlignment="1">
      <alignment horizontal="center" vertical="center"/>
    </xf>
    <xf numFmtId="185" fontId="63" fillId="7" borderId="1" xfId="0" applyNumberFormat="1" applyFont="1" applyFill="1" applyBorder="1" applyAlignment="1">
      <alignment horizontal="center" vertical="center"/>
    </xf>
    <xf numFmtId="183" fontId="63" fillId="7" borderId="1" xfId="0" applyNumberFormat="1" applyFont="1" applyFill="1" applyBorder="1" applyAlignment="1">
      <alignment horizontal="center" vertical="center"/>
    </xf>
    <xf numFmtId="3" fontId="63" fillId="7" borderId="1" xfId="0" applyNumberFormat="1" applyFont="1" applyFill="1" applyBorder="1" applyAlignment="1">
      <alignment horizontal="center" vertical="center"/>
    </xf>
    <xf numFmtId="187" fontId="63" fillId="7" borderId="1" xfId="0" applyNumberFormat="1" applyFont="1" applyFill="1" applyBorder="1" applyAlignment="1">
      <alignment horizontal="center" vertical="center"/>
    </xf>
    <xf numFmtId="0" fontId="63" fillId="7" borderId="6" xfId="0" applyFont="1" applyFill="1" applyBorder="1" applyAlignment="1">
      <alignment vertical="center"/>
    </xf>
    <xf numFmtId="0" fontId="63" fillId="7" borderId="2" xfId="0" applyFont="1" applyFill="1" applyBorder="1" applyAlignment="1">
      <alignment vertical="center"/>
    </xf>
    <xf numFmtId="0" fontId="63" fillId="7" borderId="7" xfId="0" applyFont="1" applyFill="1" applyBorder="1" applyAlignment="1">
      <alignment vertical="center"/>
    </xf>
    <xf numFmtId="0" fontId="56" fillId="7" borderId="0" xfId="0" applyFont="1" applyFill="1" applyAlignment="1">
      <alignment horizontal="left" vertical="center"/>
    </xf>
    <xf numFmtId="0" fontId="56" fillId="7" borderId="0" xfId="0" applyFont="1" applyFill="1" applyAlignment="1">
      <alignment horizontal="center" vertical="center"/>
    </xf>
    <xf numFmtId="3" fontId="56" fillId="64" borderId="1" xfId="60" applyNumberFormat="1" applyFont="1" applyFill="1" applyBorder="1" applyAlignment="1">
      <alignment horizontal="center" vertical="center" wrapText="1"/>
    </xf>
    <xf numFmtId="0" fontId="56" fillId="7" borderId="6" xfId="0" applyFont="1" applyFill="1" applyBorder="1" applyAlignment="1">
      <alignment vertical="center"/>
    </xf>
    <xf numFmtId="0" fontId="56" fillId="7" borderId="2" xfId="0" applyFont="1" applyFill="1" applyBorder="1" applyAlignment="1">
      <alignment vertical="center"/>
    </xf>
    <xf numFmtId="0" fontId="56" fillId="7" borderId="7" xfId="0" applyFont="1" applyFill="1" applyBorder="1" applyAlignment="1">
      <alignment vertical="center"/>
    </xf>
    <xf numFmtId="170" fontId="63" fillId="7" borderId="7" xfId="59" applyNumberFormat="1" applyFont="1" applyFill="1" applyBorder="1" applyAlignment="1">
      <alignment horizontal="center" vertical="center"/>
    </xf>
    <xf numFmtId="172" fontId="63" fillId="7" borderId="1" xfId="59" applyNumberFormat="1" applyFont="1" applyFill="1" applyBorder="1" applyAlignment="1">
      <alignment horizontal="center" vertical="center"/>
    </xf>
    <xf numFmtId="184" fontId="63" fillId="7" borderId="7" xfId="59" applyNumberFormat="1" applyFont="1" applyFill="1" applyBorder="1" applyAlignment="1">
      <alignment horizontal="center" vertical="center"/>
    </xf>
    <xf numFmtId="195" fontId="63" fillId="7" borderId="1" xfId="59" applyNumberFormat="1" applyFont="1" applyFill="1" applyBorder="1" applyAlignment="1">
      <alignment horizontal="center" vertical="center"/>
    </xf>
    <xf numFmtId="0" fontId="63" fillId="7" borderId="0" xfId="0" applyFont="1" applyFill="1"/>
    <xf numFmtId="0" fontId="56" fillId="64" borderId="6" xfId="0" applyFont="1" applyFill="1" applyBorder="1" applyAlignment="1">
      <alignment vertical="center"/>
    </xf>
    <xf numFmtId="0" fontId="56" fillId="64" borderId="2" xfId="0" applyFont="1" applyFill="1" applyBorder="1" applyAlignment="1">
      <alignment vertical="center"/>
    </xf>
    <xf numFmtId="0" fontId="56" fillId="64" borderId="7" xfId="0" applyFont="1" applyFill="1" applyBorder="1" applyAlignment="1">
      <alignment vertical="center"/>
    </xf>
    <xf numFmtId="3" fontId="63" fillId="7" borderId="1" xfId="59" applyNumberFormat="1" applyFont="1" applyFill="1" applyBorder="1" applyAlignment="1">
      <alignment horizontal="center" vertical="center"/>
    </xf>
    <xf numFmtId="3" fontId="63" fillId="0" borderId="1" xfId="59" applyNumberFormat="1" applyFont="1" applyFill="1" applyBorder="1" applyAlignment="1">
      <alignment horizontal="center" vertical="center"/>
    </xf>
    <xf numFmtId="3" fontId="63" fillId="0" borderId="7" xfId="59" applyNumberFormat="1" applyFont="1" applyFill="1" applyBorder="1" applyAlignment="1">
      <alignment horizontal="center" vertical="center"/>
    </xf>
    <xf numFmtId="0" fontId="63" fillId="7" borderId="1" xfId="0" applyFont="1" applyFill="1" applyBorder="1"/>
    <xf numFmtId="0" fontId="63" fillId="7" borderId="1" xfId="0" applyFont="1" applyFill="1" applyBorder="1" applyAlignment="1">
      <alignment vertical="center"/>
    </xf>
    <xf numFmtId="0" fontId="56" fillId="64" borderId="6" xfId="0" applyFont="1" applyFill="1" applyBorder="1" applyAlignment="1">
      <alignment horizontal="left" vertical="center"/>
    </xf>
    <xf numFmtId="0" fontId="56" fillId="64" borderId="2" xfId="0" applyFont="1" applyFill="1" applyBorder="1" applyAlignment="1">
      <alignment horizontal="left" vertical="center"/>
    </xf>
    <xf numFmtId="0" fontId="63" fillId="64" borderId="2" xfId="0" applyFont="1" applyFill="1" applyBorder="1"/>
    <xf numFmtId="0" fontId="63" fillId="64" borderId="7" xfId="0" applyFont="1" applyFill="1" applyBorder="1" applyAlignment="1">
      <alignment vertical="center"/>
    </xf>
    <xf numFmtId="169" fontId="63" fillId="7" borderId="1" xfId="0" applyNumberFormat="1" applyFont="1" applyFill="1" applyBorder="1" applyAlignment="1">
      <alignment horizontal="center" vertical="center"/>
    </xf>
    <xf numFmtId="169" fontId="63" fillId="7" borderId="1" xfId="148" applyNumberFormat="1" applyFont="1" applyFill="1" applyBorder="1" applyAlignment="1">
      <alignment horizontal="center" vertical="center"/>
    </xf>
    <xf numFmtId="169" fontId="63" fillId="7" borderId="1" xfId="59" applyNumberFormat="1" applyFont="1" applyFill="1" applyBorder="1" applyAlignment="1">
      <alignment horizontal="center" vertical="center"/>
    </xf>
    <xf numFmtId="1" fontId="63" fillId="7" borderId="6" xfId="0" applyNumberFormat="1" applyFont="1" applyFill="1" applyBorder="1" applyAlignment="1">
      <alignment horizontal="left" vertical="center" indent="1"/>
    </xf>
    <xf numFmtId="0" fontId="63" fillId="7" borderId="0" xfId="0" applyFont="1" applyFill="1" applyAlignment="1">
      <alignment vertical="center"/>
    </xf>
    <xf numFmtId="183" fontId="63" fillId="7" borderId="7" xfId="59" applyNumberFormat="1" applyFont="1" applyFill="1" applyBorder="1" applyAlignment="1">
      <alignment horizontal="center" vertical="center"/>
    </xf>
    <xf numFmtId="3" fontId="63" fillId="7" borderId="15" xfId="0" applyNumberFormat="1" applyFont="1" applyFill="1" applyBorder="1" applyAlignment="1">
      <alignment horizontal="center" vertical="center" wrapText="1"/>
    </xf>
    <xf numFmtId="3" fontId="63" fillId="7" borderId="0" xfId="0" applyNumberFormat="1" applyFont="1" applyFill="1" applyAlignment="1">
      <alignment vertical="center"/>
    </xf>
    <xf numFmtId="183" fontId="63" fillId="7" borderId="1" xfId="0" applyNumberFormat="1" applyFont="1" applyFill="1" applyBorder="1" applyAlignment="1">
      <alignment horizontal="center" vertical="center" wrapText="1"/>
    </xf>
    <xf numFmtId="192" fontId="63" fillId="7" borderId="1" xfId="0" applyNumberFormat="1" applyFont="1" applyFill="1" applyBorder="1" applyAlignment="1">
      <alignment horizontal="center" vertical="center" wrapText="1"/>
    </xf>
    <xf numFmtId="172" fontId="63" fillId="7" borderId="0" xfId="0" applyNumberFormat="1" applyFont="1" applyFill="1" applyAlignment="1">
      <alignment vertical="center"/>
    </xf>
    <xf numFmtId="0" fontId="63" fillId="7" borderId="0" xfId="0" applyFont="1" applyFill="1" applyBorder="1" applyAlignment="1">
      <alignment vertical="center"/>
    </xf>
    <xf numFmtId="0" fontId="63" fillId="7" borderId="4" xfId="0" applyFont="1" applyFill="1" applyBorder="1" applyAlignment="1">
      <alignment vertical="center"/>
    </xf>
    <xf numFmtId="0" fontId="63" fillId="7" borderId="5" xfId="0" applyFont="1" applyFill="1" applyBorder="1" applyAlignment="1">
      <alignment horizontal="left" vertical="center"/>
    </xf>
    <xf numFmtId="0" fontId="63" fillId="7" borderId="11" xfId="0" applyFont="1" applyFill="1" applyBorder="1" applyAlignment="1">
      <alignment horizontal="left" vertical="center"/>
    </xf>
    <xf numFmtId="0" fontId="56" fillId="64" borderId="8" xfId="60" applyFont="1" applyFill="1" applyBorder="1" applyAlignment="1">
      <alignment horizontal="left" vertical="center"/>
    </xf>
    <xf numFmtId="0" fontId="56" fillId="64" borderId="9" xfId="60" applyFont="1" applyFill="1" applyBorder="1" applyAlignment="1">
      <alignment horizontal="center" vertical="center"/>
    </xf>
    <xf numFmtId="0" fontId="56" fillId="64" borderId="13" xfId="60" applyFont="1" applyFill="1" applyBorder="1" applyAlignment="1">
      <alignment horizontal="center" vertical="center" wrapText="1"/>
    </xf>
    <xf numFmtId="0" fontId="63" fillId="7" borderId="0" xfId="0" applyFont="1" applyFill="1" applyBorder="1" applyAlignment="1">
      <alignment horizontal="left" vertical="center"/>
    </xf>
    <xf numFmtId="3" fontId="63" fillId="7" borderId="0" xfId="0" applyNumberFormat="1" applyFont="1" applyFill="1" applyBorder="1" applyAlignment="1">
      <alignment horizontal="center" vertical="center" wrapText="1"/>
    </xf>
    <xf numFmtId="184" fontId="63" fillId="7" borderId="15" xfId="0" applyNumberFormat="1" applyFont="1" applyFill="1" applyBorder="1" applyAlignment="1">
      <alignment horizontal="center" vertical="center" wrapText="1"/>
    </xf>
    <xf numFmtId="184" fontId="63" fillId="7" borderId="0" xfId="0" applyNumberFormat="1" applyFont="1" applyFill="1" applyBorder="1" applyAlignment="1">
      <alignment horizontal="center" vertical="center" wrapText="1"/>
    </xf>
    <xf numFmtId="9" fontId="63" fillId="7" borderId="0" xfId="0" applyNumberFormat="1" applyFont="1" applyFill="1" applyBorder="1" applyAlignment="1">
      <alignment horizontal="center" vertical="center" wrapText="1"/>
    </xf>
    <xf numFmtId="0" fontId="63" fillId="0" borderId="0" xfId="0" applyFont="1" applyFill="1"/>
    <xf numFmtId="0" fontId="56" fillId="64" borderId="6" xfId="60" applyFont="1" applyFill="1" applyBorder="1" applyAlignment="1">
      <alignment horizontal="center" vertical="center" wrapText="1"/>
    </xf>
    <xf numFmtId="0" fontId="56" fillId="0" borderId="0" xfId="60" applyFont="1" applyFill="1" applyBorder="1" applyAlignment="1">
      <alignment horizontal="center" vertical="center" wrapText="1"/>
    </xf>
    <xf numFmtId="168" fontId="63" fillId="7" borderId="1" xfId="1" applyFont="1" applyFill="1" applyBorder="1" applyAlignment="1">
      <alignment horizontal="center" vertical="center" wrapText="1"/>
    </xf>
    <xf numFmtId="168" fontId="63" fillId="7" borderId="1" xfId="1" applyFont="1" applyFill="1" applyBorder="1"/>
    <xf numFmtId="176" fontId="63" fillId="7" borderId="1" xfId="1" applyNumberFormat="1" applyFont="1" applyFill="1" applyBorder="1" applyAlignment="1">
      <alignment horizontal="center" vertical="center" wrapText="1"/>
    </xf>
    <xf numFmtId="176" fontId="63" fillId="7" borderId="1" xfId="1" applyNumberFormat="1" applyFont="1" applyFill="1" applyBorder="1"/>
    <xf numFmtId="0" fontId="63" fillId="7" borderId="8" xfId="0" applyFont="1" applyFill="1" applyBorder="1" applyAlignment="1">
      <alignment vertical="center"/>
    </xf>
    <xf numFmtId="0" fontId="63" fillId="7" borderId="9" xfId="0" applyFont="1" applyFill="1" applyBorder="1" applyAlignment="1">
      <alignment vertical="center"/>
    </xf>
    <xf numFmtId="0" fontId="63" fillId="7" borderId="10" xfId="0" applyFont="1" applyFill="1" applyBorder="1" applyAlignment="1">
      <alignment vertical="center"/>
    </xf>
    <xf numFmtId="0" fontId="63" fillId="7" borderId="11" xfId="0" applyFont="1" applyFill="1" applyBorder="1" applyAlignment="1">
      <alignment vertical="center"/>
    </xf>
    <xf numFmtId="0" fontId="63" fillId="7" borderId="12" xfId="0" applyFont="1" applyFill="1" applyBorder="1" applyAlignment="1">
      <alignment vertical="center"/>
    </xf>
    <xf numFmtId="0" fontId="64" fillId="7" borderId="1" xfId="137" applyFont="1" applyFill="1" applyBorder="1" applyAlignment="1">
      <alignment horizontal="center"/>
    </xf>
    <xf numFmtId="0" fontId="65" fillId="7" borderId="6" xfId="137" applyFont="1" applyFill="1" applyBorder="1" applyAlignment="1">
      <alignment horizontal="left"/>
    </xf>
    <xf numFmtId="0" fontId="65" fillId="7" borderId="7" xfId="137" applyFont="1" applyFill="1" applyBorder="1" applyAlignment="1">
      <alignment horizontal="left"/>
    </xf>
    <xf numFmtId="10" fontId="63" fillId="7" borderId="1" xfId="139" applyNumberFormat="1" applyFont="1" applyFill="1" applyBorder="1" applyAlignment="1">
      <alignment horizontal="center"/>
    </xf>
    <xf numFmtId="194" fontId="63" fillId="7" borderId="1" xfId="138" applyNumberFormat="1" applyFont="1" applyFill="1" applyBorder="1" applyAlignment="1">
      <alignment horizontal="center"/>
    </xf>
    <xf numFmtId="0" fontId="64" fillId="64" borderId="1" xfId="137" applyFont="1" applyFill="1" applyBorder="1" applyAlignment="1">
      <alignment horizontal="center"/>
    </xf>
    <xf numFmtId="0" fontId="65" fillId="7" borderId="1" xfId="137" applyFont="1" applyFill="1" applyBorder="1" applyAlignment="1">
      <alignment horizontal="left"/>
    </xf>
    <xf numFmtId="0" fontId="65" fillId="7" borderId="0" xfId="137" applyFont="1" applyFill="1" applyBorder="1" applyAlignment="1">
      <alignment horizontal="left"/>
    </xf>
    <xf numFmtId="194" fontId="63" fillId="7" borderId="0" xfId="138" applyNumberFormat="1" applyFont="1" applyFill="1" applyBorder="1" applyAlignment="1">
      <alignment horizontal="center"/>
    </xf>
    <xf numFmtId="0" fontId="56" fillId="65" borderId="6" xfId="60" applyFont="1" applyFill="1" applyBorder="1" applyAlignment="1">
      <alignment horizontal="left" vertical="center"/>
    </xf>
    <xf numFmtId="0" fontId="56" fillId="65" borderId="2" xfId="60" applyFont="1" applyFill="1" applyBorder="1" applyAlignment="1">
      <alignment horizontal="center" vertical="center"/>
    </xf>
    <xf numFmtId="0" fontId="56" fillId="65" borderId="1" xfId="60" applyFont="1" applyFill="1" applyBorder="1" applyAlignment="1">
      <alignment horizontal="center" vertical="center" wrapText="1"/>
    </xf>
    <xf numFmtId="0" fontId="63" fillId="65" borderId="6" xfId="0" applyFont="1" applyFill="1" applyBorder="1" applyAlignment="1">
      <alignment vertical="center"/>
    </xf>
    <xf numFmtId="0" fontId="63" fillId="65" borderId="2" xfId="0" applyFont="1" applyFill="1" applyBorder="1" applyAlignment="1">
      <alignment vertical="center"/>
    </xf>
    <xf numFmtId="0" fontId="63" fillId="65" borderId="7" xfId="0" applyFont="1" applyFill="1" applyBorder="1" applyAlignment="1">
      <alignment vertical="center"/>
    </xf>
    <xf numFmtId="0" fontId="63" fillId="65" borderId="9" xfId="0" applyFont="1" applyFill="1" applyBorder="1" applyAlignment="1">
      <alignment horizontal="left" vertical="center"/>
    </xf>
    <xf numFmtId="184" fontId="63" fillId="65" borderId="15" xfId="0" applyNumberFormat="1" applyFont="1" applyFill="1" applyBorder="1" applyAlignment="1">
      <alignment horizontal="center" vertical="center" wrapText="1"/>
    </xf>
    <xf numFmtId="184" fontId="63" fillId="65" borderId="1" xfId="0" applyNumberFormat="1" applyFont="1" applyFill="1" applyBorder="1" applyAlignment="1">
      <alignment horizontal="center" vertical="center" wrapText="1"/>
    </xf>
    <xf numFmtId="4" fontId="63" fillId="65" borderId="2" xfId="0" applyNumberFormat="1" applyFont="1" applyFill="1" applyBorder="1" applyAlignment="1">
      <alignment vertical="center"/>
    </xf>
    <xf numFmtId="0" fontId="63" fillId="65" borderId="5" xfId="0" applyFont="1" applyFill="1" applyBorder="1" applyAlignment="1">
      <alignment horizontal="left" vertical="center" wrapText="1"/>
    </xf>
    <xf numFmtId="0" fontId="63" fillId="65" borderId="11" xfId="0" applyFont="1" applyFill="1" applyBorder="1" applyAlignment="1">
      <alignment horizontal="left" vertical="center" wrapText="1"/>
    </xf>
    <xf numFmtId="187" fontId="63" fillId="65" borderId="1" xfId="0" applyNumberFormat="1" applyFont="1" applyFill="1" applyBorder="1" applyAlignment="1">
      <alignment horizontal="center" vertical="center" wrapText="1"/>
    </xf>
    <xf numFmtId="197" fontId="63" fillId="65" borderId="15" xfId="0" applyNumberFormat="1" applyFont="1" applyFill="1" applyBorder="1" applyAlignment="1">
      <alignment horizontal="center" vertical="center" wrapText="1"/>
    </xf>
    <xf numFmtId="196" fontId="63" fillId="65" borderId="1" xfId="0" applyNumberFormat="1" applyFont="1" applyFill="1" applyBorder="1" applyAlignment="1">
      <alignment horizontal="center" vertical="center" wrapText="1"/>
    </xf>
    <xf numFmtId="185" fontId="63" fillId="65" borderId="15" xfId="0" applyNumberFormat="1" applyFont="1" applyFill="1" applyBorder="1" applyAlignment="1">
      <alignment horizontal="center" vertical="center" wrapText="1"/>
    </xf>
    <xf numFmtId="185" fontId="63" fillId="65" borderId="1" xfId="0" applyNumberFormat="1" applyFont="1" applyFill="1" applyBorder="1" applyAlignment="1">
      <alignment horizontal="center" vertical="center" wrapText="1"/>
    </xf>
    <xf numFmtId="4" fontId="63" fillId="65" borderId="1" xfId="0" applyNumberFormat="1" applyFont="1" applyFill="1" applyBorder="1" applyAlignment="1">
      <alignment horizontal="center" vertical="center" wrapText="1"/>
    </xf>
    <xf numFmtId="184" fontId="63" fillId="7" borderId="0" xfId="0" applyNumberFormat="1" applyFont="1" applyFill="1" applyAlignment="1">
      <alignment vertical="center"/>
    </xf>
    <xf numFmtId="185" fontId="63" fillId="7" borderId="0" xfId="0" applyNumberFormat="1" applyFont="1" applyFill="1" applyBorder="1" applyAlignment="1">
      <alignment horizontal="center" vertical="center" wrapText="1"/>
    </xf>
    <xf numFmtId="186" fontId="63" fillId="7" borderId="15" xfId="0" applyNumberFormat="1" applyFont="1" applyFill="1" applyBorder="1" applyAlignment="1">
      <alignment horizontal="center" vertical="center" wrapText="1"/>
    </xf>
    <xf numFmtId="186" fontId="63" fillId="7" borderId="1" xfId="0" applyNumberFormat="1" applyFont="1" applyFill="1" applyBorder="1" applyAlignment="1">
      <alignment horizontal="center" vertical="center" wrapText="1"/>
    </xf>
    <xf numFmtId="186" fontId="63" fillId="7" borderId="0" xfId="0" applyNumberFormat="1" applyFont="1" applyFill="1" applyBorder="1" applyAlignment="1">
      <alignment horizontal="center" vertical="center" wrapText="1"/>
    </xf>
    <xf numFmtId="0" fontId="63" fillId="7" borderId="7" xfId="0" applyFont="1" applyFill="1" applyBorder="1" applyAlignment="1">
      <alignment horizontal="left" vertical="center"/>
    </xf>
    <xf numFmtId="0" fontId="63" fillId="7" borderId="6" xfId="0" applyFont="1" applyFill="1" applyBorder="1" applyAlignment="1">
      <alignment horizontal="left" vertical="center" wrapText="1"/>
    </xf>
    <xf numFmtId="0" fontId="63" fillId="7" borderId="2" xfId="0" applyFont="1" applyFill="1" applyBorder="1" applyAlignment="1">
      <alignment horizontal="left" vertical="center" wrapText="1"/>
    </xf>
    <xf numFmtId="0" fontId="63" fillId="7" borderId="7" xfId="0" applyFont="1" applyFill="1" applyBorder="1" applyAlignment="1">
      <alignment horizontal="left" vertical="center" wrapText="1"/>
    </xf>
    <xf numFmtId="183" fontId="56" fillId="7" borderId="7" xfId="59" applyNumberFormat="1" applyFont="1" applyFill="1" applyBorder="1" applyAlignment="1">
      <alignment horizontal="center" vertical="center"/>
    </xf>
    <xf numFmtId="168" fontId="63" fillId="7" borderId="0" xfId="1" applyFont="1" applyFill="1"/>
    <xf numFmtId="0" fontId="63" fillId="0" borderId="6" xfId="0" applyFont="1" applyFill="1" applyBorder="1" applyAlignment="1">
      <alignment horizontal="left" vertical="center"/>
    </xf>
    <xf numFmtId="0" fontId="56" fillId="64" borderId="1" xfId="0" applyFont="1" applyFill="1" applyBorder="1" applyAlignment="1">
      <alignment horizontal="center" vertical="center" wrapText="1"/>
    </xf>
    <xf numFmtId="3" fontId="63" fillId="7" borderId="6" xfId="0" applyNumberFormat="1" applyFont="1" applyFill="1" applyBorder="1" applyAlignment="1">
      <alignment horizontal="left"/>
    </xf>
    <xf numFmtId="3" fontId="63" fillId="7" borderId="2" xfId="0" applyNumberFormat="1" applyFont="1" applyFill="1" applyBorder="1" applyAlignment="1">
      <alignment horizontal="left"/>
    </xf>
    <xf numFmtId="3" fontId="63" fillId="7" borderId="7" xfId="0" applyNumberFormat="1" applyFont="1" applyFill="1" applyBorder="1" applyAlignment="1">
      <alignment horizontal="left"/>
    </xf>
    <xf numFmtId="199" fontId="63" fillId="0" borderId="1" xfId="179" applyNumberFormat="1" applyFont="1" applyFill="1" applyBorder="1" applyAlignment="1">
      <alignment horizontal="center" vertical="center"/>
    </xf>
    <xf numFmtId="199" fontId="63" fillId="7" borderId="1" xfId="179" applyNumberFormat="1" applyFont="1" applyFill="1" applyBorder="1" applyAlignment="1">
      <alignment horizontal="center" vertical="center"/>
    </xf>
    <xf numFmtId="10" fontId="63" fillId="7" borderId="0" xfId="2" applyNumberFormat="1" applyFont="1" applyFill="1" applyAlignment="1">
      <alignment vertical="center"/>
    </xf>
    <xf numFmtId="0" fontId="63" fillId="64" borderId="1" xfId="0" applyFont="1" applyFill="1" applyBorder="1"/>
    <xf numFmtId="3" fontId="63" fillId="7" borderId="1" xfId="0" applyNumberFormat="1" applyFont="1" applyFill="1" applyBorder="1" applyAlignment="1">
      <alignment horizontal="center"/>
    </xf>
    <xf numFmtId="193" fontId="63" fillId="7" borderId="1" xfId="0" applyNumberFormat="1" applyFont="1" applyFill="1" applyBorder="1" applyAlignment="1">
      <alignment horizontal="center"/>
    </xf>
    <xf numFmtId="3" fontId="63" fillId="7" borderId="1" xfId="2" applyNumberFormat="1" applyFont="1" applyFill="1" applyBorder="1" applyAlignment="1">
      <alignment horizontal="center"/>
    </xf>
    <xf numFmtId="3" fontId="63" fillId="7" borderId="1" xfId="0" applyNumberFormat="1" applyFont="1" applyFill="1" applyBorder="1"/>
    <xf numFmtId="171" fontId="63" fillId="7" borderId="1" xfId="1" applyNumberFormat="1" applyFont="1" applyFill="1" applyBorder="1" applyAlignment="1">
      <alignment horizontal="center"/>
    </xf>
    <xf numFmtId="3" fontId="63" fillId="7" borderId="0" xfId="0" applyNumberFormat="1" applyFont="1" applyFill="1" applyBorder="1" applyAlignment="1">
      <alignment horizontal="left"/>
    </xf>
    <xf numFmtId="3" fontId="63" fillId="7" borderId="0" xfId="59" applyNumberFormat="1" applyFont="1" applyFill="1" applyBorder="1" applyAlignment="1">
      <alignment horizontal="center" vertical="center"/>
    </xf>
    <xf numFmtId="0" fontId="56" fillId="7" borderId="0" xfId="0" applyFont="1" applyFill="1" applyBorder="1" applyAlignment="1">
      <alignment vertical="center"/>
    </xf>
    <xf numFmtId="0" fontId="56" fillId="64" borderId="1" xfId="0" applyFont="1" applyFill="1" applyBorder="1" applyAlignment="1">
      <alignment horizontal="center" vertical="center"/>
    </xf>
    <xf numFmtId="0" fontId="56" fillId="64" borderId="6" xfId="0" applyFont="1" applyFill="1" applyBorder="1" applyAlignment="1">
      <alignment horizontal="center" vertical="center"/>
    </xf>
    <xf numFmtId="0" fontId="56" fillId="64" borderId="7" xfId="0" applyFont="1" applyFill="1" applyBorder="1" applyAlignment="1">
      <alignment horizontal="center" vertical="center"/>
    </xf>
    <xf numFmtId="0" fontId="63" fillId="7" borderId="0" xfId="0" applyFont="1" applyFill="1" applyBorder="1"/>
    <xf numFmtId="0" fontId="63" fillId="7" borderId="13" xfId="0" applyFont="1" applyFill="1" applyBorder="1"/>
    <xf numFmtId="176" fontId="63" fillId="7" borderId="13" xfId="1" applyNumberFormat="1" applyFont="1" applyFill="1" applyBorder="1"/>
    <xf numFmtId="176" fontId="63" fillId="7" borderId="14" xfId="1" applyNumberFormat="1" applyFont="1" applyFill="1" applyBorder="1"/>
    <xf numFmtId="176" fontId="63" fillId="7" borderId="8" xfId="1" applyNumberFormat="1" applyFont="1" applyFill="1" applyBorder="1"/>
    <xf numFmtId="0" fontId="63" fillId="7" borderId="14" xfId="0" applyFont="1" applyFill="1" applyBorder="1"/>
    <xf numFmtId="176" fontId="63" fillId="7" borderId="3" xfId="1" applyNumberFormat="1" applyFont="1" applyFill="1" applyBorder="1"/>
    <xf numFmtId="0" fontId="63" fillId="7" borderId="15" xfId="0" applyFont="1" applyFill="1" applyBorder="1"/>
    <xf numFmtId="176" fontId="63" fillId="7" borderId="15" xfId="1" applyNumberFormat="1" applyFont="1" applyFill="1" applyBorder="1"/>
    <xf numFmtId="176" fontId="63" fillId="7" borderId="5" xfId="1" applyNumberFormat="1" applyFont="1" applyFill="1" applyBorder="1"/>
    <xf numFmtId="0" fontId="56" fillId="7" borderId="2" xfId="0" applyFont="1" applyFill="1" applyBorder="1"/>
    <xf numFmtId="176" fontId="56" fillId="7" borderId="2" xfId="1" applyNumberFormat="1" applyFont="1" applyFill="1" applyBorder="1"/>
    <xf numFmtId="176" fontId="56" fillId="7" borderId="7" xfId="1" applyNumberFormat="1" applyFont="1" applyFill="1" applyBorder="1"/>
    <xf numFmtId="0" fontId="10" fillId="64" borderId="1" xfId="6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center"/>
    </xf>
    <xf numFmtId="0" fontId="53" fillId="7" borderId="2" xfId="0" applyFont="1" applyFill="1" applyBorder="1" applyAlignment="1">
      <alignment vertical="center"/>
    </xf>
    <xf numFmtId="0" fontId="53" fillId="7" borderId="7" xfId="0" applyFont="1" applyFill="1" applyBorder="1" applyAlignment="1">
      <alignment vertical="center"/>
    </xf>
    <xf numFmtId="9" fontId="53" fillId="7" borderId="15" xfId="0" applyNumberFormat="1" applyFont="1" applyFill="1" applyBorder="1" applyAlignment="1">
      <alignment horizontal="center" vertical="center" wrapText="1"/>
    </xf>
    <xf numFmtId="0" fontId="56" fillId="7" borderId="1" xfId="0" applyFont="1" applyFill="1" applyBorder="1" applyAlignment="1">
      <alignment horizontal="center" wrapText="1"/>
    </xf>
    <xf numFmtId="3" fontId="56" fillId="7" borderId="1" xfId="0" applyNumberFormat="1" applyFont="1" applyFill="1" applyBorder="1" applyAlignment="1">
      <alignment horizontal="center" wrapText="1"/>
    </xf>
    <xf numFmtId="3" fontId="56" fillId="7" borderId="6" xfId="0" applyNumberFormat="1" applyFont="1" applyFill="1" applyBorder="1" applyAlignment="1">
      <alignment horizontal="left"/>
    </xf>
    <xf numFmtId="3" fontId="56" fillId="7" borderId="2" xfId="0" applyNumberFormat="1" applyFont="1" applyFill="1" applyBorder="1" applyAlignment="1">
      <alignment horizontal="left"/>
    </xf>
    <xf numFmtId="3" fontId="56" fillId="7" borderId="7" xfId="0" applyNumberFormat="1" applyFont="1" applyFill="1" applyBorder="1" applyAlignment="1">
      <alignment horizontal="left"/>
    </xf>
    <xf numFmtId="3" fontId="56" fillId="7" borderId="1" xfId="0" applyNumberFormat="1" applyFont="1" applyFill="1" applyBorder="1" applyAlignment="1">
      <alignment horizontal="center"/>
    </xf>
    <xf numFmtId="199" fontId="56" fillId="7" borderId="1" xfId="179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left"/>
    </xf>
    <xf numFmtId="168" fontId="0" fillId="0" borderId="0" xfId="1" applyFont="1" applyFill="1"/>
    <xf numFmtId="0" fontId="9" fillId="0" borderId="0" xfId="0" quotePrefix="1" applyFont="1" applyFill="1" applyAlignment="1">
      <alignment horizontal="center" wrapText="1"/>
    </xf>
    <xf numFmtId="0" fontId="0" fillId="0" borderId="0" xfId="0" applyAlignment="1">
      <alignment horizontal="center"/>
    </xf>
    <xf numFmtId="10" fontId="9" fillId="0" borderId="1" xfId="2" applyNumberFormat="1" applyFont="1" applyBorder="1"/>
    <xf numFmtId="0" fontId="9" fillId="0" borderId="0" xfId="0" quotePrefix="1" applyFont="1" applyAlignment="1">
      <alignment horizontal="center"/>
    </xf>
    <xf numFmtId="0" fontId="14" fillId="0" borderId="15" xfId="0" quotePrefix="1" applyFont="1" applyBorder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168" fontId="0" fillId="0" borderId="1" xfId="1" applyFont="1" applyFill="1" applyBorder="1"/>
    <xf numFmtId="0" fontId="0" fillId="0" borderId="0" xfId="0" quotePrefix="1" applyAlignment="1">
      <alignment horizontal="left"/>
    </xf>
    <xf numFmtId="0" fontId="63" fillId="7" borderId="6" xfId="0" applyFont="1" applyFill="1" applyBorder="1" applyAlignment="1">
      <alignment horizontal="left" vertical="center"/>
    </xf>
    <xf numFmtId="0" fontId="63" fillId="7" borderId="2" xfId="0" applyFont="1" applyFill="1" applyBorder="1" applyAlignment="1">
      <alignment horizontal="left" vertical="center"/>
    </xf>
    <xf numFmtId="0" fontId="56" fillId="64" borderId="2" xfId="60" applyFont="1" applyFill="1" applyBorder="1" applyAlignment="1">
      <alignment horizontal="center" vertical="center"/>
    </xf>
    <xf numFmtId="0" fontId="56" fillId="64" borderId="1" xfId="0" applyFont="1" applyFill="1" applyBorder="1" applyAlignment="1">
      <alignment horizontal="center" vertical="center"/>
    </xf>
    <xf numFmtId="0" fontId="64" fillId="64" borderId="1" xfId="137" applyFont="1" applyFill="1" applyBorder="1" applyAlignment="1">
      <alignment horizontal="center"/>
    </xf>
    <xf numFmtId="194" fontId="63" fillId="7" borderId="1" xfId="138" applyNumberFormat="1" applyFont="1" applyFill="1" applyBorder="1" applyAlignment="1">
      <alignment horizontal="center"/>
    </xf>
    <xf numFmtId="0" fontId="65" fillId="7" borderId="1" xfId="137" applyFont="1" applyFill="1" applyBorder="1" applyAlignment="1">
      <alignment horizontal="left"/>
    </xf>
    <xf numFmtId="0" fontId="56" fillId="7" borderId="6" xfId="0" applyFont="1" applyFill="1" applyBorder="1" applyAlignment="1">
      <alignment horizontal="left" vertical="center"/>
    </xf>
    <xf numFmtId="0" fontId="56" fillId="7" borderId="2" xfId="0" applyFont="1" applyFill="1" applyBorder="1" applyAlignment="1">
      <alignment horizontal="left" vertical="center"/>
    </xf>
    <xf numFmtId="0" fontId="56" fillId="7" borderId="7" xfId="0" applyFont="1" applyFill="1" applyBorder="1" applyAlignment="1">
      <alignment horizontal="left" vertical="center"/>
    </xf>
    <xf numFmtId="0" fontId="56" fillId="64" borderId="6" xfId="6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3" fontId="0" fillId="0" borderId="1" xfId="0" quotePrefix="1" applyNumberFormat="1" applyBorder="1" applyAlignment="1">
      <alignment horizontal="left"/>
    </xf>
    <xf numFmtId="0" fontId="56" fillId="7" borderId="0" xfId="0" quotePrefix="1" applyFont="1" applyFill="1" applyAlignment="1">
      <alignment horizontal="left" vertical="center"/>
    </xf>
    <xf numFmtId="0" fontId="56" fillId="7" borderId="0" xfId="0" quotePrefix="1" applyFont="1" applyFill="1" applyBorder="1" applyAlignment="1">
      <alignment horizontal="left" vertical="center"/>
    </xf>
    <xf numFmtId="0" fontId="63" fillId="7" borderId="5" xfId="0" quotePrefix="1" applyFont="1" applyFill="1" applyBorder="1" applyAlignment="1">
      <alignment horizontal="left" vertical="center"/>
    </xf>
    <xf numFmtId="17" fontId="0" fillId="0" borderId="1" xfId="0" applyNumberFormat="1" applyBorder="1" applyAlignment="1">
      <alignment horizontal="left"/>
    </xf>
    <xf numFmtId="0" fontId="63" fillId="65" borderId="5" xfId="0" quotePrefix="1" applyFont="1" applyFill="1" applyBorder="1" applyAlignment="1">
      <alignment horizontal="left" vertical="center"/>
    </xf>
    <xf numFmtId="0" fontId="63" fillId="7" borderId="8" xfId="0" applyFont="1" applyFill="1" applyBorder="1" applyAlignment="1">
      <alignment horizontal="center"/>
    </xf>
    <xf numFmtId="176" fontId="63" fillId="7" borderId="1" xfId="0" applyNumberFormat="1" applyFont="1" applyFill="1" applyBorder="1"/>
    <xf numFmtId="0" fontId="56" fillId="64" borderId="6" xfId="60" quotePrefix="1" applyFont="1" applyFill="1" applyBorder="1" applyAlignment="1">
      <alignment horizontal="left" vertical="center"/>
    </xf>
    <xf numFmtId="3" fontId="63" fillId="7" borderId="6" xfId="59" applyNumberFormat="1" applyFont="1" applyFill="1" applyBorder="1" applyAlignment="1">
      <alignment horizontal="center" vertical="center"/>
    </xf>
    <xf numFmtId="3" fontId="56" fillId="64" borderId="1" xfId="60" quotePrefix="1" applyNumberFormat="1" applyFont="1" applyFill="1" applyBorder="1" applyAlignment="1">
      <alignment horizontal="center" vertical="center" wrapText="1"/>
    </xf>
    <xf numFmtId="3" fontId="56" fillId="7" borderId="1" xfId="0" quotePrefix="1" applyNumberFormat="1" applyFont="1" applyFill="1" applyBorder="1" applyAlignment="1">
      <alignment horizontal="center" wrapText="1"/>
    </xf>
    <xf numFmtId="0" fontId="56" fillId="64" borderId="1" xfId="0" quotePrefix="1" applyFont="1" applyFill="1" applyBorder="1" applyAlignment="1">
      <alignment horizontal="center" vertical="center" wrapText="1"/>
    </xf>
    <xf numFmtId="3" fontId="56" fillId="7" borderId="6" xfId="0" applyNumberFormat="1" applyFont="1" applyFill="1" applyBorder="1" applyAlignment="1">
      <alignment vertical="center"/>
    </xf>
    <xf numFmtId="0" fontId="63" fillId="7" borderId="6" xfId="0" quotePrefix="1" applyFont="1" applyFill="1" applyBorder="1" applyAlignment="1">
      <alignment horizontal="left" vertical="center"/>
    </xf>
    <xf numFmtId="0" fontId="63" fillId="7" borderId="3" xfId="0" applyFon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17" fontId="0" fillId="0" borderId="13" xfId="0" applyNumberFormat="1" applyFill="1" applyBorder="1" applyAlignment="1">
      <alignment horizontal="left"/>
    </xf>
    <xf numFmtId="2" fontId="0" fillId="0" borderId="1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3" fontId="56" fillId="7" borderId="2" xfId="0" applyNumberFormat="1" applyFont="1" applyFill="1" applyBorder="1" applyAlignment="1">
      <alignment vertical="center"/>
    </xf>
    <xf numFmtId="0" fontId="56" fillId="64" borderId="1" xfId="0" quotePrefix="1" applyFont="1" applyFill="1" applyBorder="1" applyAlignment="1">
      <alignment horizontal="center" vertical="center"/>
    </xf>
    <xf numFmtId="0" fontId="65" fillId="7" borderId="1" xfId="137" quotePrefix="1" applyFont="1" applyFill="1" applyBorder="1" applyAlignment="1">
      <alignment horizontal="left"/>
    </xf>
    <xf numFmtId="2" fontId="0" fillId="0" borderId="13" xfId="0" applyNumberFormat="1" applyFill="1" applyBorder="1" applyAlignment="1">
      <alignment horizontal="center"/>
    </xf>
    <xf numFmtId="3" fontId="63" fillId="7" borderId="6" xfId="0" applyNumberFormat="1" applyFont="1" applyFill="1" applyBorder="1" applyAlignment="1">
      <alignment horizontal="center" vertical="center"/>
    </xf>
    <xf numFmtId="0" fontId="2" fillId="0" borderId="0" xfId="286"/>
    <xf numFmtId="0" fontId="67" fillId="0" borderId="0" xfId="286" applyFont="1"/>
    <xf numFmtId="0" fontId="68" fillId="0" borderId="0" xfId="286" applyFont="1"/>
    <xf numFmtId="0" fontId="10" fillId="64" borderId="43" xfId="60" applyFont="1" applyFill="1" applyBorder="1" applyAlignment="1">
      <alignment horizontal="left" vertical="center"/>
    </xf>
    <xf numFmtId="0" fontId="10" fillId="64" borderId="44" xfId="60" applyFont="1" applyFill="1" applyBorder="1" applyAlignment="1">
      <alignment horizontal="center" vertical="center" wrapText="1"/>
    </xf>
    <xf numFmtId="176" fontId="71" fillId="7" borderId="42" xfId="302" applyNumberFormat="1" applyFont="1" applyFill="1" applyBorder="1"/>
    <xf numFmtId="0" fontId="71" fillId="7" borderId="16" xfId="286" applyFont="1" applyFill="1" applyBorder="1" applyAlignment="1">
      <alignment horizontal="right"/>
    </xf>
    <xf numFmtId="0" fontId="69" fillId="7" borderId="49" xfId="286" applyFont="1" applyFill="1" applyBorder="1"/>
    <xf numFmtId="0" fontId="69" fillId="7" borderId="14" xfId="286" applyFont="1" applyFill="1" applyBorder="1"/>
    <xf numFmtId="0" fontId="69" fillId="7" borderId="50" xfId="286" applyFont="1" applyFill="1" applyBorder="1"/>
    <xf numFmtId="0" fontId="70" fillId="7" borderId="49" xfId="286" applyFont="1" applyFill="1" applyBorder="1"/>
    <xf numFmtId="168" fontId="69" fillId="7" borderId="14" xfId="302" applyFont="1" applyFill="1" applyBorder="1"/>
    <xf numFmtId="176" fontId="69" fillId="7" borderId="14" xfId="302" applyNumberFormat="1" applyFont="1" applyFill="1" applyBorder="1"/>
    <xf numFmtId="176" fontId="69" fillId="7" borderId="50" xfId="302" applyNumberFormat="1" applyFont="1" applyFill="1" applyBorder="1"/>
    <xf numFmtId="0" fontId="71" fillId="7" borderId="40" xfId="286" applyFont="1" applyFill="1" applyBorder="1"/>
    <xf numFmtId="176" fontId="69" fillId="7" borderId="41" xfId="302" applyNumberFormat="1" applyFont="1" applyFill="1" applyBorder="1"/>
    <xf numFmtId="0" fontId="69" fillId="7" borderId="51" xfId="286" applyFont="1" applyFill="1" applyBorder="1"/>
    <xf numFmtId="176" fontId="69" fillId="7" borderId="47" xfId="302" applyNumberFormat="1" applyFont="1" applyFill="1" applyBorder="1"/>
    <xf numFmtId="0" fontId="69" fillId="7" borderId="19" xfId="286" applyFont="1" applyFill="1" applyBorder="1"/>
    <xf numFmtId="0" fontId="69" fillId="7" borderId="0" xfId="286" applyFont="1" applyFill="1" applyBorder="1"/>
    <xf numFmtId="176" fontId="69" fillId="0" borderId="14" xfId="302" applyNumberFormat="1" applyFont="1" applyFill="1" applyBorder="1"/>
    <xf numFmtId="168" fontId="2" fillId="0" borderId="0" xfId="302" applyFont="1"/>
    <xf numFmtId="168" fontId="2" fillId="0" borderId="0" xfId="286" applyNumberFormat="1"/>
    <xf numFmtId="0" fontId="10" fillId="64" borderId="44" xfId="60" quotePrefix="1" applyFont="1" applyFill="1" applyBorder="1" applyAlignment="1">
      <alignment horizontal="center" vertical="center" wrapText="1"/>
    </xf>
    <xf numFmtId="0" fontId="10" fillId="64" borderId="53" xfId="60" applyFont="1" applyFill="1" applyBorder="1" applyAlignment="1">
      <alignment horizontal="center" vertical="center" wrapText="1"/>
    </xf>
    <xf numFmtId="0" fontId="69" fillId="7" borderId="3" xfId="286" applyFont="1" applyFill="1" applyBorder="1"/>
    <xf numFmtId="176" fontId="69" fillId="7" borderId="3" xfId="302" applyNumberFormat="1" applyFont="1" applyFill="1" applyBorder="1"/>
    <xf numFmtId="176" fontId="53" fillId="7" borderId="0" xfId="324" applyNumberFormat="1" applyFont="1" applyFill="1" applyBorder="1" applyAlignment="1">
      <alignment horizontal="center"/>
    </xf>
    <xf numFmtId="0" fontId="10" fillId="64" borderId="48" xfId="6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7" fontId="0" fillId="0" borderId="13" xfId="0" applyNumberFormat="1" applyBorder="1" applyAlignment="1">
      <alignment horizontal="left"/>
    </xf>
    <xf numFmtId="176" fontId="0" fillId="4" borderId="1" xfId="1" applyNumberFormat="1" applyFont="1" applyFill="1" applyBorder="1" applyAlignment="1">
      <alignment horizontal="center"/>
    </xf>
    <xf numFmtId="168" fontId="7" fillId="8" borderId="1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/>
    </xf>
    <xf numFmtId="3" fontId="0" fillId="0" borderId="0" xfId="0" applyNumberFormat="1" applyAlignment="1"/>
    <xf numFmtId="184" fontId="0" fillId="0" borderId="0" xfId="0" applyNumberFormat="1" applyAlignment="1">
      <alignment horizontal="center"/>
    </xf>
    <xf numFmtId="0" fontId="9" fillId="0" borderId="0" xfId="0" applyFont="1" applyAlignment="1">
      <alignment horizontal="left"/>
    </xf>
    <xf numFmtId="176" fontId="7" fillId="0" borderId="1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7" fontId="7" fillId="0" borderId="1" xfId="0" applyNumberFormat="1" applyFont="1" applyFill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169" fontId="0" fillId="0" borderId="1" xfId="2" applyNumberFormat="1" applyFont="1" applyBorder="1" applyAlignment="1">
      <alignment horizontal="center"/>
    </xf>
    <xf numFmtId="169" fontId="7" fillId="0" borderId="1" xfId="0" applyNumberFormat="1" applyFont="1" applyBorder="1" applyAlignment="1">
      <alignment horizontal="center"/>
    </xf>
    <xf numFmtId="176" fontId="0" fillId="7" borderId="1" xfId="1" applyNumberFormat="1" applyFont="1" applyFill="1" applyBorder="1" applyAlignment="1">
      <alignment horizontal="center"/>
    </xf>
    <xf numFmtId="168" fontId="7" fillId="7" borderId="1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7" fontId="0" fillId="0" borderId="6" xfId="0" applyNumberFormat="1" applyBorder="1" applyAlignment="1">
      <alignment horizontal="left"/>
    </xf>
    <xf numFmtId="168" fontId="7" fillId="0" borderId="7" xfId="1" applyNumberFormat="1" applyFont="1" applyFill="1" applyBorder="1" applyAlignment="1">
      <alignment horizontal="center"/>
    </xf>
    <xf numFmtId="176" fontId="0" fillId="7" borderId="13" xfId="1" applyNumberFormat="1" applyFont="1" applyFill="1" applyBorder="1" applyAlignment="1">
      <alignment horizontal="center"/>
    </xf>
    <xf numFmtId="176" fontId="7" fillId="0" borderId="0" xfId="1" applyNumberFormat="1" applyFont="1" applyFill="1" applyBorder="1" applyAlignment="1">
      <alignment horizontal="center"/>
    </xf>
    <xf numFmtId="0" fontId="19" fillId="0" borderId="0" xfId="4" applyFont="1" applyBorder="1" applyAlignment="1">
      <alignment horizontal="right"/>
    </xf>
    <xf numFmtId="3" fontId="0" fillId="0" borderId="0" xfId="0" applyNumberFormat="1" applyAlignment="1">
      <alignment horizontal="center"/>
    </xf>
    <xf numFmtId="0" fontId="0" fillId="0" borderId="0" xfId="0" applyNumberFormat="1" applyFill="1" applyBorder="1"/>
    <xf numFmtId="3" fontId="0" fillId="66" borderId="0" xfId="0" applyNumberFormat="1" applyFill="1" applyAlignment="1">
      <alignment horizontal="center"/>
    </xf>
    <xf numFmtId="0" fontId="0" fillId="0" borderId="0" xfId="0" applyBorder="1" applyAlignment="1">
      <alignment horizontal="right"/>
    </xf>
    <xf numFmtId="3" fontId="7" fillId="0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9" xfId="0" applyBorder="1"/>
    <xf numFmtId="0" fontId="0" fillId="0" borderId="57" xfId="0" applyBorder="1"/>
    <xf numFmtId="0" fontId="0" fillId="0" borderId="58" xfId="0" applyBorder="1"/>
    <xf numFmtId="0" fontId="0" fillId="0" borderId="58" xfId="0" applyFill="1" applyBorder="1" applyAlignment="1"/>
    <xf numFmtId="0" fontId="11" fillId="0" borderId="60" xfId="0" applyFont="1" applyFill="1" applyBorder="1" applyAlignment="1">
      <alignment horizontal="center"/>
    </xf>
    <xf numFmtId="0" fontId="11" fillId="0" borderId="60" xfId="0" applyFont="1" applyFill="1" applyBorder="1" applyAlignment="1">
      <alignment horizontal="centerContinuous"/>
    </xf>
    <xf numFmtId="9" fontId="0" fillId="0" borderId="0" xfId="0" applyNumberFormat="1" applyFill="1" applyBorder="1" applyAlignment="1"/>
    <xf numFmtId="169" fontId="0" fillId="0" borderId="0" xfId="0" applyNumberFormat="1" applyFill="1" applyBorder="1" applyAlignment="1"/>
    <xf numFmtId="176" fontId="0" fillId="0" borderId="0" xfId="0" applyNumberFormat="1" applyFill="1" applyBorder="1" applyAlignment="1"/>
    <xf numFmtId="176" fontId="0" fillId="0" borderId="58" xfId="0" applyNumberFormat="1" applyFill="1" applyBorder="1" applyAlignment="1"/>
    <xf numFmtId="176" fontId="0" fillId="4" borderId="13" xfId="1" applyNumberFormat="1" applyFont="1" applyFill="1" applyBorder="1" applyAlignment="1">
      <alignment horizontal="center"/>
    </xf>
    <xf numFmtId="168" fontId="0" fillId="8" borderId="1" xfId="1" applyNumberFormat="1" applyFont="1" applyFill="1" applyBorder="1" applyAlignment="1">
      <alignment horizontal="center"/>
    </xf>
    <xf numFmtId="168" fontId="0" fillId="4" borderId="1" xfId="1" applyNumberFormat="1" applyFont="1" applyFill="1" applyBorder="1" applyAlignment="1">
      <alignment horizontal="center"/>
    </xf>
    <xf numFmtId="168" fontId="0" fillId="4" borderId="13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Continuous"/>
    </xf>
    <xf numFmtId="0" fontId="8" fillId="0" borderId="0" xfId="0" applyFont="1" applyAlignment="1">
      <alignment horizontal="center" wrapText="1"/>
    </xf>
    <xf numFmtId="3" fontId="0" fillId="0" borderId="0" xfId="0" applyNumberFormat="1" applyAlignment="1">
      <alignment horizontal="center"/>
    </xf>
    <xf numFmtId="172" fontId="0" fillId="0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67" fontId="0" fillId="0" borderId="0" xfId="1" applyNumberFormat="1" applyFont="1" applyFill="1" applyAlignment="1">
      <alignment horizontal="center"/>
    </xf>
    <xf numFmtId="200" fontId="0" fillId="0" borderId="0" xfId="1" applyNumberFormat="1" applyFont="1" applyFill="1" applyAlignment="1">
      <alignment horizontal="center"/>
    </xf>
    <xf numFmtId="201" fontId="0" fillId="0" borderId="0" xfId="1" applyNumberFormat="1" applyFont="1" applyFill="1" applyAlignment="1">
      <alignment horizontal="center"/>
    </xf>
    <xf numFmtId="202" fontId="0" fillId="0" borderId="0" xfId="0" applyNumberFormat="1" applyFill="1" applyAlignment="1">
      <alignment horizontal="center"/>
    </xf>
    <xf numFmtId="203" fontId="0" fillId="0" borderId="0" xfId="0" applyNumberFormat="1" applyFill="1" applyAlignment="1">
      <alignment horizontal="center"/>
    </xf>
    <xf numFmtId="204" fontId="9" fillId="0" borderId="0" xfId="0" applyNumberFormat="1" applyFont="1" applyFill="1" applyAlignment="1">
      <alignment horizontal="center"/>
    </xf>
    <xf numFmtId="202" fontId="0" fillId="0" borderId="0" xfId="1" applyNumberFormat="1" applyFont="1" applyFill="1" applyAlignment="1">
      <alignment horizontal="center"/>
    </xf>
    <xf numFmtId="203" fontId="0" fillId="0" borderId="0" xfId="1" applyNumberFormat="1" applyFont="1" applyFill="1" applyAlignment="1">
      <alignment horizontal="center"/>
    </xf>
    <xf numFmtId="203" fontId="0" fillId="0" borderId="11" xfId="1" applyNumberFormat="1" applyFont="1" applyFill="1" applyBorder="1" applyAlignment="1">
      <alignment horizontal="center"/>
    </xf>
    <xf numFmtId="203" fontId="9" fillId="0" borderId="0" xfId="0" applyNumberFormat="1" applyFont="1" applyFill="1" applyAlignment="1">
      <alignment horizontal="center"/>
    </xf>
    <xf numFmtId="202" fontId="0" fillId="0" borderId="0" xfId="1" applyNumberFormat="1" applyFont="1" applyFill="1" applyBorder="1" applyAlignment="1">
      <alignment horizontal="center"/>
    </xf>
    <xf numFmtId="0" fontId="63" fillId="7" borderId="6" xfId="0" quotePrefix="1" applyFont="1" applyFill="1" applyBorder="1" applyAlignment="1">
      <alignment horizontal="left" vertical="center"/>
    </xf>
    <xf numFmtId="3" fontId="0" fillId="0" borderId="11" xfId="0" applyNumberFormat="1" applyBorder="1"/>
    <xf numFmtId="169" fontId="0" fillId="0" borderId="0" xfId="0" applyNumberFormat="1"/>
    <xf numFmtId="176" fontId="0" fillId="0" borderId="0" xfId="0" applyNumberFormat="1"/>
    <xf numFmtId="176" fontId="0" fillId="0" borderId="11" xfId="0" applyNumberFormat="1" applyBorder="1"/>
    <xf numFmtId="0" fontId="63" fillId="7" borderId="6" xfId="0" applyFont="1" applyFill="1" applyBorder="1" applyAlignment="1">
      <alignment horizontal="left" vertical="center"/>
    </xf>
    <xf numFmtId="0" fontId="63" fillId="7" borderId="6" xfId="0" quotePrefix="1" applyFont="1" applyFill="1" applyBorder="1" applyAlignment="1">
      <alignment horizontal="left" vertical="center"/>
    </xf>
    <xf numFmtId="0" fontId="63" fillId="7" borderId="6" xfId="0" applyFont="1" applyFill="1" applyBorder="1" applyAlignment="1">
      <alignment horizontal="left" vertical="center" wrapText="1"/>
    </xf>
    <xf numFmtId="0" fontId="63" fillId="7" borderId="2" xfId="0" applyFont="1" applyFill="1" applyBorder="1" applyAlignment="1">
      <alignment horizontal="left" vertical="center" wrapText="1"/>
    </xf>
    <xf numFmtId="0" fontId="63" fillId="7" borderId="7" xfId="0" applyFont="1" applyFill="1" applyBorder="1" applyAlignment="1">
      <alignment horizontal="left" vertical="center" wrapText="1"/>
    </xf>
    <xf numFmtId="0" fontId="0" fillId="7" borderId="1" xfId="0" applyFill="1" applyBorder="1"/>
    <xf numFmtId="0" fontId="0" fillId="7" borderId="0" xfId="0" applyFill="1" applyBorder="1"/>
    <xf numFmtId="0" fontId="0" fillId="7" borderId="11" xfId="0" applyFill="1" applyBorder="1"/>
    <xf numFmtId="0" fontId="0" fillId="7" borderId="12" xfId="0" applyFill="1" applyBorder="1"/>
    <xf numFmtId="0" fontId="71" fillId="7" borderId="49" xfId="286" applyFont="1" applyFill="1" applyBorder="1"/>
    <xf numFmtId="176" fontId="0" fillId="7" borderId="0" xfId="0" applyNumberFormat="1" applyFill="1"/>
    <xf numFmtId="3" fontId="0" fillId="0" borderId="0" xfId="0" applyNumberFormat="1" applyAlignment="1">
      <alignment horizontal="center"/>
    </xf>
    <xf numFmtId="3" fontId="0" fillId="67" borderId="0" xfId="0" applyNumberFormat="1" applyFill="1" applyAlignment="1">
      <alignment horizontal="center"/>
    </xf>
    <xf numFmtId="169" fontId="0" fillId="67" borderId="0" xfId="0" applyNumberFormat="1" applyFill="1" applyAlignment="1">
      <alignment horizontal="center"/>
    </xf>
    <xf numFmtId="9" fontId="0" fillId="0" borderId="0" xfId="0" applyNumberFormat="1"/>
    <xf numFmtId="3" fontId="6" fillId="67" borderId="0" xfId="0" applyNumberFormat="1" applyFont="1" applyFill="1" applyAlignment="1">
      <alignment horizontal="center"/>
    </xf>
    <xf numFmtId="0" fontId="6" fillId="67" borderId="0" xfId="0" applyFont="1" applyFill="1" applyAlignment="1">
      <alignment horizontal="left"/>
    </xf>
    <xf numFmtId="3" fontId="7" fillId="67" borderId="1" xfId="0" applyNumberFormat="1" applyFont="1" applyFill="1" applyBorder="1" applyAlignment="1">
      <alignment horizontal="center"/>
    </xf>
    <xf numFmtId="171" fontId="0" fillId="67" borderId="0" xfId="0" applyNumberFormat="1" applyFill="1" applyAlignment="1">
      <alignment horizontal="center"/>
    </xf>
    <xf numFmtId="169" fontId="7" fillId="67" borderId="0" xfId="0" applyNumberFormat="1" applyFont="1" applyFill="1" applyAlignment="1">
      <alignment horizontal="center"/>
    </xf>
    <xf numFmtId="0" fontId="0" fillId="0" borderId="0" xfId="0"/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6" borderId="5" xfId="0" applyNumberFormat="1" applyFont="1" applyFill="1" applyBorder="1" applyAlignment="1">
      <alignment horizontal="center"/>
    </xf>
    <xf numFmtId="0" fontId="9" fillId="6" borderId="12" xfId="0" applyNumberFormat="1" applyFont="1" applyFill="1" applyBorder="1" applyAlignment="1">
      <alignment horizontal="center"/>
    </xf>
    <xf numFmtId="0" fontId="9" fillId="6" borderId="3" xfId="0" applyNumberFormat="1" applyFont="1" applyFill="1" applyBorder="1" applyAlignment="1">
      <alignment horizontal="center"/>
    </xf>
    <xf numFmtId="0" fontId="9" fillId="6" borderId="11" xfId="0" applyNumberFormat="1" applyFont="1" applyFill="1" applyBorder="1" applyAlignment="1">
      <alignment horizontal="center"/>
    </xf>
    <xf numFmtId="0" fontId="9" fillId="6" borderId="4" xfId="0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6" borderId="14" xfId="0" applyNumberFormat="1" applyFont="1" applyFill="1" applyBorder="1" applyAlignment="1">
      <alignment horizontal="center" wrapText="1"/>
    </xf>
    <xf numFmtId="0" fontId="9" fillId="6" borderId="13" xfId="0" quotePrefix="1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center" wrapText="1"/>
    </xf>
    <xf numFmtId="0" fontId="9" fillId="6" borderId="8" xfId="0" applyNumberFormat="1" applyFont="1" applyFill="1" applyBorder="1" applyAlignment="1">
      <alignment horizontal="center"/>
    </xf>
    <xf numFmtId="0" fontId="9" fillId="6" borderId="9" xfId="0" applyNumberFormat="1" applyFont="1" applyFill="1" applyBorder="1" applyAlignment="1">
      <alignment horizontal="center"/>
    </xf>
    <xf numFmtId="0" fontId="9" fillId="6" borderId="10" xfId="0" applyNumberFormat="1" applyFont="1" applyFill="1" applyBorder="1" applyAlignment="1">
      <alignment horizontal="center"/>
    </xf>
    <xf numFmtId="0" fontId="0" fillId="0" borderId="0" xfId="0"/>
    <xf numFmtId="0" fontId="9" fillId="0" borderId="16" xfId="0" quotePrefix="1" applyFont="1" applyBorder="1" applyAlignment="1">
      <alignment horizontal="center" wrapText="1"/>
    </xf>
    <xf numFmtId="0" fontId="9" fillId="6" borderId="13" xfId="0" quotePrefix="1" applyNumberFormat="1" applyFont="1" applyFill="1" applyBorder="1" applyAlignment="1">
      <alignment horizontal="center" wrapText="1"/>
    </xf>
    <xf numFmtId="0" fontId="9" fillId="0" borderId="54" xfId="0" applyFont="1" applyBorder="1" applyAlignment="1">
      <alignment wrapText="1"/>
    </xf>
    <xf numFmtId="0" fontId="9" fillId="0" borderId="55" xfId="0" applyFont="1" applyFill="1" applyBorder="1" applyAlignment="1">
      <alignment horizontal="center" wrapText="1"/>
    </xf>
    <xf numFmtId="0" fontId="9" fillId="0" borderId="55" xfId="0" applyFont="1" applyBorder="1" applyAlignment="1">
      <alignment wrapText="1"/>
    </xf>
    <xf numFmtId="0" fontId="9" fillId="0" borderId="55" xfId="0" applyFont="1" applyBorder="1"/>
    <xf numFmtId="0" fontId="0" fillId="0" borderId="56" xfId="0" applyBorder="1"/>
    <xf numFmtId="0" fontId="0" fillId="0" borderId="20" xfId="0" applyBorder="1"/>
    <xf numFmtId="167" fontId="0" fillId="0" borderId="19" xfId="0" applyNumberFormat="1" applyBorder="1"/>
    <xf numFmtId="204" fontId="0" fillId="0" borderId="0" xfId="0" applyNumberFormat="1" applyBorder="1"/>
    <xf numFmtId="201" fontId="0" fillId="0" borderId="0" xfId="0" applyNumberFormat="1" applyBorder="1"/>
    <xf numFmtId="200" fontId="0" fillId="0" borderId="19" xfId="0" applyNumberFormat="1" applyBorder="1"/>
    <xf numFmtId="204" fontId="73" fillId="0" borderId="0" xfId="0" applyNumberFormat="1" applyFont="1" applyBorder="1"/>
    <xf numFmtId="201" fontId="0" fillId="0" borderId="19" xfId="0" applyNumberFormat="1" applyBorder="1"/>
    <xf numFmtId="203" fontId="0" fillId="0" borderId="0" xfId="0" applyNumberFormat="1" applyFill="1" applyBorder="1" applyAlignment="1">
      <alignment horizontal="center"/>
    </xf>
    <xf numFmtId="0" fontId="0" fillId="0" borderId="59" xfId="0" applyBorder="1"/>
    <xf numFmtId="0" fontId="0" fillId="0" borderId="0" xfId="0"/>
    <xf numFmtId="4" fontId="0" fillId="67" borderId="0" xfId="0" applyNumberFormat="1" applyFill="1" applyAlignment="1">
      <alignment horizontal="center"/>
    </xf>
    <xf numFmtId="0" fontId="6" fillId="0" borderId="0" xfId="0" applyFont="1" applyFill="1"/>
    <xf numFmtId="168" fontId="0" fillId="0" borderId="0" xfId="0" applyNumberFormat="1" applyFill="1"/>
    <xf numFmtId="202" fontId="0" fillId="0" borderId="11" xfId="0" applyNumberFormat="1" applyFill="1" applyBorder="1" applyAlignment="1">
      <alignment horizontal="center"/>
    </xf>
    <xf numFmtId="202" fontId="9" fillId="0" borderId="0" xfId="0" applyNumberFormat="1" applyFont="1" applyFill="1" applyAlignment="1">
      <alignment horizontal="center"/>
    </xf>
    <xf numFmtId="167" fontId="0" fillId="0" borderId="0" xfId="0" applyNumberFormat="1" applyBorder="1"/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NumberFormat="1" applyFont="1" applyFill="1" applyBorder="1" applyAlignment="1">
      <alignment horizontal="center" vertical="center"/>
    </xf>
    <xf numFmtId="0" fontId="9" fillId="6" borderId="12" xfId="0" applyNumberFormat="1" applyFont="1" applyFill="1" applyBorder="1" applyAlignment="1">
      <alignment horizontal="center" vertical="center"/>
    </xf>
    <xf numFmtId="0" fontId="9" fillId="6" borderId="5" xfId="0" applyNumberFormat="1" applyFont="1" applyFill="1" applyBorder="1" applyAlignment="1">
      <alignment vertical="center"/>
    </xf>
    <xf numFmtId="0" fontId="0" fillId="0" borderId="0" xfId="0"/>
    <xf numFmtId="0" fontId="9" fillId="6" borderId="13" xfId="0" quotePrefix="1" applyNumberFormat="1" applyFont="1" applyFill="1" applyBorder="1" applyAlignment="1">
      <alignment horizontal="center" wrapText="1"/>
    </xf>
    <xf numFmtId="0" fontId="9" fillId="6" borderId="14" xfId="0" applyNumberFormat="1" applyFont="1" applyFill="1" applyBorder="1" applyAlignment="1">
      <alignment horizontal="center" wrapText="1"/>
    </xf>
    <xf numFmtId="0" fontId="9" fillId="6" borderId="13" xfId="0" quotePrefix="1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center" wrapText="1"/>
    </xf>
    <xf numFmtId="0" fontId="9" fillId="6" borderId="8" xfId="0" applyNumberFormat="1" applyFont="1" applyFill="1" applyBorder="1" applyAlignment="1">
      <alignment horizontal="center"/>
    </xf>
    <xf numFmtId="0" fontId="9" fillId="6" borderId="9" xfId="0" applyNumberFormat="1" applyFont="1" applyFill="1" applyBorder="1" applyAlignment="1">
      <alignment horizontal="center"/>
    </xf>
    <xf numFmtId="0" fontId="9" fillId="6" borderId="10" xfId="0" applyNumberFormat="1" applyFont="1" applyFill="1" applyBorder="1" applyAlignment="1">
      <alignment horizontal="center"/>
    </xf>
    <xf numFmtId="0" fontId="9" fillId="6" borderId="5" xfId="0" applyNumberFormat="1" applyFont="1" applyFill="1" applyBorder="1" applyAlignment="1">
      <alignment horizontal="center"/>
    </xf>
    <xf numFmtId="0" fontId="9" fillId="6" borderId="11" xfId="0" applyNumberFormat="1" applyFont="1" applyFill="1" applyBorder="1" applyAlignment="1">
      <alignment horizontal="center"/>
    </xf>
    <xf numFmtId="0" fontId="9" fillId="6" borderId="12" xfId="0" applyNumberFormat="1" applyFont="1" applyFill="1" applyBorder="1" applyAlignment="1">
      <alignment horizontal="center"/>
    </xf>
    <xf numFmtId="0" fontId="9" fillId="6" borderId="3" xfId="0" applyNumberFormat="1" applyFont="1" applyFill="1" applyBorder="1" applyAlignment="1">
      <alignment horizontal="center"/>
    </xf>
    <xf numFmtId="204" fontId="9" fillId="0" borderId="0" xfId="0" applyNumberFormat="1" applyFont="1"/>
    <xf numFmtId="0" fontId="9" fillId="0" borderId="13" xfId="0" applyFont="1" applyBorder="1" applyAlignment="1">
      <alignment horizontal="left" indent="1"/>
    </xf>
    <xf numFmtId="37" fontId="9" fillId="0" borderId="10" xfId="0" applyNumberFormat="1" applyFont="1" applyBorder="1"/>
    <xf numFmtId="0" fontId="9" fillId="0" borderId="8" xfId="0" applyFont="1" applyBorder="1"/>
    <xf numFmtId="37" fontId="9" fillId="0" borderId="8" xfId="0" applyNumberFormat="1" applyFont="1" applyBorder="1"/>
    <xf numFmtId="181" fontId="15" fillId="0" borderId="9" xfId="0" applyNumberFormat="1" applyFont="1" applyBorder="1"/>
    <xf numFmtId="164" fontId="9" fillId="0" borderId="10" xfId="0" applyNumberFormat="1" applyFont="1" applyFill="1" applyBorder="1"/>
    <xf numFmtId="181" fontId="15" fillId="0" borderId="0" xfId="0" applyNumberFormat="1" applyFont="1" applyBorder="1"/>
    <xf numFmtId="164" fontId="0" fillId="0" borderId="0" xfId="0" applyNumberFormat="1" applyBorder="1"/>
    <xf numFmtId="164" fontId="0" fillId="0" borderId="3" xfId="0" applyNumberFormat="1" applyFill="1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0" fontId="0" fillId="0" borderId="11" xfId="0" applyBorder="1"/>
    <xf numFmtId="164" fontId="0" fillId="0" borderId="12" xfId="0" applyNumberFormat="1" applyBorder="1"/>
    <xf numFmtId="0" fontId="9" fillId="6" borderId="6" xfId="0" applyFont="1" applyFill="1" applyBorder="1" applyAlignment="1">
      <alignment horizontal="center"/>
    </xf>
    <xf numFmtId="37" fontId="9" fillId="0" borderId="3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/>
    <xf numFmtId="205" fontId="0" fillId="0" borderId="0" xfId="0" applyNumberFormat="1"/>
    <xf numFmtId="167" fontId="9" fillId="0" borderId="2" xfId="0" applyNumberFormat="1" applyFont="1" applyBorder="1"/>
    <xf numFmtId="167" fontId="9" fillId="0" borderId="7" xfId="0" applyNumberFormat="1" applyFont="1" applyBorder="1"/>
    <xf numFmtId="37" fontId="9" fillId="4" borderId="1" xfId="0" applyNumberFormat="1" applyFont="1" applyFill="1" applyBorder="1"/>
    <xf numFmtId="0" fontId="9" fillId="6" borderId="1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205" fontId="0" fillId="0" borderId="4" xfId="0" applyNumberFormat="1" applyBorder="1"/>
    <xf numFmtId="0" fontId="0" fillId="0" borderId="0" xfId="0"/>
    <xf numFmtId="0" fontId="9" fillId="6" borderId="13" xfId="0" quotePrefix="1" applyNumberFormat="1" applyFont="1" applyFill="1" applyBorder="1" applyAlignment="1">
      <alignment horizontal="center" wrapText="1"/>
    </xf>
    <xf numFmtId="0" fontId="9" fillId="6" borderId="14" xfId="0" applyNumberFormat="1" applyFont="1" applyFill="1" applyBorder="1" applyAlignment="1">
      <alignment horizontal="center" wrapText="1"/>
    </xf>
    <xf numFmtId="0" fontId="9" fillId="6" borderId="13" xfId="0" quotePrefix="1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center" wrapText="1"/>
    </xf>
    <xf numFmtId="0" fontId="9" fillId="6" borderId="8" xfId="0" applyNumberFormat="1" applyFont="1" applyFill="1" applyBorder="1" applyAlignment="1">
      <alignment horizontal="center"/>
    </xf>
    <xf numFmtId="0" fontId="9" fillId="6" borderId="9" xfId="0" applyNumberFormat="1" applyFont="1" applyFill="1" applyBorder="1" applyAlignment="1">
      <alignment horizontal="center"/>
    </xf>
    <xf numFmtId="0" fontId="9" fillId="6" borderId="10" xfId="0" applyNumberFormat="1" applyFont="1" applyFill="1" applyBorder="1" applyAlignment="1">
      <alignment horizontal="center"/>
    </xf>
    <xf numFmtId="0" fontId="9" fillId="6" borderId="5" xfId="0" applyNumberFormat="1" applyFont="1" applyFill="1" applyBorder="1" applyAlignment="1">
      <alignment horizontal="center"/>
    </xf>
    <xf numFmtId="0" fontId="9" fillId="6" borderId="11" xfId="0" applyNumberFormat="1" applyFont="1" applyFill="1" applyBorder="1" applyAlignment="1">
      <alignment horizontal="center"/>
    </xf>
    <xf numFmtId="0" fontId="9" fillId="6" borderId="12" xfId="0" applyNumberFormat="1" applyFont="1" applyFill="1" applyBorder="1" applyAlignment="1">
      <alignment horizontal="center"/>
    </xf>
    <xf numFmtId="0" fontId="9" fillId="6" borderId="3" xfId="0" applyNumberFormat="1" applyFont="1" applyFill="1" applyBorder="1" applyAlignment="1">
      <alignment horizontal="center"/>
    </xf>
    <xf numFmtId="0" fontId="9" fillId="6" borderId="4" xfId="0" applyNumberFormat="1" applyFont="1" applyFill="1" applyBorder="1" applyAlignment="1">
      <alignment horizontal="center"/>
    </xf>
    <xf numFmtId="164" fontId="9" fillId="0" borderId="0" xfId="0" applyNumberFormat="1" applyFont="1"/>
    <xf numFmtId="0" fontId="9" fillId="6" borderId="9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5" xfId="0" applyNumberFormat="1" applyFont="1" applyFill="1" applyBorder="1" applyAlignment="1">
      <alignment horizontal="left" vertical="center"/>
    </xf>
    <xf numFmtId="0" fontId="63" fillId="7" borderId="2" xfId="0" applyFont="1" applyFill="1" applyBorder="1" applyAlignment="1">
      <alignment horizontal="left" vertical="center"/>
    </xf>
    <xf numFmtId="0" fontId="63" fillId="7" borderId="6" xfId="0" quotePrefix="1" applyFont="1" applyFill="1" applyBorder="1" applyAlignment="1">
      <alignment horizontal="left" vertical="center"/>
    </xf>
    <xf numFmtId="4" fontId="0" fillId="0" borderId="0" xfId="0" applyNumberFormat="1" applyFill="1"/>
    <xf numFmtId="4" fontId="0" fillId="0" borderId="0" xfId="0" applyNumberFormat="1" applyAlignment="1">
      <alignment horizontal="center"/>
    </xf>
    <xf numFmtId="0" fontId="56" fillId="7" borderId="0" xfId="0" quotePrefix="1" applyFont="1" applyFill="1" applyBorder="1" applyAlignment="1">
      <alignment horizontal="left" vertical="center"/>
    </xf>
    <xf numFmtId="0" fontId="63" fillId="7" borderId="6" xfId="0" quotePrefix="1" applyFont="1" applyFill="1" applyBorder="1" applyAlignment="1">
      <alignment horizontal="left" vertical="center"/>
    </xf>
    <xf numFmtId="0" fontId="63" fillId="7" borderId="2" xfId="0" applyFont="1" applyFill="1" applyBorder="1" applyAlignment="1">
      <alignment horizontal="left" vertical="center"/>
    </xf>
    <xf numFmtId="0" fontId="63" fillId="7" borderId="6" xfId="0" applyFont="1" applyFill="1" applyBorder="1" applyAlignment="1">
      <alignment horizontal="left" vertical="center"/>
    </xf>
    <xf numFmtId="0" fontId="63" fillId="7" borderId="0" xfId="0" quotePrefix="1" applyFont="1" applyFill="1" applyBorder="1" applyAlignment="1">
      <alignment horizontal="left" vertical="center"/>
    </xf>
    <xf numFmtId="184" fontId="63" fillId="7" borderId="0" xfId="59" applyNumberFormat="1" applyFont="1" applyFill="1" applyBorder="1" applyAlignment="1">
      <alignment horizontal="center" vertical="center"/>
    </xf>
    <xf numFmtId="169" fontId="63" fillId="0" borderId="1" xfId="59" applyNumberFormat="1" applyFont="1" applyFill="1" applyBorder="1" applyAlignment="1">
      <alignment horizontal="center" vertical="center"/>
    </xf>
    <xf numFmtId="187" fontId="63" fillId="0" borderId="1" xfId="59" applyNumberFormat="1" applyFont="1" applyFill="1" applyBorder="1" applyAlignment="1">
      <alignment horizontal="center" vertical="center"/>
    </xf>
    <xf numFmtId="195" fontId="63" fillId="7" borderId="7" xfId="59" applyNumberFormat="1" applyFont="1" applyFill="1" applyBorder="1" applyAlignment="1">
      <alignment horizontal="center" vertical="center"/>
    </xf>
    <xf numFmtId="0" fontId="56" fillId="7" borderId="5" xfId="0" applyFont="1" applyFill="1" applyBorder="1" applyAlignment="1">
      <alignment vertical="center"/>
    </xf>
    <xf numFmtId="0" fontId="56" fillId="7" borderId="11" xfId="0" applyFont="1" applyFill="1" applyBorder="1" applyAlignment="1">
      <alignment vertical="center"/>
    </xf>
    <xf numFmtId="0" fontId="56" fillId="7" borderId="11" xfId="0" applyFont="1" applyFill="1" applyBorder="1" applyAlignment="1">
      <alignment horizontal="center" vertical="center"/>
    </xf>
    <xf numFmtId="0" fontId="56" fillId="7" borderId="7" xfId="0" applyFont="1" applyFill="1" applyBorder="1" applyAlignment="1">
      <alignment horizontal="center" vertical="center"/>
    </xf>
    <xf numFmtId="186" fontId="56" fillId="7" borderId="15" xfId="0" applyNumberFormat="1" applyFont="1" applyFill="1" applyBorder="1" applyAlignment="1">
      <alignment horizontal="center" vertical="center" wrapText="1"/>
    </xf>
    <xf numFmtId="0" fontId="56" fillId="7" borderId="5" xfId="0" applyFont="1" applyFill="1" applyBorder="1" applyAlignment="1">
      <alignment horizontal="left" vertical="center"/>
    </xf>
    <xf numFmtId="0" fontId="63" fillId="7" borderId="8" xfId="0" applyFont="1" applyFill="1" applyBorder="1" applyAlignment="1">
      <alignment horizontal="left" vertical="center" wrapText="1"/>
    </xf>
    <xf numFmtId="0" fontId="63" fillId="7" borderId="9" xfId="0" applyFont="1" applyFill="1" applyBorder="1" applyAlignment="1">
      <alignment horizontal="left" vertical="center" wrapText="1"/>
    </xf>
    <xf numFmtId="0" fontId="63" fillId="7" borderId="10" xfId="0" applyFont="1" applyFill="1" applyBorder="1" applyAlignment="1">
      <alignment horizontal="left" vertical="center" wrapText="1"/>
    </xf>
    <xf numFmtId="183" fontId="56" fillId="7" borderId="10" xfId="59" applyNumberFormat="1" applyFont="1" applyFill="1" applyBorder="1" applyAlignment="1">
      <alignment horizontal="center" vertical="center"/>
    </xf>
    <xf numFmtId="172" fontId="63" fillId="7" borderId="13" xfId="0" applyNumberFormat="1" applyFont="1" applyFill="1" applyBorder="1" applyAlignment="1">
      <alignment horizontal="center" vertical="center"/>
    </xf>
    <xf numFmtId="183" fontId="63" fillId="7" borderId="1" xfId="59" applyNumberFormat="1" applyFont="1" applyFill="1" applyBorder="1" applyAlignment="1">
      <alignment horizontal="center" vertical="center"/>
    </xf>
    <xf numFmtId="3" fontId="63" fillId="7" borderId="0" xfId="0" applyNumberFormat="1" applyFont="1" applyFill="1" applyBorder="1" applyAlignment="1">
      <alignment vertical="center"/>
    </xf>
    <xf numFmtId="3" fontId="56" fillId="7" borderId="9" xfId="0" applyNumberFormat="1" applyFont="1" applyFill="1" applyBorder="1" applyAlignment="1">
      <alignment vertical="center"/>
    </xf>
    <xf numFmtId="9" fontId="63" fillId="7" borderId="1" xfId="179" applyNumberFormat="1" applyFont="1" applyFill="1" applyBorder="1" applyAlignment="1">
      <alignment horizontal="center" vertical="center"/>
    </xf>
    <xf numFmtId="9" fontId="56" fillId="7" borderId="1" xfId="179" applyNumberFormat="1" applyFont="1" applyFill="1" applyBorder="1" applyAlignment="1">
      <alignment horizontal="center" vertical="center"/>
    </xf>
    <xf numFmtId="0" fontId="3" fillId="64" borderId="1" xfId="227" applyFill="1" applyBorder="1" applyAlignment="1">
      <alignment horizontal="center"/>
    </xf>
    <xf numFmtId="0" fontId="3" fillId="0" borderId="1" xfId="227" applyBorder="1"/>
    <xf numFmtId="204" fontId="3" fillId="0" borderId="1" xfId="227" applyNumberFormat="1" applyBorder="1"/>
    <xf numFmtId="204" fontId="0" fillId="0" borderId="1" xfId="328" applyNumberFormat="1" applyFont="1" applyBorder="1" applyProtection="1"/>
    <xf numFmtId="0" fontId="38" fillId="0" borderId="1" xfId="227" applyFont="1" applyBorder="1"/>
    <xf numFmtId="204" fontId="38" fillId="0" borderId="1" xfId="227" applyNumberFormat="1" applyFont="1" applyBorder="1"/>
    <xf numFmtId="165" fontId="0" fillId="0" borderId="1" xfId="0" applyNumberFormat="1" applyBorder="1"/>
    <xf numFmtId="165" fontId="0" fillId="0" borderId="14" xfId="0" applyNumberFormat="1" applyFill="1" applyBorder="1"/>
    <xf numFmtId="165" fontId="0" fillId="0" borderId="14" xfId="0" applyNumberFormat="1" applyBorder="1"/>
    <xf numFmtId="165" fontId="0" fillId="7" borderId="14" xfId="0" applyNumberFormat="1" applyFill="1" applyBorder="1"/>
    <xf numFmtId="0" fontId="6" fillId="0" borderId="0" xfId="0" applyFont="1" applyAlignment="1">
      <alignment horizontal="center"/>
    </xf>
    <xf numFmtId="176" fontId="69" fillId="0" borderId="45" xfId="302" applyNumberFormat="1" applyFont="1" applyFill="1" applyBorder="1"/>
    <xf numFmtId="176" fontId="69" fillId="0" borderId="50" xfId="302" applyNumberFormat="1" applyFont="1" applyFill="1" applyBorder="1"/>
    <xf numFmtId="176" fontId="69" fillId="0" borderId="52" xfId="302" applyNumberFormat="1" applyFont="1" applyFill="1" applyBorder="1"/>
    <xf numFmtId="0" fontId="69" fillId="0" borderId="20" xfId="286" applyFont="1" applyFill="1" applyBorder="1"/>
    <xf numFmtId="176" fontId="71" fillId="0" borderId="42" xfId="302" applyNumberFormat="1" applyFont="1" applyFill="1" applyBorder="1"/>
    <xf numFmtId="176" fontId="2" fillId="0" borderId="0" xfId="286" applyNumberFormat="1"/>
    <xf numFmtId="39" fontId="9" fillId="4" borderId="1" xfId="0" applyNumberFormat="1" applyFont="1" applyFill="1" applyBorder="1"/>
    <xf numFmtId="0" fontId="0" fillId="0" borderId="0" xfId="0"/>
    <xf numFmtId="0" fontId="56" fillId="7" borderId="0" xfId="0" applyFont="1" applyFill="1" applyBorder="1" applyAlignment="1">
      <alignment horizontal="left" vertical="center"/>
    </xf>
    <xf numFmtId="0" fontId="56" fillId="64" borderId="7" xfId="0" applyFont="1" applyFill="1" applyBorder="1" applyAlignment="1">
      <alignment horizontal="center" vertical="center"/>
    </xf>
    <xf numFmtId="0" fontId="56" fillId="64" borderId="1" xfId="0" applyFont="1" applyFill="1" applyBorder="1" applyAlignment="1">
      <alignment horizontal="center" vertical="center"/>
    </xf>
    <xf numFmtId="0" fontId="63" fillId="7" borderId="6" xfId="0" quotePrefix="1" applyFont="1" applyFill="1" applyBorder="1" applyAlignment="1">
      <alignment horizontal="left" vertical="center"/>
    </xf>
    <xf numFmtId="0" fontId="63" fillId="7" borderId="2" xfId="0" applyFont="1" applyFill="1" applyBorder="1" applyAlignment="1">
      <alignment horizontal="left" vertical="center"/>
    </xf>
    <xf numFmtId="0" fontId="63" fillId="7" borderId="6" xfId="0" applyFont="1" applyFill="1" applyBorder="1" applyAlignment="1">
      <alignment horizontal="left" vertical="center"/>
    </xf>
    <xf numFmtId="0" fontId="56" fillId="64" borderId="9" xfId="6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179" fontId="0" fillId="0" borderId="0" xfId="1" applyNumberFormat="1" applyFont="1"/>
    <xf numFmtId="179" fontId="0" fillId="0" borderId="0" xfId="0" applyNumberFormat="1"/>
    <xf numFmtId="4" fontId="6" fillId="67" borderId="0" xfId="0" applyNumberFormat="1" applyFont="1" applyFill="1" applyAlignment="1">
      <alignment horizontal="center"/>
    </xf>
    <xf numFmtId="3" fontId="56" fillId="7" borderId="1" xfId="2" applyNumberFormat="1" applyFont="1" applyFill="1" applyBorder="1" applyAlignment="1">
      <alignment horizontal="center"/>
    </xf>
    <xf numFmtId="169" fontId="56" fillId="7" borderId="1" xfId="0" applyNumberFormat="1" applyFont="1" applyFill="1" applyBorder="1" applyAlignment="1">
      <alignment horizontal="center"/>
    </xf>
    <xf numFmtId="169" fontId="56" fillId="7" borderId="1" xfId="2" applyNumberFormat="1" applyFont="1" applyFill="1" applyBorder="1" applyAlignment="1">
      <alignment horizontal="center"/>
    </xf>
    <xf numFmtId="171" fontId="56" fillId="7" borderId="1" xfId="1" applyNumberFormat="1" applyFont="1" applyFill="1" applyBorder="1" applyAlignment="1">
      <alignment horizontal="center"/>
    </xf>
    <xf numFmtId="169" fontId="56" fillId="0" borderId="1" xfId="0" applyNumberFormat="1" applyFont="1" applyBorder="1" applyAlignment="1">
      <alignment horizontal="center"/>
    </xf>
    <xf numFmtId="169" fontId="56" fillId="0" borderId="1" xfId="2" applyNumberFormat="1" applyFont="1" applyFill="1" applyBorder="1" applyAlignment="1">
      <alignment horizontal="center"/>
    </xf>
    <xf numFmtId="0" fontId="53" fillId="7" borderId="6" xfId="0" quotePrefix="1" applyFont="1" applyFill="1" applyBorder="1" applyAlignment="1">
      <alignment horizontal="left" vertical="center"/>
    </xf>
    <xf numFmtId="0" fontId="56" fillId="64" borderId="8" xfId="60" applyFont="1" applyFill="1" applyBorder="1" applyAlignment="1">
      <alignment horizontal="right" vertical="center"/>
    </xf>
    <xf numFmtId="0" fontId="53" fillId="7" borderId="6" xfId="0" applyFont="1" applyFill="1" applyBorder="1"/>
    <xf numFmtId="0" fontId="53" fillId="7" borderId="2" xfId="0" applyFont="1" applyFill="1" applyBorder="1"/>
    <xf numFmtId="0" fontId="53" fillId="7" borderId="7" xfId="0" applyFont="1" applyFill="1" applyBorder="1"/>
    <xf numFmtId="3" fontId="53" fillId="7" borderId="7" xfId="0" applyNumberFormat="1" applyFont="1" applyFill="1" applyBorder="1"/>
    <xf numFmtId="3" fontId="53" fillId="7" borderId="1" xfId="0" applyNumberFormat="1" applyFont="1" applyFill="1" applyBorder="1"/>
    <xf numFmtId="0" fontId="53" fillId="7" borderId="6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179" fontId="0" fillId="4" borderId="0" xfId="1" applyNumberFormat="1" applyFont="1" applyFill="1"/>
    <xf numFmtId="0" fontId="56" fillId="7" borderId="0" xfId="0" quotePrefix="1" applyFont="1" applyFill="1" applyBorder="1" applyAlignment="1">
      <alignment horizontal="left" vertical="center"/>
    </xf>
    <xf numFmtId="0" fontId="56" fillId="64" borderId="1" xfId="0" applyFont="1" applyFill="1" applyBorder="1" applyAlignment="1">
      <alignment horizontal="center" vertical="center"/>
    </xf>
    <xf numFmtId="3" fontId="7" fillId="66" borderId="1" xfId="0" applyNumberFormat="1" applyFont="1" applyFill="1" applyBorder="1" applyAlignment="1">
      <alignment horizontal="center"/>
    </xf>
    <xf numFmtId="206" fontId="0" fillId="0" borderId="0" xfId="0" applyNumberFormat="1" applyFill="1"/>
    <xf numFmtId="205" fontId="3" fillId="0" borderId="1" xfId="227" applyNumberFormat="1" applyBorder="1"/>
    <xf numFmtId="3" fontId="56" fillId="7" borderId="0" xfId="0" applyNumberFormat="1" applyFont="1" applyFill="1" applyBorder="1" applyAlignment="1">
      <alignment horizontal="left"/>
    </xf>
    <xf numFmtId="3" fontId="56" fillId="7" borderId="0" xfId="0" applyNumberFormat="1" applyFont="1" applyFill="1" applyBorder="1" applyAlignment="1">
      <alignment horizontal="center"/>
    </xf>
    <xf numFmtId="169" fontId="56" fillId="7" borderId="0" xfId="0" applyNumberFormat="1" applyFont="1" applyFill="1" applyBorder="1" applyAlignment="1">
      <alignment horizontal="center"/>
    </xf>
    <xf numFmtId="169" fontId="56" fillId="7" borderId="0" xfId="2" applyNumberFormat="1" applyFont="1" applyFill="1" applyBorder="1" applyAlignment="1">
      <alignment horizontal="center"/>
    </xf>
    <xf numFmtId="3" fontId="63" fillId="7" borderId="0" xfId="0" applyNumberFormat="1" applyFont="1" applyFill="1" applyBorder="1" applyAlignment="1">
      <alignment horizontal="center"/>
    </xf>
    <xf numFmtId="169" fontId="63" fillId="7" borderId="0" xfId="2" applyNumberFormat="1" applyFont="1" applyFill="1" applyBorder="1" applyAlignment="1">
      <alignment horizontal="center"/>
    </xf>
    <xf numFmtId="169" fontId="63" fillId="7" borderId="1" xfId="2" applyNumberFormat="1" applyFont="1" applyFill="1" applyBorder="1" applyAlignment="1">
      <alignment horizontal="center"/>
    </xf>
    <xf numFmtId="199" fontId="56" fillId="7" borderId="0" xfId="179" applyNumberFormat="1" applyFont="1" applyFill="1" applyBorder="1" applyAlignment="1">
      <alignment horizontal="center" vertical="center"/>
    </xf>
    <xf numFmtId="193" fontId="63" fillId="7" borderId="0" xfId="0" applyNumberFormat="1" applyFont="1" applyFill="1" applyBorder="1" applyAlignment="1">
      <alignment horizontal="center"/>
    </xf>
    <xf numFmtId="3" fontId="63" fillId="7" borderId="0" xfId="2" applyNumberFormat="1" applyFont="1" applyFill="1" applyBorder="1" applyAlignment="1">
      <alignment horizontal="center"/>
    </xf>
    <xf numFmtId="0" fontId="56" fillId="64" borderId="63" xfId="0" applyFont="1" applyFill="1" applyBorder="1" applyAlignment="1">
      <alignment horizontal="center" vertical="center"/>
    </xf>
    <xf numFmtId="0" fontId="56" fillId="64" borderId="64" xfId="0" applyFont="1" applyFill="1" applyBorder="1" applyAlignment="1">
      <alignment horizontal="center" vertical="center"/>
    </xf>
    <xf numFmtId="169" fontId="63" fillId="7" borderId="64" xfId="2" applyNumberFormat="1" applyFont="1" applyFill="1" applyBorder="1" applyAlignment="1">
      <alignment horizontal="center"/>
    </xf>
    <xf numFmtId="169" fontId="63" fillId="7" borderId="67" xfId="2" applyNumberFormat="1" applyFont="1" applyFill="1" applyBorder="1" applyAlignment="1">
      <alignment horizontal="center"/>
    </xf>
    <xf numFmtId="3" fontId="56" fillId="7" borderId="55" xfId="0" applyNumberFormat="1" applyFont="1" applyFill="1" applyBorder="1" applyAlignment="1">
      <alignment horizontal="left"/>
    </xf>
    <xf numFmtId="3" fontId="63" fillId="7" borderId="70" xfId="0" applyNumberFormat="1" applyFont="1" applyFill="1" applyBorder="1" applyAlignment="1">
      <alignment horizontal="left"/>
    </xf>
    <xf numFmtId="3" fontId="63" fillId="7" borderId="64" xfId="0" applyNumberFormat="1" applyFont="1" applyFill="1" applyBorder="1" applyAlignment="1">
      <alignment horizontal="center"/>
    </xf>
    <xf numFmtId="3" fontId="63" fillId="7" borderId="71" xfId="0" applyNumberFormat="1" applyFont="1" applyFill="1" applyBorder="1" applyAlignment="1">
      <alignment horizontal="left"/>
    </xf>
    <xf numFmtId="3" fontId="63" fillId="7" borderId="72" xfId="0" applyNumberFormat="1" applyFont="1" applyFill="1" applyBorder="1" applyAlignment="1">
      <alignment horizontal="left"/>
    </xf>
    <xf numFmtId="3" fontId="63" fillId="7" borderId="67" xfId="0" applyNumberFormat="1" applyFont="1" applyFill="1" applyBorder="1" applyAlignment="1">
      <alignment horizontal="center"/>
    </xf>
    <xf numFmtId="168" fontId="63" fillId="7" borderId="63" xfId="1" applyFont="1" applyFill="1" applyBorder="1" applyAlignment="1">
      <alignment horizontal="center"/>
    </xf>
    <xf numFmtId="168" fontId="63" fillId="7" borderId="1" xfId="1" applyFont="1" applyFill="1" applyBorder="1" applyAlignment="1">
      <alignment horizontal="center"/>
    </xf>
    <xf numFmtId="168" fontId="63" fillId="7" borderId="65" xfId="1" applyFont="1" applyFill="1" applyBorder="1" applyAlignment="1">
      <alignment horizontal="center"/>
    </xf>
    <xf numFmtId="168" fontId="63" fillId="7" borderId="66" xfId="1" applyFont="1" applyFill="1" applyBorder="1" applyAlignment="1">
      <alignment horizontal="center"/>
    </xf>
    <xf numFmtId="168" fontId="63" fillId="7" borderId="0" xfId="1" applyFont="1" applyFill="1" applyBorder="1" applyAlignment="1">
      <alignment horizontal="center"/>
    </xf>
    <xf numFmtId="169" fontId="56" fillId="0" borderId="0" xfId="0" applyNumberFormat="1" applyFont="1" applyFill="1" applyBorder="1" applyAlignment="1">
      <alignment horizontal="center"/>
    </xf>
    <xf numFmtId="3" fontId="56" fillId="0" borderId="0" xfId="0" applyNumberFormat="1" applyFont="1" applyFill="1" applyBorder="1" applyAlignment="1">
      <alignment horizontal="center"/>
    </xf>
    <xf numFmtId="169" fontId="56" fillId="0" borderId="0" xfId="2" applyNumberFormat="1" applyFont="1" applyFill="1" applyBorder="1" applyAlignment="1">
      <alignment horizontal="center"/>
    </xf>
    <xf numFmtId="3" fontId="63" fillId="7" borderId="1" xfId="0" applyNumberFormat="1" applyFont="1" applyFill="1" applyBorder="1" applyAlignment="1">
      <alignment vertical="center"/>
    </xf>
    <xf numFmtId="176" fontId="63" fillId="7" borderId="1" xfId="1" applyNumberFormat="1" applyFont="1" applyFill="1" applyBorder="1" applyAlignment="1">
      <alignment horizontal="center"/>
    </xf>
    <xf numFmtId="0" fontId="63" fillId="7" borderId="1" xfId="179" applyNumberFormat="1" applyFont="1" applyFill="1" applyBorder="1" applyAlignment="1">
      <alignment horizontal="center"/>
    </xf>
    <xf numFmtId="176" fontId="63" fillId="7" borderId="0" xfId="1" applyNumberFormat="1" applyFont="1" applyFill="1" applyBorder="1" applyAlignment="1">
      <alignment horizontal="center"/>
    </xf>
    <xf numFmtId="0" fontId="63" fillId="7" borderId="0" xfId="179" applyNumberFormat="1" applyFont="1" applyFill="1" applyBorder="1" applyAlignment="1">
      <alignment horizontal="center"/>
    </xf>
    <xf numFmtId="165" fontId="9" fillId="4" borderId="1" xfId="0" applyNumberFormat="1" applyFont="1" applyFill="1" applyBorder="1"/>
    <xf numFmtId="172" fontId="63" fillId="7" borderId="1" xfId="179" applyNumberFormat="1" applyFont="1" applyFill="1" applyBorder="1" applyAlignment="1">
      <alignment horizontal="center"/>
    </xf>
    <xf numFmtId="2" fontId="63" fillId="7" borderId="1" xfId="179" applyNumberFormat="1" applyFont="1" applyFill="1" applyBorder="1" applyAlignment="1">
      <alignment horizontal="center"/>
    </xf>
    <xf numFmtId="3" fontId="63" fillId="68" borderId="6" xfId="0" applyNumberFormat="1" applyFont="1" applyFill="1" applyBorder="1" applyAlignment="1">
      <alignment horizontal="left"/>
    </xf>
    <xf numFmtId="3" fontId="63" fillId="68" borderId="2" xfId="0" applyNumberFormat="1" applyFont="1" applyFill="1" applyBorder="1" applyAlignment="1">
      <alignment horizontal="left"/>
    </xf>
    <xf numFmtId="3" fontId="63" fillId="68" borderId="1" xfId="0" applyNumberFormat="1" applyFont="1" applyFill="1" applyBorder="1" applyAlignment="1">
      <alignment horizontal="center"/>
    </xf>
    <xf numFmtId="176" fontId="63" fillId="68" borderId="1" xfId="1" applyNumberFormat="1" applyFont="1" applyFill="1" applyBorder="1" applyAlignment="1">
      <alignment horizontal="center"/>
    </xf>
    <xf numFmtId="2" fontId="63" fillId="68" borderId="1" xfId="179" applyNumberFormat="1" applyFont="1" applyFill="1" applyBorder="1" applyAlignment="1">
      <alignment horizontal="center"/>
    </xf>
    <xf numFmtId="172" fontId="63" fillId="68" borderId="1" xfId="179" applyNumberFormat="1" applyFont="1" applyFill="1" applyBorder="1" applyAlignment="1">
      <alignment horizontal="center"/>
    </xf>
    <xf numFmtId="169" fontId="63" fillId="68" borderId="1" xfId="2" applyNumberFormat="1" applyFont="1" applyFill="1" applyBorder="1" applyAlignment="1">
      <alignment horizontal="center"/>
    </xf>
    <xf numFmtId="3" fontId="63" fillId="68" borderId="1" xfId="0" applyNumberFormat="1" applyFont="1" applyFill="1" applyBorder="1" applyAlignment="1">
      <alignment vertical="center"/>
    </xf>
    <xf numFmtId="10" fontId="0" fillId="0" borderId="0" xfId="0" applyNumberFormat="1"/>
    <xf numFmtId="176" fontId="63" fillId="7" borderId="0" xfId="1" applyNumberFormat="1" applyFont="1" applyFill="1"/>
    <xf numFmtId="1" fontId="63" fillId="7" borderId="1" xfId="2" applyNumberFormat="1" applyFont="1" applyFill="1" applyBorder="1" applyAlignment="1">
      <alignment horizontal="center"/>
    </xf>
    <xf numFmtId="193" fontId="63" fillId="0" borderId="1" xfId="0" applyNumberFormat="1" applyFont="1" applyFill="1" applyBorder="1" applyAlignment="1">
      <alignment horizontal="center"/>
    </xf>
    <xf numFmtId="3" fontId="63" fillId="0" borderId="1" xfId="2" applyNumberFormat="1" applyFont="1" applyFill="1" applyBorder="1" applyAlignment="1">
      <alignment horizontal="center"/>
    </xf>
    <xf numFmtId="3" fontId="56" fillId="0" borderId="1" xfId="0" applyNumberFormat="1" applyFont="1" applyFill="1" applyBorder="1" applyAlignment="1">
      <alignment horizontal="center"/>
    </xf>
    <xf numFmtId="169" fontId="56" fillId="0" borderId="1" xfId="0" applyNumberFormat="1" applyFont="1" applyFill="1" applyBorder="1" applyAlignment="1">
      <alignment horizontal="center"/>
    </xf>
    <xf numFmtId="0" fontId="56" fillId="7" borderId="0" xfId="0" applyFont="1" applyFill="1" applyBorder="1" applyAlignment="1">
      <alignment horizontal="left" vertical="center"/>
    </xf>
    <xf numFmtId="0" fontId="56" fillId="64" borderId="13" xfId="0" applyFont="1" applyFill="1" applyBorder="1" applyAlignment="1">
      <alignment horizontal="center" vertical="center" wrapText="1"/>
    </xf>
    <xf numFmtId="0" fontId="56" fillId="64" borderId="15" xfId="0" applyFont="1" applyFill="1" applyBorder="1" applyAlignment="1">
      <alignment horizontal="center" vertical="center" wrapText="1"/>
    </xf>
    <xf numFmtId="0" fontId="56" fillId="64" borderId="6" xfId="0" applyFont="1" applyFill="1" applyBorder="1" applyAlignment="1">
      <alignment horizontal="center" vertical="center"/>
    </xf>
    <xf numFmtId="0" fontId="56" fillId="64" borderId="2" xfId="0" applyFont="1" applyFill="1" applyBorder="1" applyAlignment="1">
      <alignment horizontal="center" vertical="center"/>
    </xf>
    <xf numFmtId="0" fontId="56" fillId="64" borderId="7" xfId="0" applyFont="1" applyFill="1" applyBorder="1" applyAlignment="1">
      <alignment horizontal="center" vertical="center"/>
    </xf>
    <xf numFmtId="0" fontId="56" fillId="7" borderId="6" xfId="0" applyFont="1" applyFill="1" applyBorder="1" applyAlignment="1">
      <alignment horizontal="left"/>
    </xf>
    <xf numFmtId="0" fontId="56" fillId="7" borderId="2" xfId="0" applyFont="1" applyFill="1" applyBorder="1" applyAlignment="1">
      <alignment horizontal="left"/>
    </xf>
    <xf numFmtId="0" fontId="56" fillId="7" borderId="7" xfId="0" applyFont="1" applyFill="1" applyBorder="1" applyAlignment="1">
      <alignment horizontal="left"/>
    </xf>
    <xf numFmtId="0" fontId="56" fillId="7" borderId="0" xfId="0" quotePrefix="1" applyFont="1" applyFill="1" applyBorder="1" applyAlignment="1">
      <alignment horizontal="left" vertical="center"/>
    </xf>
    <xf numFmtId="0" fontId="56" fillId="64" borderId="1" xfId="0" applyFont="1" applyFill="1" applyBorder="1" applyAlignment="1">
      <alignment horizontal="center" vertical="center"/>
    </xf>
    <xf numFmtId="0" fontId="56" fillId="64" borderId="43" xfId="0" applyFont="1" applyFill="1" applyBorder="1" applyAlignment="1">
      <alignment horizontal="center" vertical="center" wrapText="1"/>
    </xf>
    <xf numFmtId="0" fontId="56" fillId="64" borderId="68" xfId="0" applyFont="1" applyFill="1" applyBorder="1" applyAlignment="1">
      <alignment horizontal="center" vertical="center" wrapText="1"/>
    </xf>
    <xf numFmtId="0" fontId="56" fillId="64" borderId="48" xfId="0" applyFont="1" applyFill="1" applyBorder="1" applyAlignment="1">
      <alignment horizontal="center" vertical="center" wrapText="1"/>
    </xf>
    <xf numFmtId="0" fontId="56" fillId="64" borderId="69" xfId="0" applyFont="1" applyFill="1" applyBorder="1" applyAlignment="1">
      <alignment horizontal="center" vertical="center" wrapText="1"/>
    </xf>
    <xf numFmtId="0" fontId="56" fillId="64" borderId="61" xfId="0" applyFont="1" applyFill="1" applyBorder="1" applyAlignment="1">
      <alignment horizontal="center" vertical="center"/>
    </xf>
    <xf numFmtId="0" fontId="56" fillId="64" borderId="60" xfId="0" applyFont="1" applyFill="1" applyBorder="1" applyAlignment="1">
      <alignment horizontal="center" vertical="center"/>
    </xf>
    <xf numFmtId="0" fontId="56" fillId="64" borderId="62" xfId="0" applyFont="1" applyFill="1" applyBorder="1" applyAlignment="1">
      <alignment horizontal="center" vertical="center"/>
    </xf>
    <xf numFmtId="0" fontId="63" fillId="7" borderId="6" xfId="0" quotePrefix="1" applyFont="1" applyFill="1" applyBorder="1" applyAlignment="1">
      <alignment horizontal="left" vertical="center"/>
    </xf>
    <xf numFmtId="0" fontId="63" fillId="7" borderId="2" xfId="0" applyFont="1" applyFill="1" applyBorder="1" applyAlignment="1">
      <alignment horizontal="left" vertical="center"/>
    </xf>
    <xf numFmtId="0" fontId="63" fillId="7" borderId="7" xfId="0" applyFont="1" applyFill="1" applyBorder="1" applyAlignment="1">
      <alignment horizontal="left" vertical="center"/>
    </xf>
    <xf numFmtId="0" fontId="63" fillId="7" borderId="6" xfId="0" applyFont="1" applyFill="1" applyBorder="1" applyAlignment="1">
      <alignment horizontal="left" vertical="center"/>
    </xf>
    <xf numFmtId="0" fontId="63" fillId="7" borderId="6" xfId="0" applyFont="1" applyFill="1" applyBorder="1" applyAlignment="1">
      <alignment horizontal="left" vertical="center" wrapText="1"/>
    </xf>
    <xf numFmtId="0" fontId="63" fillId="7" borderId="2" xfId="0" applyFont="1" applyFill="1" applyBorder="1" applyAlignment="1">
      <alignment horizontal="left" vertical="center" wrapText="1"/>
    </xf>
    <xf numFmtId="0" fontId="63" fillId="7" borderId="7" xfId="0" applyFont="1" applyFill="1" applyBorder="1" applyAlignment="1">
      <alignment horizontal="left" vertical="center" wrapText="1"/>
    </xf>
    <xf numFmtId="0" fontId="56" fillId="64" borderId="6" xfId="0" applyFont="1" applyFill="1" applyBorder="1" applyAlignment="1">
      <alignment horizontal="center" vertical="center" wrapText="1"/>
    </xf>
    <xf numFmtId="0" fontId="56" fillId="64" borderId="7" xfId="0" applyFont="1" applyFill="1" applyBorder="1" applyAlignment="1">
      <alignment horizontal="center" vertical="center" wrapText="1"/>
    </xf>
    <xf numFmtId="0" fontId="63" fillId="65" borderId="5" xfId="0" quotePrefix="1" applyFont="1" applyFill="1" applyBorder="1" applyAlignment="1">
      <alignment horizontal="left" vertical="center" wrapText="1"/>
    </xf>
    <xf numFmtId="0" fontId="63" fillId="65" borderId="11" xfId="0" applyFont="1" applyFill="1" applyBorder="1" applyAlignment="1">
      <alignment horizontal="left" vertical="center" wrapText="1"/>
    </xf>
    <xf numFmtId="0" fontId="63" fillId="65" borderId="12" xfId="0" applyFont="1" applyFill="1" applyBorder="1" applyAlignment="1">
      <alignment horizontal="left" vertical="center" wrapText="1"/>
    </xf>
    <xf numFmtId="0" fontId="65" fillId="7" borderId="6" xfId="137" applyFont="1" applyFill="1" applyBorder="1" applyAlignment="1">
      <alignment horizontal="left"/>
    </xf>
    <xf numFmtId="0" fontId="65" fillId="7" borderId="7" xfId="137" applyFont="1" applyFill="1" applyBorder="1" applyAlignment="1">
      <alignment horizontal="left"/>
    </xf>
    <xf numFmtId="0" fontId="56" fillId="64" borderId="6" xfId="60" applyFont="1" applyFill="1" applyBorder="1" applyAlignment="1">
      <alignment horizontal="left" vertical="center"/>
    </xf>
    <xf numFmtId="0" fontId="56" fillId="64" borderId="2" xfId="60" applyFont="1" applyFill="1" applyBorder="1" applyAlignment="1">
      <alignment horizontal="left" vertical="center"/>
    </xf>
    <xf numFmtId="0" fontId="56" fillId="64" borderId="7" xfId="60" applyFont="1" applyFill="1" applyBorder="1" applyAlignment="1">
      <alignment horizontal="left" vertical="center"/>
    </xf>
    <xf numFmtId="0" fontId="56" fillId="64" borderId="8" xfId="60" applyFont="1" applyFill="1" applyBorder="1" applyAlignment="1">
      <alignment horizontal="center" vertical="center"/>
    </xf>
    <xf numFmtId="0" fontId="56" fillId="64" borderId="9" xfId="60" applyFont="1" applyFill="1" applyBorder="1" applyAlignment="1">
      <alignment horizontal="center" vertical="center"/>
    </xf>
    <xf numFmtId="0" fontId="56" fillId="64" borderId="10" xfId="60" applyFont="1" applyFill="1" applyBorder="1" applyAlignment="1">
      <alignment horizontal="center" vertical="center"/>
    </xf>
    <xf numFmtId="0" fontId="64" fillId="64" borderId="1" xfId="137" applyFont="1" applyFill="1" applyBorder="1" applyAlignment="1">
      <alignment horizontal="center"/>
    </xf>
    <xf numFmtId="194" fontId="63" fillId="7" borderId="1" xfId="138" applyNumberFormat="1" applyFont="1" applyFill="1" applyBorder="1" applyAlignment="1">
      <alignment horizontal="center"/>
    </xf>
    <xf numFmtId="0" fontId="64" fillId="7" borderId="1" xfId="137" applyFont="1" applyFill="1" applyBorder="1" applyAlignment="1">
      <alignment horizontal="center" vertical="center"/>
    </xf>
    <xf numFmtId="0" fontId="65" fillId="7" borderId="1" xfId="137" applyFont="1" applyFill="1" applyBorder="1" applyAlignment="1">
      <alignment horizontal="left"/>
    </xf>
    <xf numFmtId="0" fontId="64" fillId="64" borderId="6" xfId="137" applyFont="1" applyFill="1" applyBorder="1" applyAlignment="1">
      <alignment horizontal="center" vertical="center"/>
    </xf>
    <xf numFmtId="0" fontId="64" fillId="64" borderId="7" xfId="137" applyFont="1" applyFill="1" applyBorder="1" applyAlignment="1">
      <alignment horizontal="center" vertical="center"/>
    </xf>
    <xf numFmtId="0" fontId="56" fillId="64" borderId="6" xfId="60" applyFont="1" applyFill="1" applyBorder="1" applyAlignment="1">
      <alignment horizontal="center" vertical="center"/>
    </xf>
    <xf numFmtId="0" fontId="56" fillId="64" borderId="2" xfId="60" applyFont="1" applyFill="1" applyBorder="1" applyAlignment="1">
      <alignment horizontal="center" vertical="center"/>
    </xf>
    <xf numFmtId="0" fontId="56" fillId="64" borderId="7" xfId="60" applyFont="1" applyFill="1" applyBorder="1" applyAlignment="1">
      <alignment horizontal="center" vertical="center"/>
    </xf>
    <xf numFmtId="0" fontId="64" fillId="7" borderId="6" xfId="137" applyFont="1" applyFill="1" applyBorder="1" applyAlignment="1">
      <alignment horizontal="center"/>
    </xf>
    <xf numFmtId="0" fontId="64" fillId="7" borderId="7" xfId="137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/>
    <xf numFmtId="0" fontId="9" fillId="0" borderId="0" xfId="4" applyFont="1" applyAlignment="1">
      <alignment horizontal="center"/>
    </xf>
    <xf numFmtId="0" fontId="9" fillId="6" borderId="13" xfId="0" quotePrefix="1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center" wrapText="1"/>
    </xf>
    <xf numFmtId="0" fontId="9" fillId="6" borderId="8" xfId="0" applyNumberFormat="1" applyFont="1" applyFill="1" applyBorder="1" applyAlignment="1">
      <alignment horizontal="center"/>
    </xf>
    <xf numFmtId="0" fontId="9" fillId="6" borderId="9" xfId="0" applyNumberFormat="1" applyFont="1" applyFill="1" applyBorder="1" applyAlignment="1">
      <alignment horizontal="center"/>
    </xf>
    <xf numFmtId="0" fontId="9" fillId="6" borderId="10" xfId="0" applyNumberFormat="1" applyFont="1" applyFill="1" applyBorder="1" applyAlignment="1">
      <alignment horizontal="center"/>
    </xf>
    <xf numFmtId="0" fontId="9" fillId="6" borderId="5" xfId="0" applyNumberFormat="1" applyFont="1" applyFill="1" applyBorder="1" applyAlignment="1">
      <alignment horizontal="center"/>
    </xf>
    <xf numFmtId="0" fontId="9" fillId="6" borderId="11" xfId="0" applyNumberFormat="1" applyFont="1" applyFill="1" applyBorder="1" applyAlignment="1">
      <alignment horizontal="center"/>
    </xf>
    <xf numFmtId="0" fontId="9" fillId="6" borderId="12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6" borderId="3" xfId="0" applyNumberFormat="1" applyFont="1" applyFill="1" applyBorder="1" applyAlignment="1">
      <alignment horizontal="center"/>
    </xf>
    <xf numFmtId="0" fontId="9" fillId="6" borderId="4" xfId="0" applyNumberFormat="1" applyFont="1" applyFill="1" applyBorder="1" applyAlignment="1">
      <alignment horizontal="center"/>
    </xf>
    <xf numFmtId="0" fontId="9" fillId="0" borderId="16" xfId="0" quotePrefix="1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6" borderId="13" xfId="0" quotePrefix="1" applyNumberFormat="1" applyFont="1" applyFill="1" applyBorder="1" applyAlignment="1">
      <alignment horizontal="center" wrapText="1"/>
    </xf>
    <xf numFmtId="0" fontId="9" fillId="6" borderId="14" xfId="0" applyNumberFormat="1" applyFont="1" applyFill="1" applyBorder="1" applyAlignment="1">
      <alignment horizontal="center" wrapText="1"/>
    </xf>
  </cellXfs>
  <cellStyles count="329">
    <cellStyle name="$" xfId="14"/>
    <cellStyle name="$.00" xfId="15"/>
    <cellStyle name="$_9. Rev2Cost_GDPIPI" xfId="126"/>
    <cellStyle name="$_lists" xfId="127"/>
    <cellStyle name="$_lists_4. Current Monthly Fixed Charge" xfId="128"/>
    <cellStyle name="$_Sheet4" xfId="129"/>
    <cellStyle name="$M" xfId="16"/>
    <cellStyle name="$M.00" xfId="17"/>
    <cellStyle name="$M_9. Rev2Cost_GDPIPI" xfId="130"/>
    <cellStyle name="20% - Accent1 2" xfId="93"/>
    <cellStyle name="20% - Accent1 2 2" xfId="154"/>
    <cellStyle name="20% - Accent1 2 2 2" xfId="181"/>
    <cellStyle name="20% - Accent1 2 2 3" xfId="289"/>
    <cellStyle name="20% - Accent1 2 3" xfId="180"/>
    <cellStyle name="20% - Accent1 2 4" xfId="261"/>
    <cellStyle name="20% - Accent1 3" xfId="18"/>
    <cellStyle name="20% - Accent2 2" xfId="97"/>
    <cellStyle name="20% - Accent2 2 2" xfId="156"/>
    <cellStyle name="20% - Accent2 2 2 2" xfId="183"/>
    <cellStyle name="20% - Accent2 2 2 3" xfId="291"/>
    <cellStyle name="20% - Accent2 2 3" xfId="182"/>
    <cellStyle name="20% - Accent2 2 4" xfId="263"/>
    <cellStyle name="20% - Accent2 3" xfId="19"/>
    <cellStyle name="20% - Accent3 2" xfId="101"/>
    <cellStyle name="20% - Accent3 2 2" xfId="158"/>
    <cellStyle name="20% - Accent3 2 2 2" xfId="185"/>
    <cellStyle name="20% - Accent3 2 2 3" xfId="293"/>
    <cellStyle name="20% - Accent3 2 3" xfId="184"/>
    <cellStyle name="20% - Accent3 2 4" xfId="265"/>
    <cellStyle name="20% - Accent3 3" xfId="20"/>
    <cellStyle name="20% - Accent4 2" xfId="105"/>
    <cellStyle name="20% - Accent4 2 2" xfId="160"/>
    <cellStyle name="20% - Accent4 2 2 2" xfId="187"/>
    <cellStyle name="20% - Accent4 2 2 3" xfId="295"/>
    <cellStyle name="20% - Accent4 2 3" xfId="186"/>
    <cellStyle name="20% - Accent4 2 4" xfId="267"/>
    <cellStyle name="20% - Accent4 3" xfId="21"/>
    <cellStyle name="20% - Accent5 2" xfId="109"/>
    <cellStyle name="20% - Accent5 2 2" xfId="162"/>
    <cellStyle name="20% - Accent5 2 2 2" xfId="189"/>
    <cellStyle name="20% - Accent5 2 2 3" xfId="297"/>
    <cellStyle name="20% - Accent5 2 3" xfId="188"/>
    <cellStyle name="20% - Accent5 2 4" xfId="269"/>
    <cellStyle name="20% - Accent5 3" xfId="22"/>
    <cellStyle name="20% - Accent6 2" xfId="113"/>
    <cellStyle name="20% - Accent6 2 2" xfId="164"/>
    <cellStyle name="20% - Accent6 2 2 2" xfId="191"/>
    <cellStyle name="20% - Accent6 2 2 3" xfId="299"/>
    <cellStyle name="20% - Accent6 2 3" xfId="190"/>
    <cellStyle name="20% - Accent6 2 4" xfId="271"/>
    <cellStyle name="20% - Accent6 3" xfId="23"/>
    <cellStyle name="40% - Accent1 2" xfId="94"/>
    <cellStyle name="40% - Accent1 2 2" xfId="155"/>
    <cellStyle name="40% - Accent1 2 2 2" xfId="193"/>
    <cellStyle name="40% - Accent1 2 2 3" xfId="290"/>
    <cellStyle name="40% - Accent1 2 3" xfId="192"/>
    <cellStyle name="40% - Accent1 2 4" xfId="262"/>
    <cellStyle name="40% - Accent1 3" xfId="24"/>
    <cellStyle name="40% - Accent2 2" xfId="98"/>
    <cellStyle name="40% - Accent2 2 2" xfId="157"/>
    <cellStyle name="40% - Accent2 2 2 2" xfId="195"/>
    <cellStyle name="40% - Accent2 2 2 3" xfId="292"/>
    <cellStyle name="40% - Accent2 2 3" xfId="194"/>
    <cellStyle name="40% - Accent2 2 4" xfId="264"/>
    <cellStyle name="40% - Accent2 3" xfId="25"/>
    <cellStyle name="40% - Accent3 2" xfId="102"/>
    <cellStyle name="40% - Accent3 2 2" xfId="159"/>
    <cellStyle name="40% - Accent3 2 2 2" xfId="197"/>
    <cellStyle name="40% - Accent3 2 2 3" xfId="294"/>
    <cellStyle name="40% - Accent3 2 3" xfId="196"/>
    <cellStyle name="40% - Accent3 2 4" xfId="266"/>
    <cellStyle name="40% - Accent3 3" xfId="26"/>
    <cellStyle name="40% - Accent4 2" xfId="106"/>
    <cellStyle name="40% - Accent4 2 2" xfId="161"/>
    <cellStyle name="40% - Accent4 2 2 2" xfId="199"/>
    <cellStyle name="40% - Accent4 2 2 3" xfId="296"/>
    <cellStyle name="40% - Accent4 2 3" xfId="198"/>
    <cellStyle name="40% - Accent4 2 4" xfId="268"/>
    <cellStyle name="40% - Accent4 3" xfId="27"/>
    <cellStyle name="40% - Accent5 2" xfId="110"/>
    <cellStyle name="40% - Accent5 2 2" xfId="163"/>
    <cellStyle name="40% - Accent5 2 2 2" xfId="201"/>
    <cellStyle name="40% - Accent5 2 2 3" xfId="298"/>
    <cellStyle name="40% - Accent5 2 3" xfId="200"/>
    <cellStyle name="40% - Accent5 2 4" xfId="270"/>
    <cellStyle name="40% - Accent5 3" xfId="28"/>
    <cellStyle name="40% - Accent6 2" xfId="114"/>
    <cellStyle name="40% - Accent6 2 2" xfId="165"/>
    <cellStyle name="40% - Accent6 2 2 2" xfId="203"/>
    <cellStyle name="40% - Accent6 2 2 3" xfId="300"/>
    <cellStyle name="40% - Accent6 2 3" xfId="202"/>
    <cellStyle name="40% - Accent6 2 4" xfId="272"/>
    <cellStyle name="40% - Accent6 3" xfId="29"/>
    <cellStyle name="60% - Accent1 2" xfId="95"/>
    <cellStyle name="60% - Accent1 3" xfId="30"/>
    <cellStyle name="60% - Accent2 2" xfId="99"/>
    <cellStyle name="60% - Accent2 3" xfId="31"/>
    <cellStyle name="60% - Accent3 2" xfId="103"/>
    <cellStyle name="60% - Accent3 3" xfId="32"/>
    <cellStyle name="60% - Accent4 2" xfId="107"/>
    <cellStyle name="60% - Accent4 3" xfId="33"/>
    <cellStyle name="60% - Accent5 2" xfId="111"/>
    <cellStyle name="60% - Accent5 3" xfId="34"/>
    <cellStyle name="60% - Accent6 2" xfId="115"/>
    <cellStyle name="60% - Accent6 3" xfId="35"/>
    <cellStyle name="Accent1 2" xfId="92"/>
    <cellStyle name="Accent1 3" xfId="36"/>
    <cellStyle name="Accent2 2" xfId="96"/>
    <cellStyle name="Accent2 3" xfId="37"/>
    <cellStyle name="Accent3 2" xfId="100"/>
    <cellStyle name="Accent3 3" xfId="38"/>
    <cellStyle name="Accent4 2" xfId="104"/>
    <cellStyle name="Accent4 3" xfId="39"/>
    <cellStyle name="Accent5 2" xfId="108"/>
    <cellStyle name="Accent5 3" xfId="40"/>
    <cellStyle name="Accent6 2" xfId="112"/>
    <cellStyle name="Accent6 3" xfId="41"/>
    <cellStyle name="Bad 2" xfId="81"/>
    <cellStyle name="Bad 3" xfId="42"/>
    <cellStyle name="Calculation 2" xfId="85"/>
    <cellStyle name="Calculation 3" xfId="43"/>
    <cellStyle name="Check Cell 2" xfId="87"/>
    <cellStyle name="Check Cell 3" xfId="44"/>
    <cellStyle name="Comma" xfId="1" builtinId="3"/>
    <cellStyle name="Comma 2" xfId="5"/>
    <cellStyle name="Comma 2 2" xfId="117"/>
    <cellStyle name="Comma 2 2 2" xfId="167"/>
    <cellStyle name="Comma 2 2 2 2" xfId="205"/>
    <cellStyle name="Comma 2 2 2 3" xfId="302"/>
    <cellStyle name="Comma 2 2 3" xfId="204"/>
    <cellStyle name="Comma 2 2 4" xfId="274"/>
    <cellStyle name="Comma 3" xfId="6"/>
    <cellStyle name="Comma 3 2" xfId="138"/>
    <cellStyle name="Comma 3 2 2" xfId="177"/>
    <cellStyle name="Comma 3 2 2 2" xfId="207"/>
    <cellStyle name="Comma 3 2 2 3" xfId="312"/>
    <cellStyle name="Comma 3 2 3" xfId="206"/>
    <cellStyle name="Comma 3 2 4" xfId="284"/>
    <cellStyle name="Comma 3 3" xfId="120"/>
    <cellStyle name="Comma 3 3 2" xfId="170"/>
    <cellStyle name="Comma 3 3 2 2" xfId="209"/>
    <cellStyle name="Comma 3 3 2 3" xfId="305"/>
    <cellStyle name="Comma 3 3 3" xfId="208"/>
    <cellStyle name="Comma 3 3 4" xfId="277"/>
    <cellStyle name="Comma 4" xfId="12"/>
    <cellStyle name="Comma 4 2" xfId="125"/>
    <cellStyle name="Comma 4 2 2" xfId="175"/>
    <cellStyle name="Comma 4 2 2 2" xfId="211"/>
    <cellStyle name="Comma 4 2 2 3" xfId="310"/>
    <cellStyle name="Comma 4 2 3" xfId="210"/>
    <cellStyle name="Comma 4 2 4" xfId="282"/>
    <cellStyle name="Comma 4 3" xfId="150"/>
    <cellStyle name="Comma 5" xfId="72"/>
    <cellStyle name="Comma 6" xfId="212"/>
    <cellStyle name="Comma 7" xfId="315"/>
    <cellStyle name="Comma 8" xfId="256"/>
    <cellStyle name="Comma 9" xfId="327"/>
    <cellStyle name="Comma_Horizon 2011 Load Forecast Model  June 25, 2010" xfId="11"/>
    <cellStyle name="Comma0" xfId="7"/>
    <cellStyle name="Comma0 2" xfId="213"/>
    <cellStyle name="Currency" xfId="179" builtinId="4"/>
    <cellStyle name="Currency 2" xfId="124"/>
    <cellStyle name="Currency 2 2" xfId="174"/>
    <cellStyle name="Currency 2 2 2" xfId="215"/>
    <cellStyle name="Currency 2 2 3" xfId="309"/>
    <cellStyle name="Currency 2 3" xfId="214"/>
    <cellStyle name="Currency 2 3 2" xfId="322"/>
    <cellStyle name="Currency 2 4" xfId="281"/>
    <cellStyle name="Currency 3" xfId="140"/>
    <cellStyle name="Currency 4" xfId="73"/>
    <cellStyle name="Currency 5" xfId="314"/>
    <cellStyle name="Currency 5 2" xfId="328"/>
    <cellStyle name="Currency 6" xfId="257"/>
    <cellStyle name="Currency0" xfId="8"/>
    <cellStyle name="Currency0 2" xfId="216"/>
    <cellStyle name="Date" xfId="9"/>
    <cellStyle name="Date 2" xfId="217"/>
    <cellStyle name="Explanatory Text 2" xfId="90"/>
    <cellStyle name="Explanatory Text 3" xfId="45"/>
    <cellStyle name="Fixed" xfId="10"/>
    <cellStyle name="Fixed 2" xfId="218"/>
    <cellStyle name="Good 2" xfId="80"/>
    <cellStyle name="Good 3" xfId="46"/>
    <cellStyle name="Grey" xfId="47"/>
    <cellStyle name="Grey 2" xfId="131"/>
    <cellStyle name="Heading 1 2" xfId="76"/>
    <cellStyle name="Heading 1 3" xfId="48"/>
    <cellStyle name="Heading 1 4" xfId="318"/>
    <cellStyle name="Heading 2 2" xfId="75"/>
    <cellStyle name="Heading 2 2 2" xfId="321"/>
    <cellStyle name="Heading 2 3" xfId="49"/>
    <cellStyle name="Heading 2 4" xfId="319"/>
    <cellStyle name="Heading 3 2" xfId="78"/>
    <cellStyle name="Heading 3 3" xfId="50"/>
    <cellStyle name="Heading 4 2" xfId="79"/>
    <cellStyle name="Heading 4 3" xfId="51"/>
    <cellStyle name="Input [yellow]" xfId="53"/>
    <cellStyle name="Input [yellow] 2" xfId="132"/>
    <cellStyle name="Input 10" xfId="142"/>
    <cellStyle name="Input 11" xfId="219"/>
    <cellStyle name="Input 12" xfId="220"/>
    <cellStyle name="Input 2" xfId="83"/>
    <cellStyle name="Input 3" xfId="52"/>
    <cellStyle name="Input 4" xfId="144"/>
    <cellStyle name="Input 5" xfId="143"/>
    <cellStyle name="Input 6" xfId="145"/>
    <cellStyle name="Input 7" xfId="146"/>
    <cellStyle name="Input 8" xfId="147"/>
    <cellStyle name="Input 9" xfId="141"/>
    <cellStyle name="Linked Cell 2" xfId="86"/>
    <cellStyle name="Linked Cell 3" xfId="54"/>
    <cellStyle name="M" xfId="55"/>
    <cellStyle name="M.00" xfId="56"/>
    <cellStyle name="M_9. Rev2Cost_GDPIPI" xfId="133"/>
    <cellStyle name="M_lists" xfId="134"/>
    <cellStyle name="M_lists_4. Current Monthly Fixed Charge" xfId="135"/>
    <cellStyle name="M_Sheet4" xfId="136"/>
    <cellStyle name="Neutral 2" xfId="82"/>
    <cellStyle name="Neutral 3" xfId="57"/>
    <cellStyle name="Normal" xfId="0" builtinId="0"/>
    <cellStyle name="Normal - Style1" xfId="58"/>
    <cellStyle name="Normal 10" xfId="221"/>
    <cellStyle name="Normal 11" xfId="317"/>
    <cellStyle name="Normal 12" xfId="323"/>
    <cellStyle name="Normal 13" xfId="316"/>
    <cellStyle name="Normal 14" xfId="324"/>
    <cellStyle name="Normal 15" xfId="325"/>
    <cellStyle name="Normal 16" xfId="255"/>
    <cellStyle name="Normal 17" xfId="258"/>
    <cellStyle name="Normal 18" xfId="286"/>
    <cellStyle name="Normal 19" xfId="326"/>
    <cellStyle name="Normal 2" xfId="4"/>
    <cellStyle name="Normal 2 2" xfId="222"/>
    <cellStyle name="Normal 3" xfId="77"/>
    <cellStyle name="Normal 3 2" xfId="152"/>
    <cellStyle name="Normal 3 2 2" xfId="224"/>
    <cellStyle name="Normal 3 2 3" xfId="287"/>
    <cellStyle name="Normal 3 3" xfId="225"/>
    <cellStyle name="Normal 3 4" xfId="223"/>
    <cellStyle name="Normal 3 5" xfId="259"/>
    <cellStyle name="Normal 4" xfId="116"/>
    <cellStyle name="Normal 4 2" xfId="166"/>
    <cellStyle name="Normal 4 2 2" xfId="227"/>
    <cellStyle name="Normal 4 2 3" xfId="301"/>
    <cellStyle name="Normal 4 3" xfId="228"/>
    <cellStyle name="Normal 4 4" xfId="226"/>
    <cellStyle name="Normal 4 5" xfId="273"/>
    <cellStyle name="Normal 5" xfId="119"/>
    <cellStyle name="Normal 5 2" xfId="137"/>
    <cellStyle name="Normal 5 2 2" xfId="176"/>
    <cellStyle name="Normal 5 2 2 2" xfId="231"/>
    <cellStyle name="Normal 5 2 2 3" xfId="311"/>
    <cellStyle name="Normal 5 2 3" xfId="230"/>
    <cellStyle name="Normal 5 2 4" xfId="283"/>
    <cellStyle name="Normal 5 3" xfId="169"/>
    <cellStyle name="Normal 5 3 2" xfId="232"/>
    <cellStyle name="Normal 5 3 3" xfId="304"/>
    <cellStyle name="Normal 5 4" xfId="229"/>
    <cellStyle name="Normal 5 5" xfId="276"/>
    <cellStyle name="Normal 6" xfId="122"/>
    <cellStyle name="Normal 6 2" xfId="172"/>
    <cellStyle name="Normal 6 2 2" xfId="234"/>
    <cellStyle name="Normal 6 2 3" xfId="307"/>
    <cellStyle name="Normal 6 3" xfId="233"/>
    <cellStyle name="Normal 6 4" xfId="279"/>
    <cellStyle name="Normal 7" xfId="71"/>
    <cellStyle name="Normal 8" xfId="148"/>
    <cellStyle name="Normal 9" xfId="235"/>
    <cellStyle name="Normal_OEB Trial Balance - Regulatory-July24-07" xfId="59"/>
    <cellStyle name="Normal_Sheet2" xfId="60"/>
    <cellStyle name="Note 2" xfId="89"/>
    <cellStyle name="Note 2 2" xfId="153"/>
    <cellStyle name="Note 2 2 2" xfId="237"/>
    <cellStyle name="Note 2 2 3" xfId="288"/>
    <cellStyle name="Note 2 3" xfId="236"/>
    <cellStyle name="Note 2 4" xfId="260"/>
    <cellStyle name="Note 3" xfId="61"/>
    <cellStyle name="Note 4" xfId="238"/>
    <cellStyle name="Output 2" xfId="84"/>
    <cellStyle name="Output 3" xfId="62"/>
    <cellStyle name="Percent" xfId="2" builtinId="5"/>
    <cellStyle name="Percent [2]" xfId="63"/>
    <cellStyle name="Percent 10" xfId="239"/>
    <cellStyle name="Percent 11" xfId="240"/>
    <cellStyle name="Percent 2" xfId="13"/>
    <cellStyle name="Percent 2 2" xfId="118"/>
    <cellStyle name="Percent 2 2 2" xfId="168"/>
    <cellStyle name="Percent 2 2 2 2" xfId="242"/>
    <cellStyle name="Percent 2 2 2 3" xfId="303"/>
    <cellStyle name="Percent 2 2 3" xfId="241"/>
    <cellStyle name="Percent 2 2 4" xfId="275"/>
    <cellStyle name="Percent 2 3" xfId="151"/>
    <cellStyle name="Percent 2 4" xfId="243"/>
    <cellStyle name="Percent 3" xfId="121"/>
    <cellStyle name="Percent 3 2" xfId="139"/>
    <cellStyle name="Percent 3 2 2" xfId="178"/>
    <cellStyle name="Percent 3 2 2 2" xfId="246"/>
    <cellStyle name="Percent 3 2 2 3" xfId="313"/>
    <cellStyle name="Percent 3 2 3" xfId="245"/>
    <cellStyle name="Percent 3 2 4" xfId="285"/>
    <cellStyle name="Percent 3 3" xfId="171"/>
    <cellStyle name="Percent 3 3 2" xfId="247"/>
    <cellStyle name="Percent 3 3 3" xfId="306"/>
    <cellStyle name="Percent 3 4" xfId="244"/>
    <cellStyle name="Percent 3 5" xfId="278"/>
    <cellStyle name="Percent 4" xfId="123"/>
    <cellStyle name="Percent 4 2" xfId="173"/>
    <cellStyle name="Percent 4 2 2" xfId="249"/>
    <cellStyle name="Percent 4 2 3" xfId="308"/>
    <cellStyle name="Percent 4 3" xfId="248"/>
    <cellStyle name="Percent 4 4" xfId="280"/>
    <cellStyle name="Percent 5" xfId="250"/>
    <cellStyle name="Percent 6" xfId="251"/>
    <cellStyle name="Percent 7" xfId="252"/>
    <cellStyle name="Percent 8" xfId="253"/>
    <cellStyle name="Percent 9" xfId="254"/>
    <cellStyle name="Style 23" xfId="3"/>
    <cellStyle name="Style 23 2" xfId="149"/>
    <cellStyle name="STYLE1" xfId="64"/>
    <cellStyle name="STYLE2" xfId="65"/>
    <cellStyle name="STYLE4" xfId="66"/>
    <cellStyle name="Subtotal" xfId="67"/>
    <cellStyle name="Title 2" xfId="74"/>
    <cellStyle name="Title 3" xfId="68"/>
    <cellStyle name="Total 2" xfId="91"/>
    <cellStyle name="Total 3" xfId="69"/>
    <cellStyle name="Total 4" xfId="320"/>
    <cellStyle name="Warning Text 2" xfId="88"/>
    <cellStyle name="Warning Text 3" xfId="70"/>
  </cellStyles>
  <dxfs count="0"/>
  <tableStyles count="0" defaultTableStyle="TableStyleMedium2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CA"/>
              <a:t>Actual</a:t>
            </a:r>
            <a:r>
              <a:rPr lang="en-CA" baseline="0"/>
              <a:t> vs Predicted Purchases (Millions of kWhs)</a:t>
            </a:r>
            <a:endParaRPr lang="en-CA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514866861737973E-2"/>
          <c:y val="0.11216438888307852"/>
          <c:w val="0.76875995763687432"/>
          <c:h val="0.80633912544209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'Exhibit 3 Tables'!$E$156</c:f>
              <c:strCache>
                <c:ptCount val="1"/>
                <c:pt idx="0">
                  <c:v>Actual </c:v>
                </c:pt>
              </c:strCache>
            </c:strRef>
          </c:tx>
          <c:invertIfNegative val="0"/>
          <c:cat>
            <c:strRef>
              <c:f>'Exhibit 3 Tables'!$B$158:$B$169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2020 - Bridge</c:v>
                </c:pt>
                <c:pt idx="11">
                  <c:v>2021 - Test</c:v>
                </c:pt>
              </c:strCache>
            </c:strRef>
          </c:cat>
          <c:val>
            <c:numRef>
              <c:f>'Exhibit 3 Tables'!$E$158:$E$169</c:f>
              <c:numCache>
                <c:formatCode>#,##0.0</c:formatCode>
                <c:ptCount val="12"/>
                <c:pt idx="0">
                  <c:v>64.797090100000005</c:v>
                </c:pt>
                <c:pt idx="1">
                  <c:v>66.39818326132</c:v>
                </c:pt>
                <c:pt idx="2">
                  <c:v>63.284544894519996</c:v>
                </c:pt>
                <c:pt idx="3">
                  <c:v>63.602962210319994</c:v>
                </c:pt>
                <c:pt idx="4">
                  <c:v>65.352027278519998</c:v>
                </c:pt>
                <c:pt idx="5">
                  <c:v>61.104721271502576</c:v>
                </c:pt>
                <c:pt idx="6">
                  <c:v>59.794103869807422</c:v>
                </c:pt>
                <c:pt idx="7">
                  <c:v>59.491334831651997</c:v>
                </c:pt>
                <c:pt idx="8">
                  <c:v>61.810132542415701</c:v>
                </c:pt>
                <c:pt idx="9">
                  <c:v>62.050760909142859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8-462E-B10C-8EFAD50758A2}"/>
            </c:ext>
          </c:extLst>
        </c:ser>
        <c:ser>
          <c:idx val="1"/>
          <c:order val="1"/>
          <c:tx>
            <c:strRef>
              <c:f>'Exhibit 3 Tables'!$F$156</c:f>
              <c:strCache>
                <c:ptCount val="1"/>
                <c:pt idx="0">
                  <c:v>Predicted </c:v>
                </c:pt>
              </c:strCache>
            </c:strRef>
          </c:tx>
          <c:invertIfNegative val="0"/>
          <c:cat>
            <c:strRef>
              <c:f>'Exhibit 3 Tables'!$B$158:$B$169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2020 - Bridge</c:v>
                </c:pt>
                <c:pt idx="11">
                  <c:v>2021 - Test</c:v>
                </c:pt>
              </c:strCache>
            </c:strRef>
          </c:cat>
          <c:val>
            <c:numRef>
              <c:f>'Exhibit 3 Tables'!$F$158:$F$169</c:f>
              <c:numCache>
                <c:formatCode>#,##0.0</c:formatCode>
                <c:ptCount val="12"/>
                <c:pt idx="0">
                  <c:v>61.581067223135889</c:v>
                </c:pt>
                <c:pt idx="1">
                  <c:v>62.738096736301841</c:v>
                </c:pt>
                <c:pt idx="2">
                  <c:v>61.624254163418385</c:v>
                </c:pt>
                <c:pt idx="3">
                  <c:v>62.892003896134014</c:v>
                </c:pt>
                <c:pt idx="4">
                  <c:v>64.340113997318809</c:v>
                </c:pt>
                <c:pt idx="5">
                  <c:v>63.174013199874786</c:v>
                </c:pt>
                <c:pt idx="6">
                  <c:v>62.605890315318774</c:v>
                </c:pt>
                <c:pt idx="7">
                  <c:v>62.123262013241117</c:v>
                </c:pt>
                <c:pt idx="8">
                  <c:v>63.84509746661216</c:v>
                </c:pt>
                <c:pt idx="9">
                  <c:v>62.762062157844547</c:v>
                </c:pt>
                <c:pt idx="10">
                  <c:v>62.840765033346351</c:v>
                </c:pt>
                <c:pt idx="11">
                  <c:v>62.626608326223469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38-462E-B10C-8EFAD5075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830784"/>
        <c:axId val="267832320"/>
      </c:barChart>
      <c:catAx>
        <c:axId val="2678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7832320"/>
        <c:crosses val="autoZero"/>
        <c:auto val="1"/>
        <c:lblAlgn val="ctr"/>
        <c:lblOffset val="100"/>
        <c:noMultiLvlLbl val="0"/>
      </c:catAx>
      <c:valAx>
        <c:axId val="267832320"/>
        <c:scaling>
          <c:orientation val="minMax"/>
          <c:max val="80"/>
          <c:min val="0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267830784"/>
        <c:crosses val="autoZero"/>
        <c:crossBetween val="between"/>
        <c:majorUnit val="10"/>
        <c:minorUnit val="0.2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3</xdr:row>
      <xdr:rowOff>23812</xdr:rowOff>
    </xdr:from>
    <xdr:to>
      <xdr:col>10</xdr:col>
      <xdr:colOff>504824</xdr:colOff>
      <xdr:row>26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g/Desktop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Calhoun/Local%20Settings/Temporary%20Internet%20Files/Content.Outlook/EIW673TU/Documents%20and%20Settings/dferraro/Local%20Settings/Temporary%20Internet%20Files/OLKB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bbacon\My%20Documents\Orillia\2010%20Rates\2010%20Rate%20File%20-%20July%202,%202009\Documents%20and%20Settings\mmaw\Local%20Settings\Temporary%20Internet%20Files\OLKBC\Exhibit%203%20Distribution%20Revenue%20Throughputs%20-%20Blank.xls?9891282D" TargetMode="External"/><Relationship Id="rId1" Type="http://schemas.openxmlformats.org/officeDocument/2006/relationships/externalLinkPath" Target="file:///\\9891282D\Exhibit%203%20Distribution%20Revenue%20Throughputs%20-%20Bla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comments" Target="../comments7.xml"/><Relationship Id="rId5" Type="http://schemas.openxmlformats.org/officeDocument/2006/relationships/vmlDrawing" Target="../drawings/vmlDrawing7.vml"/><Relationship Id="rId4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comments" Target="../comments8.xml"/><Relationship Id="rId5" Type="http://schemas.openxmlformats.org/officeDocument/2006/relationships/vmlDrawing" Target="../drawings/vmlDrawing8.vml"/><Relationship Id="rId4" Type="http://schemas.openxmlformats.org/officeDocument/2006/relationships/printerSettings" Target="../printerSettings/printerSettings3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2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714"/>
  <sheetViews>
    <sheetView tabSelected="1" topLeftCell="A639" zoomScale="85" zoomScaleNormal="85" workbookViewId="0">
      <selection activeCell="G653" sqref="G653"/>
    </sheetView>
  </sheetViews>
  <sheetFormatPr defaultColWidth="9.08984375" defaultRowHeight="12.5" x14ac:dyDescent="0.25"/>
  <cols>
    <col min="1" max="1" width="1.6328125" style="165" customWidth="1"/>
    <col min="2" max="2" width="40.453125" style="165" customWidth="1"/>
    <col min="3" max="3" width="16.1796875" style="165" hidden="1" customWidth="1"/>
    <col min="4" max="4" width="15.08984375" style="165" customWidth="1"/>
    <col min="5" max="5" width="16.1796875" style="165" customWidth="1"/>
    <col min="6" max="6" width="17.90625" style="165" customWidth="1"/>
    <col min="7" max="7" width="15.6328125" style="165" customWidth="1"/>
    <col min="8" max="8" width="21" style="165" customWidth="1"/>
    <col min="9" max="9" width="18.453125" style="165" bestFit="1" customWidth="1"/>
    <col min="10" max="10" width="17.6328125" style="165" customWidth="1"/>
    <col min="11" max="11" width="16.453125" style="165" bestFit="1" customWidth="1"/>
    <col min="12" max="12" width="15.6328125" style="165" customWidth="1"/>
    <col min="13" max="13" width="17.6328125" style="165" customWidth="1"/>
    <col min="14" max="16" width="15.6328125" style="165" customWidth="1"/>
    <col min="17" max="17" width="14" style="165" bestFit="1" customWidth="1"/>
    <col min="18" max="18" width="12.6328125" style="165" bestFit="1" customWidth="1"/>
    <col min="19" max="19" width="13.6328125" style="165" customWidth="1"/>
    <col min="20" max="20" width="12.90625" style="165" customWidth="1"/>
    <col min="21" max="21" width="13.453125" style="165" bestFit="1" customWidth="1"/>
    <col min="22" max="22" width="13.54296875" style="165" bestFit="1" customWidth="1"/>
    <col min="23" max="23" width="12.08984375" style="165" customWidth="1"/>
    <col min="24" max="16384" width="9.08984375" style="165"/>
  </cols>
  <sheetData>
    <row r="1" spans="2:24" ht="19" thickBot="1" x14ac:dyDescent="0.5">
      <c r="B1" s="404" t="s">
        <v>209</v>
      </c>
      <c r="C1" s="405"/>
      <c r="D1" s="405"/>
      <c r="E1" s="405"/>
      <c r="F1" s="405"/>
      <c r="G1" s="405"/>
      <c r="H1" s="405"/>
      <c r="I1" s="405"/>
      <c r="J1" s="405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</row>
    <row r="2" spans="2:24" ht="62" x14ac:dyDescent="0.35">
      <c r="B2" s="406" t="s">
        <v>210</v>
      </c>
      <c r="C2" s="407" t="s">
        <v>211</v>
      </c>
      <c r="D2" s="407" t="s">
        <v>170</v>
      </c>
      <c r="E2" s="407" t="s">
        <v>171</v>
      </c>
      <c r="F2" s="407" t="s">
        <v>158</v>
      </c>
      <c r="G2" s="426" t="s">
        <v>206</v>
      </c>
      <c r="H2" s="426" t="s">
        <v>207</v>
      </c>
      <c r="I2" s="426" t="s">
        <v>271</v>
      </c>
      <c r="J2" s="426"/>
      <c r="K2" s="426" t="s">
        <v>272</v>
      </c>
      <c r="L2" s="426" t="s">
        <v>273</v>
      </c>
      <c r="M2" s="407" t="s">
        <v>281</v>
      </c>
      <c r="N2" s="427" t="s">
        <v>282</v>
      </c>
      <c r="O2" s="431" t="s">
        <v>283</v>
      </c>
      <c r="P2" s="403"/>
      <c r="Q2" s="403"/>
      <c r="R2" s="403"/>
      <c r="S2" s="403"/>
      <c r="T2" s="403"/>
      <c r="U2" s="403"/>
    </row>
    <row r="3" spans="2:24" ht="15.5" x14ac:dyDescent="0.35">
      <c r="B3" s="410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28"/>
      <c r="O3" s="412"/>
      <c r="P3" s="403"/>
      <c r="Q3" s="403"/>
      <c r="R3" s="403"/>
      <c r="S3" s="403"/>
      <c r="T3" s="403"/>
      <c r="U3" s="403"/>
    </row>
    <row r="4" spans="2:24" ht="15.5" x14ac:dyDescent="0.35">
      <c r="B4" s="413" t="s">
        <v>213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4"/>
      <c r="N4" s="428"/>
      <c r="O4" s="412"/>
      <c r="P4" s="403"/>
      <c r="Q4" s="403"/>
      <c r="R4" s="403"/>
      <c r="S4" s="403"/>
      <c r="T4" s="403"/>
      <c r="U4" s="403"/>
    </row>
    <row r="5" spans="2:24" ht="15.5" x14ac:dyDescent="0.35">
      <c r="B5" s="410" t="s">
        <v>103</v>
      </c>
      <c r="C5" s="415">
        <v>999289</v>
      </c>
      <c r="D5" s="415">
        <v>875286.54</v>
      </c>
      <c r="E5" s="415">
        <v>1154071.05</v>
      </c>
      <c r="F5" s="415">
        <v>1216394.6100000001</v>
      </c>
      <c r="G5" s="415">
        <v>1098835.22</v>
      </c>
      <c r="H5" s="415">
        <v>1019616.13</v>
      </c>
      <c r="I5" s="415">
        <v>973235.63000000012</v>
      </c>
      <c r="J5" s="415"/>
      <c r="K5" s="415">
        <v>1026251.47</v>
      </c>
      <c r="L5" s="415">
        <v>1026294.77</v>
      </c>
      <c r="M5" s="430">
        <f>Summary!O16</f>
        <v>1046478.7795121447</v>
      </c>
      <c r="N5" s="429">
        <f>Summary!U16</f>
        <v>1046199.159640357</v>
      </c>
      <c r="O5" s="416">
        <v>1381388.039026889</v>
      </c>
      <c r="P5" s="403"/>
      <c r="Q5" s="403"/>
      <c r="R5" s="403"/>
      <c r="S5" s="403"/>
      <c r="T5" s="403"/>
      <c r="U5" s="403"/>
    </row>
    <row r="6" spans="2:24" ht="15.5" x14ac:dyDescent="0.35">
      <c r="B6" s="410" t="s">
        <v>97</v>
      </c>
      <c r="C6" s="415">
        <v>349008</v>
      </c>
      <c r="D6" s="415">
        <v>345853.98</v>
      </c>
      <c r="E6" s="415">
        <v>420112.08</v>
      </c>
      <c r="F6" s="415">
        <v>327877.33</v>
      </c>
      <c r="G6" s="415">
        <v>330317.76</v>
      </c>
      <c r="H6" s="415">
        <v>327422.07</v>
      </c>
      <c r="I6" s="415">
        <v>327070.88</v>
      </c>
      <c r="J6" s="415"/>
      <c r="K6" s="415">
        <v>317075.75</v>
      </c>
      <c r="L6" s="415">
        <v>329967.56</v>
      </c>
      <c r="M6" s="415">
        <f>Summary!O20</f>
        <v>328426.61435385712</v>
      </c>
      <c r="N6" s="429">
        <f>Summary!U20</f>
        <v>322631.79255425127</v>
      </c>
      <c r="O6" s="416">
        <v>412128.97487291484</v>
      </c>
      <c r="P6" s="403"/>
      <c r="Q6" s="403"/>
      <c r="R6" s="403"/>
      <c r="S6" s="403"/>
      <c r="T6" s="403"/>
      <c r="U6" s="403"/>
    </row>
    <row r="7" spans="2:24" ht="15.5" x14ac:dyDescent="0.35">
      <c r="B7" s="410" t="s">
        <v>214</v>
      </c>
      <c r="C7" s="415">
        <f>211468+11512</f>
        <v>222980</v>
      </c>
      <c r="D7" s="415">
        <v>186096.4</v>
      </c>
      <c r="E7" s="415">
        <v>238049.09</v>
      </c>
      <c r="F7" s="415">
        <v>244357.03</v>
      </c>
      <c r="G7" s="423">
        <v>224278.35</v>
      </c>
      <c r="H7" s="423">
        <v>224257.41999999998</v>
      </c>
      <c r="I7" s="423">
        <v>217052.09000000003</v>
      </c>
      <c r="J7" s="423"/>
      <c r="K7" s="423">
        <v>211545.08</v>
      </c>
      <c r="L7" s="423">
        <v>206720.09000000003</v>
      </c>
      <c r="M7" s="415">
        <f>Summary!O25</f>
        <v>213972.02745347912</v>
      </c>
      <c r="N7" s="429">
        <f>Summary!U25</f>
        <v>217041.1865189746</v>
      </c>
      <c r="O7" s="416">
        <v>245331.59928170056</v>
      </c>
      <c r="P7" s="403"/>
      <c r="Q7" s="403"/>
      <c r="R7" s="403"/>
      <c r="S7" s="403"/>
      <c r="T7" s="403"/>
      <c r="U7" s="403"/>
    </row>
    <row r="8" spans="2:24" ht="15.5" x14ac:dyDescent="0.35">
      <c r="B8" s="410" t="s">
        <v>120</v>
      </c>
      <c r="C8" s="415">
        <v>1748</v>
      </c>
      <c r="D8" s="415">
        <v>1245.51</v>
      </c>
      <c r="E8" s="415">
        <v>2121.9499999999998</v>
      </c>
      <c r="F8" s="415">
        <v>1993.71</v>
      </c>
      <c r="G8" s="415">
        <v>1938.13</v>
      </c>
      <c r="H8" s="415">
        <v>2010.9</v>
      </c>
      <c r="I8" s="415">
        <v>1998.72</v>
      </c>
      <c r="J8" s="415"/>
      <c r="K8" s="415">
        <v>1991.64</v>
      </c>
      <c r="L8" s="415">
        <v>1991.64</v>
      </c>
      <c r="M8" s="415">
        <f>Summary!O30</f>
        <v>1802.3091403224505</v>
      </c>
      <c r="N8" s="429">
        <f>Summary!U30</f>
        <v>1804.8221787275393</v>
      </c>
      <c r="O8" s="416">
        <v>2869.2145291562197</v>
      </c>
      <c r="P8" s="403"/>
      <c r="Q8" s="403"/>
      <c r="R8" s="403"/>
      <c r="S8" s="403"/>
      <c r="T8" s="403"/>
      <c r="U8" s="403"/>
    </row>
    <row r="9" spans="2:24" ht="15.5" x14ac:dyDescent="0.35">
      <c r="B9" s="410" t="s">
        <v>119</v>
      </c>
      <c r="C9" s="415">
        <v>67007</v>
      </c>
      <c r="D9" s="415">
        <v>49587.6</v>
      </c>
      <c r="E9" s="415">
        <v>72796.899999999994</v>
      </c>
      <c r="F9" s="415">
        <v>73252.820000000007</v>
      </c>
      <c r="G9" s="415">
        <v>56895.199999999997</v>
      </c>
      <c r="H9" s="415">
        <v>52999.16</v>
      </c>
      <c r="I9" s="415">
        <v>53023.199999999997</v>
      </c>
      <c r="J9" s="415"/>
      <c r="K9" s="415">
        <v>52946.55</v>
      </c>
      <c r="L9" s="415">
        <v>52944.36</v>
      </c>
      <c r="M9" s="415">
        <f>Summary!O35</f>
        <v>35632.985999999961</v>
      </c>
      <c r="N9" s="429">
        <f>Summary!U35</f>
        <v>35632.985999999961</v>
      </c>
      <c r="O9" s="416">
        <v>23028.766190677736</v>
      </c>
      <c r="P9" s="403"/>
      <c r="Q9" s="403"/>
      <c r="R9" s="403"/>
      <c r="S9" s="403"/>
      <c r="T9" s="403"/>
      <c r="U9" s="403"/>
    </row>
    <row r="10" spans="2:24" ht="16" thickBot="1" x14ac:dyDescent="0.4">
      <c r="B10" s="410" t="s">
        <v>215</v>
      </c>
      <c r="C10" s="415">
        <v>7784</v>
      </c>
      <c r="D10" s="415">
        <v>3310.17</v>
      </c>
      <c r="E10" s="415">
        <v>4350.22</v>
      </c>
      <c r="F10" s="415">
        <v>5668.01</v>
      </c>
      <c r="G10" s="423">
        <v>5434.39</v>
      </c>
      <c r="H10" s="423">
        <v>5463.98</v>
      </c>
      <c r="I10" s="423">
        <v>5464.08</v>
      </c>
      <c r="J10" s="423"/>
      <c r="K10" s="423">
        <v>5464.08</v>
      </c>
      <c r="L10" s="423">
        <v>5464.08</v>
      </c>
      <c r="M10" s="415">
        <f>Summary!O39</f>
        <v>4963.0699915487976</v>
      </c>
      <c r="N10" s="429">
        <f>Summary!U39</f>
        <v>4897.8845018943521</v>
      </c>
      <c r="O10" s="416">
        <v>6256.544302181137</v>
      </c>
      <c r="P10" s="403"/>
      <c r="Q10" s="403"/>
      <c r="R10" s="403"/>
      <c r="S10" s="403"/>
      <c r="T10" s="403"/>
      <c r="U10" s="403"/>
    </row>
    <row r="11" spans="2:24" ht="16" thickBot="1" x14ac:dyDescent="0.4">
      <c r="B11" s="417" t="s">
        <v>168</v>
      </c>
      <c r="C11" s="408">
        <f>SUM(C5:C10)</f>
        <v>1647816</v>
      </c>
      <c r="D11" s="408">
        <f>SUM(D5:D10)</f>
        <v>1461380.2</v>
      </c>
      <c r="E11" s="408">
        <f t="shared" ref="E11:M11" si="0">SUM(E5:E10)</f>
        <v>1891501.29</v>
      </c>
      <c r="F11" s="408">
        <f t="shared" si="0"/>
        <v>1869543.5100000002</v>
      </c>
      <c r="G11" s="408">
        <f t="shared" si="0"/>
        <v>1717699.0499999998</v>
      </c>
      <c r="H11" s="408">
        <f t="shared" si="0"/>
        <v>1631769.6599999997</v>
      </c>
      <c r="I11" s="408">
        <f t="shared" si="0"/>
        <v>1577844.6000000003</v>
      </c>
      <c r="J11" s="408"/>
      <c r="K11" s="408">
        <f t="shared" si="0"/>
        <v>1615274.57</v>
      </c>
      <c r="L11" s="408">
        <f t="shared" si="0"/>
        <v>1623382.5000000002</v>
      </c>
      <c r="M11" s="408">
        <f t="shared" si="0"/>
        <v>1631275.7864513523</v>
      </c>
      <c r="N11" s="418">
        <f t="shared" ref="N11" si="1">SUM(N5:N10)</f>
        <v>1628207.8313942046</v>
      </c>
      <c r="O11" s="662">
        <f>SUM(O5:O10)</f>
        <v>2071003.1382035194</v>
      </c>
      <c r="P11" s="403"/>
      <c r="Q11" s="667"/>
      <c r="R11" s="403"/>
      <c r="S11" s="403"/>
      <c r="T11" s="403"/>
      <c r="U11" s="403"/>
    </row>
    <row r="12" spans="2:24" ht="15.5" x14ac:dyDescent="0.35">
      <c r="B12" s="507"/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29"/>
      <c r="O12" s="663"/>
      <c r="P12" s="403"/>
      <c r="Q12" s="403"/>
      <c r="R12" s="403"/>
      <c r="S12" s="403"/>
      <c r="T12" s="403"/>
      <c r="U12" s="403"/>
    </row>
    <row r="13" spans="2:24" ht="15.5" x14ac:dyDescent="0.35">
      <c r="B13" s="410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29"/>
      <c r="O13" s="663"/>
      <c r="P13" s="403"/>
      <c r="Q13" s="403"/>
      <c r="R13" s="403"/>
      <c r="S13" s="403"/>
      <c r="T13" s="403"/>
      <c r="U13" s="403"/>
    </row>
    <row r="14" spans="2:24" ht="15.5" x14ac:dyDescent="0.35">
      <c r="B14" s="413" t="s">
        <v>172</v>
      </c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29"/>
      <c r="O14" s="663"/>
      <c r="Q14" s="403"/>
      <c r="R14" s="403"/>
      <c r="S14" s="403"/>
      <c r="T14" s="403"/>
      <c r="U14" s="403"/>
      <c r="V14" s="403"/>
      <c r="W14" s="403"/>
      <c r="X14" s="403"/>
    </row>
    <row r="15" spans="2:24" ht="15.5" x14ac:dyDescent="0.35">
      <c r="B15" s="507" t="s">
        <v>286</v>
      </c>
      <c r="C15" s="415">
        <f>8400+2500</f>
        <v>10900</v>
      </c>
      <c r="D15" s="415">
        <v>12342.26</v>
      </c>
      <c r="E15" s="415">
        <v>12412.29</v>
      </c>
      <c r="F15" s="415">
        <v>10912.25</v>
      </c>
      <c r="G15" s="415">
        <v>10256.75</v>
      </c>
      <c r="H15" s="415">
        <v>10371.51</v>
      </c>
      <c r="I15" s="415">
        <v>10417.5</v>
      </c>
      <c r="J15" s="415"/>
      <c r="K15" s="415">
        <v>10542.75</v>
      </c>
      <c r="L15" s="415">
        <v>10598.25</v>
      </c>
      <c r="M15" s="415">
        <v>10500</v>
      </c>
      <c r="N15" s="429">
        <f>O15</f>
        <v>10500</v>
      </c>
      <c r="O15" s="663">
        <v>10500</v>
      </c>
      <c r="Q15" s="403"/>
      <c r="R15" s="403"/>
      <c r="S15" s="403"/>
      <c r="T15" s="403"/>
      <c r="U15" s="403"/>
      <c r="V15" s="403"/>
      <c r="W15" s="403"/>
      <c r="X15" s="403"/>
    </row>
    <row r="16" spans="2:24" ht="15.5" x14ac:dyDescent="0.35">
      <c r="B16" s="410" t="s">
        <v>191</v>
      </c>
      <c r="C16" s="415">
        <v>16700</v>
      </c>
      <c r="D16" s="415">
        <v>6421</v>
      </c>
      <c r="E16" s="415">
        <v>15411</v>
      </c>
      <c r="F16" s="415">
        <v>19622</v>
      </c>
      <c r="G16" s="415">
        <v>23594</v>
      </c>
      <c r="H16" s="415">
        <v>12688</v>
      </c>
      <c r="I16" s="415">
        <v>11050</v>
      </c>
      <c r="J16" s="415"/>
      <c r="K16" s="415">
        <v>10071</v>
      </c>
      <c r="L16" s="415">
        <v>11797</v>
      </c>
      <c r="M16" s="415">
        <v>12000</v>
      </c>
      <c r="N16" s="429">
        <f t="shared" ref="N16:N19" si="2">O16</f>
        <v>10000</v>
      </c>
      <c r="O16" s="663">
        <v>10000</v>
      </c>
      <c r="Q16" s="403"/>
      <c r="R16" s="403"/>
      <c r="S16" s="424"/>
      <c r="T16" s="424"/>
      <c r="U16" s="424"/>
      <c r="V16" s="424"/>
      <c r="W16" s="424"/>
      <c r="X16" s="424"/>
    </row>
    <row r="17" spans="2:24" ht="15.5" x14ac:dyDescent="0.35">
      <c r="B17" s="410" t="s">
        <v>193</v>
      </c>
      <c r="C17" s="415">
        <v>68500</v>
      </c>
      <c r="D17" s="415">
        <v>68517</v>
      </c>
      <c r="E17" s="415">
        <v>74156</v>
      </c>
      <c r="F17" s="415">
        <v>64048</v>
      </c>
      <c r="G17" s="415">
        <v>39562</v>
      </c>
      <c r="H17" s="415">
        <v>39350</v>
      </c>
      <c r="I17" s="415">
        <v>37568</v>
      </c>
      <c r="J17" s="415"/>
      <c r="K17" s="415">
        <v>33631</v>
      </c>
      <c r="L17" s="415">
        <v>35872</v>
      </c>
      <c r="M17" s="415">
        <v>15050</v>
      </c>
      <c r="N17" s="429">
        <f t="shared" si="2"/>
        <v>15050</v>
      </c>
      <c r="O17" s="663">
        <v>15050</v>
      </c>
      <c r="Q17" s="403"/>
      <c r="R17" s="403"/>
      <c r="S17" s="424"/>
      <c r="T17" s="424"/>
      <c r="U17" s="424"/>
      <c r="V17" s="424"/>
      <c r="W17" s="424"/>
      <c r="X17" s="424"/>
    </row>
    <row r="18" spans="2:24" ht="15.5" x14ac:dyDescent="0.35">
      <c r="B18" s="410" t="s">
        <v>216</v>
      </c>
      <c r="C18" s="415">
        <f>38000</f>
        <v>38000</v>
      </c>
      <c r="D18" s="415">
        <v>44765</v>
      </c>
      <c r="E18" s="415">
        <v>46109</v>
      </c>
      <c r="F18" s="415">
        <v>44366</v>
      </c>
      <c r="G18" s="415">
        <v>44167</v>
      </c>
      <c r="H18" s="415">
        <v>45311</v>
      </c>
      <c r="I18" s="415">
        <f>12.5+38440.75+5356.8</f>
        <v>43810.05</v>
      </c>
      <c r="J18" s="415"/>
      <c r="K18" s="415">
        <f>54847-10543</f>
        <v>44304</v>
      </c>
      <c r="L18" s="415">
        <f>58123-10598</f>
        <v>47525</v>
      </c>
      <c r="M18" s="415">
        <f>48736+38</f>
        <v>48774</v>
      </c>
      <c r="N18" s="429">
        <f t="shared" si="2"/>
        <v>95866</v>
      </c>
      <c r="O18" s="663">
        <f>86756+7900+10+1200</f>
        <v>95866</v>
      </c>
      <c r="Q18" s="403"/>
      <c r="R18" s="403"/>
      <c r="S18" s="424"/>
      <c r="T18" s="424"/>
      <c r="U18" s="424"/>
      <c r="V18" s="424"/>
      <c r="W18" s="424"/>
      <c r="X18" s="424"/>
    </row>
    <row r="19" spans="2:24" ht="16" thickBot="1" x14ac:dyDescent="0.4">
      <c r="B19" s="419" t="s">
        <v>217</v>
      </c>
      <c r="C19" s="420">
        <f>9289-990</f>
        <v>8299</v>
      </c>
      <c r="D19" s="420">
        <v>19665</v>
      </c>
      <c r="E19" s="420">
        <v>13274</v>
      </c>
      <c r="F19" s="420">
        <v>15790</v>
      </c>
      <c r="G19" s="420">
        <v>6471</v>
      </c>
      <c r="H19" s="420">
        <v>7151</v>
      </c>
      <c r="I19" s="420">
        <f>4557.29+1430.07+2213.65+13553.25-12952.05+1327.43+35378.16</f>
        <v>45507.8</v>
      </c>
      <c r="J19" s="420"/>
      <c r="K19" s="420">
        <f>67595+4479</f>
        <v>72074</v>
      </c>
      <c r="L19" s="420">
        <f>124075+4498.81+99</f>
        <v>128672.81</v>
      </c>
      <c r="M19" s="420">
        <v>70000</v>
      </c>
      <c r="N19" s="429">
        <f t="shared" si="2"/>
        <v>70000</v>
      </c>
      <c r="O19" s="664">
        <v>70000</v>
      </c>
      <c r="Q19" s="403"/>
      <c r="R19" s="403"/>
      <c r="S19" s="424"/>
      <c r="T19" s="424"/>
      <c r="U19" s="424"/>
      <c r="V19" s="424"/>
      <c r="W19" s="424"/>
      <c r="X19" s="424"/>
    </row>
    <row r="20" spans="2:24" ht="16" thickBot="1" x14ac:dyDescent="0.4">
      <c r="B20" s="417" t="s">
        <v>172</v>
      </c>
      <c r="C20" s="408">
        <f>SUM(C15:C19)</f>
        <v>142399</v>
      </c>
      <c r="D20" s="408">
        <f t="shared" ref="D20:N20" si="3">SUM(D15:D19)</f>
        <v>151710.26</v>
      </c>
      <c r="E20" s="408">
        <f t="shared" si="3"/>
        <v>161362.29</v>
      </c>
      <c r="F20" s="408">
        <f t="shared" si="3"/>
        <v>154738.25</v>
      </c>
      <c r="G20" s="408">
        <f t="shared" si="3"/>
        <v>124050.75</v>
      </c>
      <c r="H20" s="408">
        <f t="shared" si="3"/>
        <v>114871.51000000001</v>
      </c>
      <c r="I20" s="408">
        <f t="shared" si="3"/>
        <v>148353.35</v>
      </c>
      <c r="J20" s="408"/>
      <c r="K20" s="408">
        <f t="shared" si="3"/>
        <v>170622.75</v>
      </c>
      <c r="L20" s="408">
        <f t="shared" si="3"/>
        <v>234465.06</v>
      </c>
      <c r="M20" s="408">
        <f t="shared" si="3"/>
        <v>156324</v>
      </c>
      <c r="N20" s="408">
        <f t="shared" si="3"/>
        <v>201416</v>
      </c>
      <c r="O20" s="662">
        <f>SUM(O15:O19)</f>
        <v>201416</v>
      </c>
      <c r="Q20" s="403"/>
      <c r="R20" s="403"/>
      <c r="S20" s="425"/>
      <c r="T20" s="424"/>
      <c r="U20" s="424"/>
      <c r="V20" s="424"/>
      <c r="W20" s="424"/>
      <c r="X20" s="424"/>
    </row>
    <row r="21" spans="2:24" ht="16" thickBot="1" x14ac:dyDescent="0.4">
      <c r="B21" s="421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2"/>
      <c r="O21" s="665"/>
      <c r="P21" s="403"/>
      <c r="Q21" s="403"/>
      <c r="R21" s="403"/>
      <c r="S21" s="403"/>
      <c r="T21" s="403"/>
      <c r="U21" s="403"/>
    </row>
    <row r="22" spans="2:24" ht="16" thickBot="1" x14ac:dyDescent="0.4">
      <c r="B22" s="409" t="s">
        <v>218</v>
      </c>
      <c r="C22" s="408">
        <f>C20+C11</f>
        <v>1790215</v>
      </c>
      <c r="D22" s="408">
        <f t="shared" ref="D22:O22" si="4">D20+D11</f>
        <v>1613090.46</v>
      </c>
      <c r="E22" s="408">
        <f t="shared" si="4"/>
        <v>2052863.58</v>
      </c>
      <c r="F22" s="408">
        <f t="shared" si="4"/>
        <v>2024281.7600000002</v>
      </c>
      <c r="G22" s="408">
        <f t="shared" si="4"/>
        <v>1841749.7999999998</v>
      </c>
      <c r="H22" s="408">
        <f t="shared" si="4"/>
        <v>1746641.1699999997</v>
      </c>
      <c r="I22" s="408">
        <f t="shared" si="4"/>
        <v>1726197.9500000004</v>
      </c>
      <c r="J22" s="408"/>
      <c r="K22" s="408">
        <f t="shared" si="4"/>
        <v>1785897.32</v>
      </c>
      <c r="L22" s="408">
        <f t="shared" si="4"/>
        <v>1857847.5600000003</v>
      </c>
      <c r="M22" s="408">
        <f t="shared" si="4"/>
        <v>1787599.7864513523</v>
      </c>
      <c r="N22" s="408">
        <f t="shared" si="4"/>
        <v>1829623.8313942046</v>
      </c>
      <c r="O22" s="666">
        <f t="shared" si="4"/>
        <v>2272419.1382035194</v>
      </c>
      <c r="P22" s="403"/>
      <c r="Q22" s="667"/>
      <c r="R22" s="403"/>
      <c r="S22" s="403"/>
      <c r="T22" s="403"/>
      <c r="U22" s="403"/>
    </row>
    <row r="23" spans="2:24" x14ac:dyDescent="0.25">
      <c r="C23" s="508"/>
    </row>
    <row r="25" spans="2:24" x14ac:dyDescent="0.25">
      <c r="D25" s="508"/>
      <c r="E25" s="508"/>
      <c r="F25" s="508"/>
      <c r="G25" s="508"/>
      <c r="H25" s="508"/>
    </row>
    <row r="26" spans="2:24" ht="18" x14ac:dyDescent="0.25">
      <c r="B26" s="212" t="s">
        <v>181</v>
      </c>
      <c r="C26" s="166"/>
      <c r="D26" s="166"/>
      <c r="E26" s="164"/>
      <c r="F26" s="164"/>
      <c r="G26" s="164"/>
      <c r="H26" s="164"/>
      <c r="I26" s="164"/>
      <c r="J26" s="164"/>
      <c r="K26" s="164"/>
    </row>
    <row r="27" spans="2:24" ht="6.75" customHeight="1" x14ac:dyDescent="0.25"/>
    <row r="28" spans="2:24" ht="66.75" customHeight="1" x14ac:dyDescent="0.25">
      <c r="B28" s="376" t="s">
        <v>110</v>
      </c>
      <c r="C28" s="368"/>
      <c r="D28" s="368"/>
      <c r="E28" s="193" t="s">
        <v>111</v>
      </c>
      <c r="F28" s="193" t="s">
        <v>112</v>
      </c>
      <c r="G28" s="193" t="s">
        <v>113</v>
      </c>
      <c r="H28" s="193" t="s">
        <v>114</v>
      </c>
      <c r="I28" s="193" t="s">
        <v>115</v>
      </c>
      <c r="J28" s="193"/>
      <c r="K28" s="193" t="s">
        <v>116</v>
      </c>
      <c r="O28" s="508"/>
    </row>
    <row r="29" spans="2:24" ht="18" x14ac:dyDescent="0.25">
      <c r="B29" s="373" t="s">
        <v>117</v>
      </c>
      <c r="C29" s="195"/>
      <c r="D29" s="374"/>
      <c r="E29" s="374"/>
      <c r="F29" s="374"/>
      <c r="G29" s="374"/>
      <c r="H29" s="374"/>
      <c r="I29" s="374"/>
      <c r="J29" s="374"/>
      <c r="K29" s="375"/>
    </row>
    <row r="30" spans="2:24" ht="17.5" x14ac:dyDescent="0.25">
      <c r="B30" s="366"/>
      <c r="C30" s="367"/>
      <c r="D30" s="367"/>
      <c r="E30" s="200"/>
      <c r="F30" s="201"/>
      <c r="G30" s="202"/>
      <c r="H30" s="203"/>
      <c r="I30" s="201"/>
      <c r="J30" s="201"/>
      <c r="K30" s="202"/>
    </row>
    <row r="31" spans="2:24" ht="17.5" x14ac:dyDescent="0.25">
      <c r="B31" s="366" t="s">
        <v>164</v>
      </c>
      <c r="C31" s="367"/>
      <c r="D31" s="367"/>
      <c r="E31" s="204">
        <f>62249997/1000000</f>
        <v>62.249997</v>
      </c>
      <c r="F31" s="205"/>
      <c r="G31" s="206"/>
      <c r="H31" s="203">
        <v>4410</v>
      </c>
      <c r="I31" s="207"/>
      <c r="J31" s="207"/>
      <c r="K31" s="206"/>
    </row>
    <row r="32" spans="2:24" ht="17.5" x14ac:dyDescent="0.25">
      <c r="B32" s="366"/>
      <c r="C32" s="367"/>
      <c r="D32" s="367"/>
      <c r="E32" s="204"/>
      <c r="F32" s="205"/>
      <c r="G32" s="206"/>
      <c r="H32" s="203"/>
      <c r="I32" s="201"/>
      <c r="J32" s="201"/>
      <c r="K32" s="206"/>
    </row>
    <row r="33" spans="2:11" ht="17.5" x14ac:dyDescent="0.25">
      <c r="B33" s="209" t="s">
        <v>72</v>
      </c>
      <c r="C33" s="367"/>
      <c r="D33" s="367"/>
      <c r="E33" s="204">
        <f>Summary!B$10/1000000</f>
        <v>60.770606000000001</v>
      </c>
      <c r="F33" s="208"/>
      <c r="G33" s="206"/>
      <c r="H33" s="207">
        <f>Summary!B$41</f>
        <v>4392</v>
      </c>
      <c r="I33" s="208"/>
      <c r="J33" s="208"/>
      <c r="K33" s="206"/>
    </row>
    <row r="34" spans="2:11" ht="17.5" x14ac:dyDescent="0.25">
      <c r="B34" s="209" t="s">
        <v>73</v>
      </c>
      <c r="C34" s="367"/>
      <c r="D34" s="367"/>
      <c r="E34" s="204">
        <f>Summary!C$10/1000000</f>
        <v>61.388101749999997</v>
      </c>
      <c r="F34" s="208">
        <f>E34-E33</f>
        <v>0.61749574999999624</v>
      </c>
      <c r="G34" s="206">
        <f>F34/E33</f>
        <v>1.0161092518972022E-2</v>
      </c>
      <c r="H34" s="207">
        <f>Summary!C$41</f>
        <v>4392</v>
      </c>
      <c r="I34" s="208">
        <f>H34-H33</f>
        <v>0</v>
      </c>
      <c r="J34" s="208"/>
      <c r="K34" s="206">
        <f t="shared" ref="K34:K44" si="5">I34/H33</f>
        <v>0</v>
      </c>
    </row>
    <row r="35" spans="2:11" ht="17.5" x14ac:dyDescent="0.25">
      <c r="B35" s="209" t="s">
        <v>74</v>
      </c>
      <c r="C35" s="367"/>
      <c r="D35" s="367"/>
      <c r="E35" s="204">
        <f>Summary!D$10/1000000</f>
        <v>60.305436</v>
      </c>
      <c r="F35" s="208">
        <f t="shared" ref="F35:F44" si="6">E35-E34</f>
        <v>-1.0826657499999968</v>
      </c>
      <c r="G35" s="206">
        <f t="shared" ref="G35:G44" si="7">F35/E34</f>
        <v>-1.7636410299981246E-2</v>
      </c>
      <c r="H35" s="207">
        <f>Summary!D$41</f>
        <v>4383</v>
      </c>
      <c r="I35" s="208">
        <f t="shared" ref="I35:I44" si="8">H35-H34</f>
        <v>-9</v>
      </c>
      <c r="J35" s="208"/>
      <c r="K35" s="206">
        <f t="shared" si="5"/>
        <v>-2.0491803278688526E-3</v>
      </c>
    </row>
    <row r="36" spans="2:11" ht="17.5" x14ac:dyDescent="0.25">
      <c r="B36" s="209" t="s">
        <v>100</v>
      </c>
      <c r="C36" s="367"/>
      <c r="D36" s="367"/>
      <c r="E36" s="204">
        <f>Summary!E$10/1000000</f>
        <v>61.423307999999999</v>
      </c>
      <c r="F36" s="208">
        <f t="shared" si="6"/>
        <v>1.1178719999999984</v>
      </c>
      <c r="G36" s="206">
        <f t="shared" si="7"/>
        <v>1.8536836380720279E-2</v>
      </c>
      <c r="H36" s="207">
        <f>Summary!E$41</f>
        <v>4400</v>
      </c>
      <c r="I36" s="208">
        <f t="shared" si="8"/>
        <v>17</v>
      </c>
      <c r="J36" s="208"/>
      <c r="K36" s="206">
        <f t="shared" si="5"/>
        <v>3.8786219484371436E-3</v>
      </c>
    </row>
    <row r="37" spans="2:11" ht="17.5" x14ac:dyDescent="0.25">
      <c r="B37" s="209" t="s">
        <v>158</v>
      </c>
      <c r="C37" s="367"/>
      <c r="D37" s="367"/>
      <c r="E37" s="204">
        <f>Summary!F$10/1000000</f>
        <v>61.248308999999999</v>
      </c>
      <c r="F37" s="208">
        <f t="shared" si="6"/>
        <v>-0.17499899999999968</v>
      </c>
      <c r="G37" s="206">
        <f t="shared" si="7"/>
        <v>-2.8490650487271001E-3</v>
      </c>
      <c r="H37" s="207">
        <f>Summary!F$41</f>
        <v>4399</v>
      </c>
      <c r="I37" s="208">
        <f t="shared" si="8"/>
        <v>-1</v>
      </c>
      <c r="J37" s="208"/>
      <c r="K37" s="206">
        <f t="shared" si="5"/>
        <v>-2.2727272727272727E-4</v>
      </c>
    </row>
    <row r="38" spans="2:11" ht="17.5" x14ac:dyDescent="0.25">
      <c r="B38" s="493" t="s">
        <v>206</v>
      </c>
      <c r="C38" s="367"/>
      <c r="D38" s="367"/>
      <c r="E38" s="204">
        <f>Summary!G$10/1000000</f>
        <v>58.546499379999993</v>
      </c>
      <c r="F38" s="208">
        <f t="shared" si="6"/>
        <v>-2.7018096200000059</v>
      </c>
      <c r="G38" s="206">
        <f t="shared" si="7"/>
        <v>-4.411239533160019E-2</v>
      </c>
      <c r="H38" s="207">
        <f>Summary!G$41</f>
        <v>4402</v>
      </c>
      <c r="I38" s="208">
        <f t="shared" si="8"/>
        <v>3</v>
      </c>
      <c r="J38" s="208"/>
      <c r="K38" s="206">
        <f t="shared" si="5"/>
        <v>6.8197317572175496E-4</v>
      </c>
    </row>
    <row r="39" spans="2:11" ht="17.5" x14ac:dyDescent="0.25">
      <c r="B39" s="493" t="s">
        <v>207</v>
      </c>
      <c r="C39" s="210"/>
      <c r="D39" s="211"/>
      <c r="E39" s="204">
        <f>Summary!H$10/1000000</f>
        <v>56.466454349999999</v>
      </c>
      <c r="F39" s="208">
        <f t="shared" si="6"/>
        <v>-2.0800450299999937</v>
      </c>
      <c r="G39" s="206">
        <f t="shared" si="7"/>
        <v>-3.5528085402669794E-2</v>
      </c>
      <c r="H39" s="207">
        <f>Summary!H$41</f>
        <v>4395</v>
      </c>
      <c r="I39" s="208">
        <f t="shared" si="8"/>
        <v>-7</v>
      </c>
      <c r="J39" s="208"/>
      <c r="K39" s="206">
        <f t="shared" si="5"/>
        <v>-1.5901862789641072E-3</v>
      </c>
    </row>
    <row r="40" spans="2:11" ht="17.5" x14ac:dyDescent="0.25">
      <c r="B40" s="493" t="s">
        <v>271</v>
      </c>
      <c r="C40" s="210"/>
      <c r="D40" s="211"/>
      <c r="E40" s="204">
        <f>Summary!I10/1000000</f>
        <v>54.872263289999985</v>
      </c>
      <c r="F40" s="208">
        <f t="shared" si="6"/>
        <v>-1.5941910600000142</v>
      </c>
      <c r="G40" s="206">
        <f t="shared" si="7"/>
        <v>-2.8232533428053187E-2</v>
      </c>
      <c r="H40" s="207">
        <f>Summary!I$41</f>
        <v>4399</v>
      </c>
      <c r="I40" s="208">
        <f t="shared" si="8"/>
        <v>4</v>
      </c>
      <c r="J40" s="208"/>
      <c r="K40" s="206">
        <f t="shared" si="5"/>
        <v>9.1012514220705344E-4</v>
      </c>
    </row>
    <row r="41" spans="2:11" ht="17.5" x14ac:dyDescent="0.25">
      <c r="B41" s="493" t="s">
        <v>272</v>
      </c>
      <c r="C41" s="210"/>
      <c r="D41" s="211"/>
      <c r="E41" s="204">
        <f>Summary!J10/1000000</f>
        <v>57.121172049999984</v>
      </c>
      <c r="F41" s="208">
        <f t="shared" si="6"/>
        <v>2.2489087599999991</v>
      </c>
      <c r="G41" s="206">
        <f t="shared" si="7"/>
        <v>4.0984435945616335E-2</v>
      </c>
      <c r="H41" s="207">
        <f>Summary!J$41</f>
        <v>4411</v>
      </c>
      <c r="I41" s="208">
        <f t="shared" si="8"/>
        <v>12</v>
      </c>
      <c r="J41" s="208"/>
      <c r="K41" s="206">
        <f t="shared" si="5"/>
        <v>2.7278927028870198E-3</v>
      </c>
    </row>
    <row r="42" spans="2:11" ht="17.5" x14ac:dyDescent="0.25">
      <c r="B42" s="493" t="s">
        <v>273</v>
      </c>
      <c r="C42" s="210"/>
      <c r="D42" s="211"/>
      <c r="E42" s="204">
        <f>Summary!K10/1000000</f>
        <v>57.482828099999992</v>
      </c>
      <c r="F42" s="208">
        <f t="shared" si="6"/>
        <v>0.36165605000000767</v>
      </c>
      <c r="G42" s="206">
        <f t="shared" si="7"/>
        <v>6.3313835662097166E-3</v>
      </c>
      <c r="H42" s="207">
        <f>Summary!K$41</f>
        <v>4417</v>
      </c>
      <c r="I42" s="208">
        <f t="shared" si="8"/>
        <v>6</v>
      </c>
      <c r="J42" s="208"/>
      <c r="K42" s="206">
        <f t="shared" si="5"/>
        <v>1.3602357742008614E-3</v>
      </c>
    </row>
    <row r="43" spans="2:11" ht="17.5" x14ac:dyDescent="0.25">
      <c r="B43" s="673" t="s">
        <v>374</v>
      </c>
      <c r="C43" s="210"/>
      <c r="D43" s="211"/>
      <c r="E43" s="204">
        <f>Summary!L10/1000000</f>
        <v>58.878258252924532</v>
      </c>
      <c r="F43" s="208">
        <f t="shared" si="6"/>
        <v>1.3954301529245399</v>
      </c>
      <c r="G43" s="206">
        <f t="shared" si="7"/>
        <v>2.427560019310428E-2</v>
      </c>
      <c r="H43" s="207">
        <f>Summary!L$41</f>
        <v>4153.7506331479653</v>
      </c>
      <c r="I43" s="208">
        <f t="shared" si="8"/>
        <v>-263.24936685203465</v>
      </c>
      <c r="J43" s="208"/>
      <c r="K43" s="206">
        <f t="shared" si="5"/>
        <v>-5.9599132182937435E-2</v>
      </c>
    </row>
    <row r="44" spans="2:11" ht="17.5" x14ac:dyDescent="0.25">
      <c r="B44" s="493" t="s">
        <v>277</v>
      </c>
      <c r="C44" s="210"/>
      <c r="D44" s="211"/>
      <c r="E44" s="204">
        <f>Summary!M10/1000000</f>
        <v>58.67760547758219</v>
      </c>
      <c r="F44" s="208">
        <f t="shared" si="6"/>
        <v>-0.20065277534234127</v>
      </c>
      <c r="G44" s="206">
        <f t="shared" si="7"/>
        <v>-3.4079264790815153E-3</v>
      </c>
      <c r="H44" s="207">
        <f>Summary!M$41</f>
        <v>4154</v>
      </c>
      <c r="I44" s="208">
        <f t="shared" si="8"/>
        <v>0.24936685203465458</v>
      </c>
      <c r="J44" s="208"/>
      <c r="K44" s="206">
        <f t="shared" si="5"/>
        <v>6.0034141203529394E-5</v>
      </c>
    </row>
    <row r="45" spans="2:11" ht="17.5" x14ac:dyDescent="0.25">
      <c r="B45" s="392"/>
      <c r="C45" s="210"/>
      <c r="D45" s="211"/>
      <c r="E45" s="204"/>
      <c r="F45" s="208"/>
      <c r="G45" s="206"/>
      <c r="H45" s="207"/>
      <c r="I45" s="208"/>
      <c r="J45" s="208"/>
      <c r="K45" s="206"/>
    </row>
    <row r="46" spans="2:11" ht="17" customHeight="1" x14ac:dyDescent="0.25">
      <c r="B46" s="688" t="s">
        <v>375</v>
      </c>
      <c r="C46" s="210"/>
      <c r="D46" s="211"/>
      <c r="E46" s="204"/>
      <c r="F46" s="208"/>
      <c r="G46" s="206"/>
      <c r="H46" s="207"/>
      <c r="I46" s="208"/>
      <c r="J46" s="208"/>
      <c r="K46" s="206"/>
    </row>
    <row r="47" spans="2:11" ht="17" customHeight="1" x14ac:dyDescent="0.25">
      <c r="B47" s="392"/>
      <c r="C47" s="210"/>
      <c r="D47" s="211"/>
      <c r="E47" s="204"/>
      <c r="F47" s="208"/>
      <c r="G47" s="206"/>
      <c r="H47" s="207"/>
      <c r="I47" s="208"/>
      <c r="J47" s="208"/>
      <c r="K47" s="206"/>
    </row>
    <row r="49" spans="2:12" ht="18" x14ac:dyDescent="0.25">
      <c r="B49" s="212" t="s">
        <v>182</v>
      </c>
      <c r="C49" s="212"/>
      <c r="D49" s="212"/>
      <c r="E49" s="213"/>
      <c r="F49" s="213"/>
      <c r="G49" s="213"/>
      <c r="H49" s="213"/>
      <c r="I49" s="213"/>
      <c r="J49" s="213"/>
      <c r="K49" s="213"/>
      <c r="L49" s="213"/>
    </row>
    <row r="50" spans="2:12" ht="54" x14ac:dyDescent="0.25">
      <c r="B50" s="191" t="s">
        <v>110</v>
      </c>
      <c r="C50" s="192"/>
      <c r="D50" s="192"/>
      <c r="E50" s="214" t="s">
        <v>1</v>
      </c>
      <c r="F50" s="214" t="s">
        <v>97</v>
      </c>
      <c r="G50" s="214" t="s">
        <v>201</v>
      </c>
      <c r="H50" s="214" t="s">
        <v>120</v>
      </c>
      <c r="I50" s="214" t="s">
        <v>47</v>
      </c>
      <c r="J50" s="214"/>
      <c r="K50" s="214" t="s">
        <v>121</v>
      </c>
      <c r="L50" s="214" t="s">
        <v>11</v>
      </c>
    </row>
    <row r="51" spans="2:12" ht="18" x14ac:dyDescent="0.25">
      <c r="B51" s="215" t="s">
        <v>122</v>
      </c>
      <c r="C51" s="216"/>
      <c r="D51" s="216"/>
      <c r="E51" s="216"/>
      <c r="F51" s="216"/>
      <c r="G51" s="216"/>
      <c r="H51" s="216"/>
      <c r="I51" s="216"/>
      <c r="J51" s="216"/>
      <c r="K51" s="216"/>
      <c r="L51" s="217"/>
    </row>
    <row r="52" spans="2:12" ht="17.5" x14ac:dyDescent="0.25">
      <c r="B52" s="198"/>
      <c r="C52" s="199"/>
      <c r="D52" s="199"/>
      <c r="E52" s="200"/>
      <c r="F52" s="218"/>
      <c r="G52" s="218"/>
      <c r="H52" s="218"/>
      <c r="I52" s="218"/>
      <c r="J52" s="218"/>
      <c r="K52" s="218"/>
      <c r="L52" s="218"/>
    </row>
    <row r="53" spans="2:12" ht="17.5" x14ac:dyDescent="0.25">
      <c r="B53" s="198" t="s">
        <v>164</v>
      </c>
      <c r="C53" s="199"/>
      <c r="D53" s="199"/>
      <c r="E53" s="200">
        <f>32680721/1000000</f>
        <v>32.680720999999998</v>
      </c>
      <c r="F53" s="200">
        <f>11265899/1000000</f>
        <v>11.265898999999999</v>
      </c>
      <c r="G53" s="200">
        <f>17442772/1000000</f>
        <v>17.442772000000001</v>
      </c>
      <c r="H53" s="219">
        <f>24161/1000000</f>
        <v>2.4160999999999998E-2</v>
      </c>
      <c r="I53" s="220">
        <f>623166/1000000</f>
        <v>0.623166</v>
      </c>
      <c r="J53" s="220"/>
      <c r="K53" s="220">
        <f>213280/1000000</f>
        <v>0.21328</v>
      </c>
      <c r="L53" s="220">
        <f>SUM(E53:K53)</f>
        <v>62.249998999999995</v>
      </c>
    </row>
    <row r="54" spans="2:12" ht="17.5" x14ac:dyDescent="0.25">
      <c r="B54" s="198"/>
      <c r="C54" s="199"/>
      <c r="D54" s="199"/>
      <c r="E54" s="200"/>
      <c r="F54" s="200"/>
      <c r="G54" s="200"/>
      <c r="H54" s="200"/>
      <c r="I54" s="220"/>
      <c r="J54" s="220"/>
      <c r="K54" s="220"/>
      <c r="L54" s="220"/>
    </row>
    <row r="55" spans="2:12" ht="17.5" x14ac:dyDescent="0.25">
      <c r="B55" s="209" t="s">
        <v>72</v>
      </c>
      <c r="C55" s="199"/>
      <c r="D55" s="199"/>
      <c r="E55" s="200">
        <f>'Rate Class Energy Model'!H12/1000000</f>
        <v>31.226253</v>
      </c>
      <c r="F55" s="200">
        <f>'Rate Class Energy Model'!I12/1000000</f>
        <v>11.572990000000001</v>
      </c>
      <c r="G55" s="200">
        <f>'Rate Class Energy Model'!J12/1000000</f>
        <v>17.160374999999998</v>
      </c>
      <c r="H55" s="221">
        <f>'Rate Class Energy Model'!K12/1000000</f>
        <v>2.5100000000000001E-2</v>
      </c>
      <c r="I55" s="200">
        <f>'Rate Class Energy Model'!L12/1000000</f>
        <v>0.61584499999999998</v>
      </c>
      <c r="J55" s="200"/>
      <c r="K55" s="200">
        <f>'Rate Class Energy Model'!M12/1000000</f>
        <v>0.170043</v>
      </c>
      <c r="L55" s="220">
        <f t="shared" ref="L55:L66" si="9">SUM(E55:K55)</f>
        <v>60.770606000000008</v>
      </c>
    </row>
    <row r="56" spans="2:12" ht="17.5" x14ac:dyDescent="0.25">
      <c r="B56" s="209" t="s">
        <v>73</v>
      </c>
      <c r="C56" s="199"/>
      <c r="D56" s="199"/>
      <c r="E56" s="200">
        <f>'Rate Class Energy Model'!H13/1000000</f>
        <v>31.70091704</v>
      </c>
      <c r="F56" s="200">
        <f>'Rate Class Energy Model'!I13/1000000</f>
        <v>11.92920125</v>
      </c>
      <c r="G56" s="200">
        <f>'Rate Class Energy Model'!J13/1000000</f>
        <v>16.94866253</v>
      </c>
      <c r="H56" s="221">
        <f>'Rate Class Energy Model'!K13/1000000</f>
        <v>2.5877000000000001E-2</v>
      </c>
      <c r="I56" s="200">
        <f>'Rate Class Energy Model'!L13/1000000</f>
        <v>0.61357735000000002</v>
      </c>
      <c r="J56" s="200"/>
      <c r="K56" s="200">
        <f>'Rate Class Energy Model'!M13/1000000</f>
        <v>0.16986657999999999</v>
      </c>
      <c r="L56" s="220">
        <f t="shared" si="9"/>
        <v>61.388101749999997</v>
      </c>
    </row>
    <row r="57" spans="2:12" ht="17.5" x14ac:dyDescent="0.25">
      <c r="B57" s="209" t="s">
        <v>74</v>
      </c>
      <c r="C57" s="199"/>
      <c r="D57" s="199"/>
      <c r="E57" s="200">
        <f>'Rate Class Energy Model'!H14/1000000</f>
        <v>30.758631999999999</v>
      </c>
      <c r="F57" s="200">
        <f>'Rate Class Energy Model'!I14/1000000</f>
        <v>11.730167</v>
      </c>
      <c r="G57" s="200">
        <f>'Rate Class Energy Model'!J14/1000000</f>
        <v>17.041535</v>
      </c>
      <c r="H57" s="221">
        <f>'Rate Class Energy Model'!K14/1000000</f>
        <v>2.5725000000000001E-2</v>
      </c>
      <c r="I57" s="200">
        <f>'Rate Class Energy Model'!L14/1000000</f>
        <v>0.61821700000000002</v>
      </c>
      <c r="J57" s="200"/>
      <c r="K57" s="200">
        <f>'Rate Class Energy Model'!M14/1000000</f>
        <v>0.13116</v>
      </c>
      <c r="L57" s="220">
        <f t="shared" si="9"/>
        <v>60.305436</v>
      </c>
    </row>
    <row r="58" spans="2:12" ht="17.5" x14ac:dyDescent="0.25">
      <c r="B58" s="209" t="s">
        <v>100</v>
      </c>
      <c r="C58" s="199"/>
      <c r="D58" s="199"/>
      <c r="E58" s="200">
        <f>'Rate Class Energy Model'!H15/1000000</f>
        <v>32.605812</v>
      </c>
      <c r="F58" s="200">
        <f>'Rate Class Energy Model'!I15/1000000</f>
        <v>11.192454</v>
      </c>
      <c r="G58" s="200">
        <f>'Rate Class Energy Model'!J15/1000000</f>
        <v>16.850052999999999</v>
      </c>
      <c r="H58" s="221">
        <f>'Rate Class Energy Model'!K15/1000000</f>
        <v>2.5770999999999999E-2</v>
      </c>
      <c r="I58" s="200">
        <f>'Rate Class Energy Model'!L15/1000000</f>
        <v>0.61708799999999997</v>
      </c>
      <c r="J58" s="200"/>
      <c r="K58" s="200">
        <f>'Rate Class Energy Model'!M15/1000000</f>
        <v>0.13213</v>
      </c>
      <c r="L58" s="220">
        <f t="shared" si="9"/>
        <v>61.423307999999999</v>
      </c>
    </row>
    <row r="59" spans="2:12" ht="17.5" x14ac:dyDescent="0.25">
      <c r="B59" s="209" t="s">
        <v>158</v>
      </c>
      <c r="C59" s="199"/>
      <c r="D59" s="199"/>
      <c r="E59" s="200">
        <f>'Rate Class Energy Model'!H16/1000000</f>
        <v>32.890577</v>
      </c>
      <c r="F59" s="200">
        <f>'Rate Class Energy Model'!I16/1000000</f>
        <v>10.747812</v>
      </c>
      <c r="G59" s="200">
        <f>'Rate Class Energy Model'!J16/1000000</f>
        <v>17.091906999999999</v>
      </c>
      <c r="H59" s="221">
        <f>'Rate Class Energy Model'!K16/1000000</f>
        <v>2.5770999999999999E-2</v>
      </c>
      <c r="I59" s="200">
        <f>'Rate Class Energy Model'!L16/1000000</f>
        <v>0.36860599999999999</v>
      </c>
      <c r="J59" s="200"/>
      <c r="K59" s="200">
        <f>'Rate Class Energy Model'!M16/1000000</f>
        <v>0.123636</v>
      </c>
      <c r="L59" s="220">
        <f t="shared" si="9"/>
        <v>61.248308999999999</v>
      </c>
    </row>
    <row r="60" spans="2:12" ht="17.5" x14ac:dyDescent="0.25">
      <c r="B60" s="493" t="s">
        <v>206</v>
      </c>
      <c r="C60" s="199"/>
      <c r="D60" s="199"/>
      <c r="E60" s="200">
        <f>'Rate Class Energy Model'!H17/1000000</f>
        <v>30.963982239999993</v>
      </c>
      <c r="F60" s="200">
        <f>'Rate Class Energy Model'!I17/1000000</f>
        <v>10.393804160000002</v>
      </c>
      <c r="G60" s="200">
        <f>'Rate Class Energy Model'!J17/1000000</f>
        <v>16.669657210000004</v>
      </c>
      <c r="H60" s="221">
        <f>'Rate Class Energy Model'!K17/1000000</f>
        <v>2.4668039999999999E-2</v>
      </c>
      <c r="I60" s="200">
        <f>'Rate Class Energy Model'!L17/1000000</f>
        <v>0.37075173000000006</v>
      </c>
      <c r="J60" s="200"/>
      <c r="K60" s="200">
        <f>'Rate Class Energy Model'!M17/1000000</f>
        <v>0.123636</v>
      </c>
      <c r="L60" s="220">
        <f t="shared" si="9"/>
        <v>58.54649938</v>
      </c>
    </row>
    <row r="61" spans="2:12" ht="17.5" x14ac:dyDescent="0.25">
      <c r="B61" s="623" t="s">
        <v>207</v>
      </c>
      <c r="C61" s="199"/>
      <c r="D61" s="199"/>
      <c r="E61" s="200">
        <f>'Rate Class Energy Model'!H18/1000000</f>
        <v>29.475507110000002</v>
      </c>
      <c r="F61" s="200">
        <f>'Rate Class Energy Model'!I18/1000000</f>
        <v>10.122402630000002</v>
      </c>
      <c r="G61" s="200">
        <f>'Rate Class Energy Model'!J18/1000000</f>
        <v>16.37805741</v>
      </c>
      <c r="H61" s="221">
        <f>'Rate Class Energy Model'!K18/1000000</f>
        <v>2.4566399999999995E-2</v>
      </c>
      <c r="I61" s="200">
        <f>'Rate Class Energy Model'!L18/1000000</f>
        <v>0.3422848</v>
      </c>
      <c r="J61" s="200"/>
      <c r="K61" s="200">
        <f>'Rate Class Energy Model'!M18/1000000</f>
        <v>0.123636</v>
      </c>
      <c r="L61" s="220">
        <f t="shared" si="9"/>
        <v>56.466454349999999</v>
      </c>
    </row>
    <row r="62" spans="2:12" ht="17.5" x14ac:dyDescent="0.25">
      <c r="B62" s="623" t="s">
        <v>271</v>
      </c>
      <c r="C62" s="199"/>
      <c r="D62" s="199"/>
      <c r="E62" s="200">
        <f>'Rate Class Energy Model'!H19/1000000</f>
        <v>28.87705570999999</v>
      </c>
      <c r="F62" s="200">
        <f>'Rate Class Energy Model'!I19/1000000</f>
        <v>9.91538495</v>
      </c>
      <c r="G62" s="200">
        <f>'Rate Class Energy Model'!J19/1000000</f>
        <v>15.590914830000001</v>
      </c>
      <c r="H62" s="221">
        <f>'Rate Class Energy Model'!K19/1000000</f>
        <v>2.4235E-2</v>
      </c>
      <c r="I62" s="200">
        <f>'Rate Class Energy Model'!L19/1000000</f>
        <v>0.34103679999999997</v>
      </c>
      <c r="J62" s="200"/>
      <c r="K62" s="200">
        <f>'Rate Class Energy Model'!M19/1000000</f>
        <v>0.123636</v>
      </c>
      <c r="L62" s="220">
        <f t="shared" si="9"/>
        <v>54.872263289999985</v>
      </c>
    </row>
    <row r="63" spans="2:12" ht="17.5" x14ac:dyDescent="0.25">
      <c r="B63" s="209" t="s">
        <v>279</v>
      </c>
      <c r="C63" s="199"/>
      <c r="D63" s="199"/>
      <c r="E63" s="200">
        <f>'Rate Class Energy Model'!H20/1000000</f>
        <v>31.054130409999981</v>
      </c>
      <c r="F63" s="200">
        <f>'Rate Class Energy Model'!I20/1000000</f>
        <v>10.221049750000001</v>
      </c>
      <c r="G63" s="200">
        <f>'Rate Class Energy Model'!J20/1000000</f>
        <v>15.357083889999998</v>
      </c>
      <c r="H63" s="221">
        <f>'Rate Class Energy Model'!K20/1000000</f>
        <v>2.4235199999999998E-2</v>
      </c>
      <c r="I63" s="200">
        <f>'Rate Class Energy Model'!L20/1000000</f>
        <v>0.34103679999999997</v>
      </c>
      <c r="J63" s="200"/>
      <c r="K63" s="200">
        <f>'Rate Class Energy Model'!M20/1000000</f>
        <v>0.123636</v>
      </c>
      <c r="L63" s="220">
        <f t="shared" si="9"/>
        <v>57.121172049999977</v>
      </c>
    </row>
    <row r="64" spans="2:12" ht="17.5" x14ac:dyDescent="0.25">
      <c r="B64" s="209" t="s">
        <v>280</v>
      </c>
      <c r="C64" s="199"/>
      <c r="D64" s="199"/>
      <c r="E64" s="200">
        <f>'Rate Class Energy Model'!H21/1000000</f>
        <v>31.777563039999997</v>
      </c>
      <c r="F64" s="200">
        <f>'Rate Class Energy Model'!I21/1000000</f>
        <v>10.266815940000001</v>
      </c>
      <c r="G64" s="200">
        <f>'Rate Class Energy Model'!J21/1000000</f>
        <v>14.949541120000001</v>
      </c>
      <c r="H64" s="221">
        <f>'Rate Class Energy Model'!K21/1000000</f>
        <v>2.4235199999999998E-2</v>
      </c>
      <c r="I64" s="200">
        <f>'Rate Class Energy Model'!L21/1000000</f>
        <v>0.34103679999999997</v>
      </c>
      <c r="J64" s="200"/>
      <c r="K64" s="200">
        <f>'Rate Class Energy Model'!M21/1000000</f>
        <v>0.123636</v>
      </c>
      <c r="L64" s="220">
        <f t="shared" si="9"/>
        <v>57.482828099999992</v>
      </c>
    </row>
    <row r="65" spans="2:12" ht="17.5" x14ac:dyDescent="0.25">
      <c r="B65" s="623" t="s">
        <v>328</v>
      </c>
      <c r="C65" s="199"/>
      <c r="D65" s="199"/>
      <c r="E65" s="200">
        <f>'Rate Class Energy Model'!H71/1000000</f>
        <v>32.702467451466745</v>
      </c>
      <c r="F65" s="200">
        <f>'Rate Class Energy Model'!I71/1000000</f>
        <v>10.389918544066932</v>
      </c>
      <c r="G65" s="200">
        <f>'Rate Class Energy Model'!J71/1000000</f>
        <v>15.417467870985707</v>
      </c>
      <c r="H65" s="221">
        <f>'Rate Class Energy Model'!K71/1000000</f>
        <v>2.4151492038982987E-2</v>
      </c>
      <c r="I65" s="200">
        <f>'Rate Class Energy Model'!L72/1000000</f>
        <v>0.22491849999999999</v>
      </c>
      <c r="J65" s="200"/>
      <c r="K65" s="200">
        <f>'Rate Class Energy Model'!M71/1000000</f>
        <v>0.11933439436616548</v>
      </c>
      <c r="L65" s="218">
        <f t="shared" si="9"/>
        <v>58.878258252924525</v>
      </c>
    </row>
    <row r="66" spans="2:12" ht="17.5" x14ac:dyDescent="0.25">
      <c r="B66" s="493" t="s">
        <v>277</v>
      </c>
      <c r="C66" s="199"/>
      <c r="D66" s="199"/>
      <c r="E66" s="200">
        <f>'Rate Class Energy Model'!H73/1000000</f>
        <v>32.639691743550408</v>
      </c>
      <c r="F66" s="200">
        <f>'Rate Class Energy Model'!I73/1000000</f>
        <v>10.191189978466245</v>
      </c>
      <c r="G66" s="200">
        <f>'Rate Class Energy Model'!J73/1000000</f>
        <v>15.482365194211635</v>
      </c>
      <c r="H66" s="221">
        <f>'Rate Class Energy Model'!K73/1000000</f>
        <v>2.4257609003941218E-2</v>
      </c>
      <c r="I66" s="200">
        <f>'Rate Class Energy Model'!L73/1000000</f>
        <v>0.22491849999999999</v>
      </c>
      <c r="J66" s="200"/>
      <c r="K66" s="200">
        <f>'Rate Class Energy Model'!M73/1000000</f>
        <v>0.1151824523499588</v>
      </c>
      <c r="L66" s="218">
        <f t="shared" si="9"/>
        <v>58.67760547758219</v>
      </c>
    </row>
    <row r="67" spans="2:12" ht="17.5" x14ac:dyDescent="0.25">
      <c r="B67" s="392"/>
      <c r="C67" s="210"/>
      <c r="D67" s="210"/>
      <c r="E67" s="503"/>
      <c r="F67" s="503"/>
      <c r="G67" s="503"/>
      <c r="H67" s="503"/>
      <c r="I67" s="503"/>
      <c r="J67" s="503"/>
      <c r="K67" s="503"/>
      <c r="L67" s="220"/>
    </row>
    <row r="68" spans="2:12" ht="17.5" x14ac:dyDescent="0.25">
      <c r="B68" s="392"/>
      <c r="C68" s="210"/>
      <c r="D68" s="210"/>
      <c r="E68" s="503"/>
      <c r="F68" s="503"/>
      <c r="G68" s="503"/>
      <c r="H68" s="503"/>
      <c r="I68" s="503"/>
      <c r="J68" s="503"/>
      <c r="K68" s="503"/>
      <c r="L68" s="220"/>
    </row>
    <row r="69" spans="2:12" ht="17.5" x14ac:dyDescent="0.25">
      <c r="B69" s="392"/>
      <c r="C69" s="210"/>
      <c r="D69" s="210"/>
      <c r="E69" s="503"/>
      <c r="F69" s="503"/>
      <c r="G69" s="503"/>
      <c r="H69" s="503"/>
      <c r="I69" s="503"/>
      <c r="J69" s="503"/>
      <c r="K69" s="503"/>
      <c r="L69" s="220"/>
    </row>
    <row r="70" spans="2:12" ht="17.5" x14ac:dyDescent="0.25">
      <c r="B70" s="630"/>
      <c r="C70" s="246"/>
      <c r="D70" s="246"/>
      <c r="E70" s="504"/>
      <c r="F70" s="504"/>
      <c r="G70" s="504"/>
      <c r="H70" s="504"/>
      <c r="I70" s="504"/>
      <c r="J70" s="504"/>
      <c r="K70" s="504"/>
      <c r="L70" s="631"/>
    </row>
    <row r="71" spans="2:12" ht="18" x14ac:dyDescent="0.35">
      <c r="B71" s="212" t="s">
        <v>329</v>
      </c>
      <c r="C71" s="222"/>
      <c r="D71" s="222"/>
      <c r="E71" s="222"/>
      <c r="F71" s="222"/>
      <c r="G71" s="222"/>
      <c r="H71" s="222"/>
      <c r="I71" s="222"/>
      <c r="J71" s="222"/>
      <c r="K71" s="222"/>
      <c r="L71" s="222"/>
    </row>
    <row r="72" spans="2:12" ht="18" x14ac:dyDescent="0.25">
      <c r="B72" s="223" t="s">
        <v>123</v>
      </c>
      <c r="C72" s="224"/>
      <c r="D72" s="224"/>
      <c r="E72" s="224"/>
      <c r="F72" s="224"/>
      <c r="G72" s="224"/>
      <c r="H72" s="224"/>
      <c r="I72" s="224"/>
      <c r="J72" s="224"/>
      <c r="K72" s="224"/>
      <c r="L72" s="225"/>
    </row>
    <row r="73" spans="2:12" ht="17.5" x14ac:dyDescent="0.25">
      <c r="B73" s="198"/>
      <c r="C73" s="199"/>
      <c r="D73" s="199"/>
      <c r="E73" s="226"/>
      <c r="F73" s="203"/>
      <c r="G73" s="203"/>
      <c r="H73" s="203"/>
      <c r="I73" s="203"/>
      <c r="J73" s="203"/>
      <c r="K73" s="203"/>
      <c r="L73" s="203"/>
    </row>
    <row r="74" spans="2:12" ht="17.5" x14ac:dyDescent="0.25">
      <c r="B74" s="198" t="s">
        <v>164</v>
      </c>
      <c r="C74" s="199"/>
      <c r="D74" s="199"/>
      <c r="E74" s="227">
        <v>2847</v>
      </c>
      <c r="F74" s="228">
        <v>425</v>
      </c>
      <c r="G74" s="228">
        <v>27</v>
      </c>
      <c r="H74" s="228">
        <v>26</v>
      </c>
      <c r="I74" s="228">
        <v>1053</v>
      </c>
      <c r="J74" s="228"/>
      <c r="K74" s="228">
        <v>32</v>
      </c>
      <c r="L74" s="203">
        <f>SUM(E74:K74)</f>
        <v>4410</v>
      </c>
    </row>
    <row r="75" spans="2:12" ht="17.5" x14ac:dyDescent="0.25">
      <c r="B75" s="198"/>
      <c r="C75" s="199"/>
      <c r="D75" s="199"/>
      <c r="E75" s="226"/>
      <c r="F75" s="203"/>
      <c r="G75" s="203"/>
      <c r="H75" s="203"/>
      <c r="I75" s="203"/>
      <c r="J75" s="203"/>
      <c r="K75" s="203"/>
      <c r="L75" s="203"/>
    </row>
    <row r="76" spans="2:12" ht="17.5" x14ac:dyDescent="0.25">
      <c r="B76" s="209" t="s">
        <v>72</v>
      </c>
      <c r="C76" s="199"/>
      <c r="D76" s="199"/>
      <c r="E76" s="226">
        <f>'Rate Class Customer Model'!B6</f>
        <v>2850</v>
      </c>
      <c r="F76" s="226">
        <f>'Rate Class Customer Model'!C6</f>
        <v>425</v>
      </c>
      <c r="G76" s="226">
        <f>'Rate Class Customer Model'!D6</f>
        <v>25</v>
      </c>
      <c r="H76" s="226">
        <f>'Rate Class Customer Model'!E6</f>
        <v>26</v>
      </c>
      <c r="I76" s="226">
        <f>'Rate Class Customer Model'!F6</f>
        <v>1045</v>
      </c>
      <c r="J76" s="226"/>
      <c r="K76" s="226">
        <f>'Rate Class Customer Model'!G6</f>
        <v>21</v>
      </c>
      <c r="L76" s="203">
        <f t="shared" ref="L76:L87" si="10">SUM(E76:K76)</f>
        <v>4392</v>
      </c>
    </row>
    <row r="77" spans="2:12" ht="17.5" x14ac:dyDescent="0.25">
      <c r="B77" s="209" t="s">
        <v>73</v>
      </c>
      <c r="C77" s="199"/>
      <c r="D77" s="199"/>
      <c r="E77" s="226">
        <f>'Rate Class Customer Model'!B7</f>
        <v>2847</v>
      </c>
      <c r="F77" s="226">
        <f>'Rate Class Customer Model'!C7</f>
        <v>425</v>
      </c>
      <c r="G77" s="226">
        <f>'Rate Class Customer Model'!D7</f>
        <v>25</v>
      </c>
      <c r="H77" s="226">
        <f>'Rate Class Customer Model'!E7</f>
        <v>26</v>
      </c>
      <c r="I77" s="226">
        <f>'Rate Class Customer Model'!F7</f>
        <v>1048</v>
      </c>
      <c r="J77" s="226"/>
      <c r="K77" s="226">
        <f>'Rate Class Customer Model'!G7</f>
        <v>21</v>
      </c>
      <c r="L77" s="203">
        <f t="shared" si="10"/>
        <v>4392</v>
      </c>
    </row>
    <row r="78" spans="2:12" ht="17.5" x14ac:dyDescent="0.25">
      <c r="B78" s="209" t="s">
        <v>74</v>
      </c>
      <c r="C78" s="199"/>
      <c r="D78" s="199"/>
      <c r="E78" s="226">
        <f>'Rate Class Customer Model'!B8</f>
        <v>2857</v>
      </c>
      <c r="F78" s="226">
        <f>'Rate Class Customer Model'!C8</f>
        <v>402</v>
      </c>
      <c r="G78" s="226">
        <f>'Rate Class Customer Model'!D8</f>
        <v>29</v>
      </c>
      <c r="H78" s="226">
        <f>'Rate Class Customer Model'!E8</f>
        <v>26</v>
      </c>
      <c r="I78" s="226">
        <f>'Rate Class Customer Model'!F8</f>
        <v>1048</v>
      </c>
      <c r="J78" s="226"/>
      <c r="K78" s="226">
        <f>'Rate Class Customer Model'!G8</f>
        <v>21</v>
      </c>
      <c r="L78" s="203">
        <f t="shared" si="10"/>
        <v>4383</v>
      </c>
    </row>
    <row r="79" spans="2:12" ht="17.5" x14ac:dyDescent="0.25">
      <c r="B79" s="209" t="s">
        <v>100</v>
      </c>
      <c r="C79" s="199"/>
      <c r="D79" s="199"/>
      <c r="E79" s="226">
        <f>'Rate Class Customer Model'!B9</f>
        <v>2858</v>
      </c>
      <c r="F79" s="226">
        <f>'Rate Class Customer Model'!C9</f>
        <v>401</v>
      </c>
      <c r="G79" s="226">
        <f>'Rate Class Customer Model'!D9</f>
        <v>29</v>
      </c>
      <c r="H79" s="226">
        <f>'Rate Class Customer Model'!E9</f>
        <v>27</v>
      </c>
      <c r="I79" s="226">
        <f>'Rate Class Customer Model'!F9</f>
        <v>1064</v>
      </c>
      <c r="J79" s="226"/>
      <c r="K79" s="226">
        <f>'Rate Class Customer Model'!G9</f>
        <v>21</v>
      </c>
      <c r="L79" s="203">
        <f t="shared" si="10"/>
        <v>4400</v>
      </c>
    </row>
    <row r="80" spans="2:12" ht="17.5" x14ac:dyDescent="0.25">
      <c r="B80" s="209" t="s">
        <v>158</v>
      </c>
      <c r="C80" s="199"/>
      <c r="D80" s="199"/>
      <c r="E80" s="226">
        <f>'Rate Class Customer Model'!B10</f>
        <v>2857</v>
      </c>
      <c r="F80" s="226">
        <f>'Rate Class Customer Model'!C10</f>
        <v>402</v>
      </c>
      <c r="G80" s="226">
        <f>'Rate Class Customer Model'!D10</f>
        <v>29</v>
      </c>
      <c r="H80" s="226">
        <f>'Rate Class Customer Model'!E10</f>
        <v>26</v>
      </c>
      <c r="I80" s="226">
        <f>'Rate Class Customer Model'!F10</f>
        <v>1064</v>
      </c>
      <c r="J80" s="226"/>
      <c r="K80" s="226">
        <f>'Rate Class Customer Model'!G10</f>
        <v>21</v>
      </c>
      <c r="L80" s="203">
        <f t="shared" si="10"/>
        <v>4399</v>
      </c>
    </row>
    <row r="81" spans="2:12" ht="17.5" x14ac:dyDescent="0.25">
      <c r="B81" s="392" t="s">
        <v>206</v>
      </c>
      <c r="C81" s="199"/>
      <c r="D81" s="199"/>
      <c r="E81" s="226">
        <f>'Rate Class Customer Model'!B11</f>
        <v>2856</v>
      </c>
      <c r="F81" s="226">
        <f>'Rate Class Customer Model'!C11</f>
        <v>406</v>
      </c>
      <c r="G81" s="226">
        <f>'Rate Class Customer Model'!D11</f>
        <v>29</v>
      </c>
      <c r="H81" s="226">
        <f>'Rate Class Customer Model'!E11</f>
        <v>26</v>
      </c>
      <c r="I81" s="226">
        <f>'Rate Class Customer Model'!F11</f>
        <v>1064</v>
      </c>
      <c r="J81" s="226"/>
      <c r="K81" s="226">
        <f>'Rate Class Customer Model'!G11</f>
        <v>21</v>
      </c>
      <c r="L81" s="203">
        <f t="shared" si="10"/>
        <v>4402</v>
      </c>
    </row>
    <row r="82" spans="2:12" ht="17.5" x14ac:dyDescent="0.25">
      <c r="B82" s="493" t="s">
        <v>207</v>
      </c>
      <c r="C82" s="199"/>
      <c r="D82" s="199"/>
      <c r="E82" s="226">
        <f>'Rate Class Customer Model'!B12</f>
        <v>2861</v>
      </c>
      <c r="F82" s="226">
        <f>'Rate Class Customer Model'!C12</f>
        <v>393</v>
      </c>
      <c r="G82" s="226">
        <f>'Rate Class Customer Model'!D12</f>
        <v>29</v>
      </c>
      <c r="H82" s="226">
        <f>'Rate Class Customer Model'!E12</f>
        <v>26</v>
      </c>
      <c r="I82" s="226">
        <f>'Rate Class Customer Model'!F12</f>
        <v>1065</v>
      </c>
      <c r="J82" s="226"/>
      <c r="K82" s="226">
        <f>'Rate Class Customer Model'!G12</f>
        <v>21</v>
      </c>
      <c r="L82" s="203">
        <f t="shared" si="10"/>
        <v>4395</v>
      </c>
    </row>
    <row r="83" spans="2:12" ht="17.5" x14ac:dyDescent="0.25">
      <c r="B83" s="493" t="s">
        <v>271</v>
      </c>
      <c r="C83" s="367"/>
      <c r="D83" s="367"/>
      <c r="E83" s="226">
        <f>'Rate Class Customer Model'!B13</f>
        <v>2872</v>
      </c>
      <c r="F83" s="226">
        <f>'Rate Class Customer Model'!C13</f>
        <v>388</v>
      </c>
      <c r="G83" s="226">
        <f>'Rate Class Customer Model'!D13</f>
        <v>28</v>
      </c>
      <c r="H83" s="226">
        <f>'Rate Class Customer Model'!E13</f>
        <v>25</v>
      </c>
      <c r="I83" s="226">
        <f>'Rate Class Customer Model'!F13</f>
        <v>1065</v>
      </c>
      <c r="J83" s="226"/>
      <c r="K83" s="226">
        <f>'Rate Class Customer Model'!G13</f>
        <v>21</v>
      </c>
      <c r="L83" s="203">
        <f t="shared" si="10"/>
        <v>4399</v>
      </c>
    </row>
    <row r="84" spans="2:12" ht="17.5" x14ac:dyDescent="0.25">
      <c r="B84" s="209" t="s">
        <v>272</v>
      </c>
      <c r="C84" s="622"/>
      <c r="D84" s="622"/>
      <c r="E84" s="226">
        <f>'Rate Class Customer Model'!B14</f>
        <v>2888</v>
      </c>
      <c r="F84" s="226">
        <f>'Rate Class Customer Model'!C14</f>
        <v>388</v>
      </c>
      <c r="G84" s="226">
        <f>'Rate Class Customer Model'!D14</f>
        <v>27</v>
      </c>
      <c r="H84" s="226">
        <f>'Rate Class Customer Model'!E14</f>
        <v>25</v>
      </c>
      <c r="I84" s="226">
        <f>'Rate Class Customer Model'!F14</f>
        <v>1062</v>
      </c>
      <c r="J84" s="226"/>
      <c r="K84" s="226">
        <f>'Rate Class Customer Model'!G14</f>
        <v>21</v>
      </c>
      <c r="L84" s="203">
        <f t="shared" si="10"/>
        <v>4411</v>
      </c>
    </row>
    <row r="85" spans="2:12" ht="17.5" x14ac:dyDescent="0.25">
      <c r="B85" s="209" t="s">
        <v>273</v>
      </c>
      <c r="C85" s="622"/>
      <c r="D85" s="622"/>
      <c r="E85" s="226">
        <f>'Rate Class Customer Model'!B15</f>
        <v>2901</v>
      </c>
      <c r="F85" s="226">
        <f>'Rate Class Customer Model'!C15</f>
        <v>380</v>
      </c>
      <c r="G85" s="226">
        <f>'Rate Class Customer Model'!D15</f>
        <v>28</v>
      </c>
      <c r="H85" s="226">
        <f>'Rate Class Customer Model'!E15</f>
        <v>25</v>
      </c>
      <c r="I85" s="226">
        <f>'Rate Class Customer Model'!F15</f>
        <v>1062</v>
      </c>
      <c r="J85" s="226"/>
      <c r="K85" s="226">
        <f>'Rate Class Customer Model'!G15</f>
        <v>21</v>
      </c>
      <c r="L85" s="203">
        <f t="shared" si="10"/>
        <v>4417</v>
      </c>
    </row>
    <row r="86" spans="2:12" ht="17.5" x14ac:dyDescent="0.25">
      <c r="B86" s="623" t="s">
        <v>328</v>
      </c>
      <c r="C86" s="622"/>
      <c r="D86" s="622"/>
      <c r="E86" s="226">
        <f>'Rate Class Customer Model'!B16</f>
        <v>2905.3354231059589</v>
      </c>
      <c r="F86" s="226">
        <f>'Rate Class Customer Model'!C16</f>
        <v>374.55491835736069</v>
      </c>
      <c r="G86" s="226">
        <f>'Rate Class Customer Model'!D16</f>
        <v>28.958151435622646</v>
      </c>
      <c r="H86" s="226">
        <f>'Rate Class Customer Model'!E16</f>
        <v>24.90214024902302</v>
      </c>
      <c r="I86" s="226">
        <f>'Rate Class Customer Model'!F16</f>
        <v>799</v>
      </c>
      <c r="J86" s="226"/>
      <c r="K86" s="226">
        <f>'Rate Class Customer Model'!G16</f>
        <v>21</v>
      </c>
      <c r="L86" s="203">
        <f t="shared" si="10"/>
        <v>4153.7506331479653</v>
      </c>
    </row>
    <row r="87" spans="2:12" ht="17.5" x14ac:dyDescent="0.25">
      <c r="B87" s="623" t="s">
        <v>277</v>
      </c>
      <c r="C87" s="622"/>
      <c r="D87" s="622"/>
      <c r="E87" s="226">
        <f>'Rate Class Customer Model'!B17</f>
        <v>2910</v>
      </c>
      <c r="F87" s="226">
        <f>'Rate Class Customer Model'!C17</f>
        <v>369</v>
      </c>
      <c r="G87" s="226">
        <f>'Rate Class Customer Model'!D17</f>
        <v>30</v>
      </c>
      <c r="H87" s="226">
        <f>'Rate Class Customer Model'!E17</f>
        <v>25</v>
      </c>
      <c r="I87" s="226">
        <f>'Rate Class Customer Model'!F17</f>
        <v>799</v>
      </c>
      <c r="J87" s="226"/>
      <c r="K87" s="226">
        <f>'Rate Class Customer Model'!G17</f>
        <v>21</v>
      </c>
      <c r="L87" s="203">
        <f t="shared" si="10"/>
        <v>4154</v>
      </c>
    </row>
    <row r="90" spans="2:12" ht="18" x14ac:dyDescent="0.25">
      <c r="B90" s="212" t="s">
        <v>376</v>
      </c>
    </row>
    <row r="91" spans="2:12" ht="54" x14ac:dyDescent="0.25">
      <c r="B91" s="689" t="s">
        <v>110</v>
      </c>
      <c r="C91" s="676"/>
      <c r="D91" s="676"/>
      <c r="E91" s="193" t="s">
        <v>11</v>
      </c>
      <c r="F91" s="193" t="s">
        <v>1</v>
      </c>
      <c r="G91" s="193" t="s">
        <v>97</v>
      </c>
      <c r="H91" s="193" t="s">
        <v>201</v>
      </c>
      <c r="I91" s="193" t="s">
        <v>120</v>
      </c>
      <c r="J91" s="193" t="s">
        <v>47</v>
      </c>
      <c r="K91" s="193" t="s">
        <v>121</v>
      </c>
    </row>
    <row r="92" spans="2:12" ht="15.5" x14ac:dyDescent="0.35">
      <c r="B92" s="690">
        <f>'Rate Class Energy Model'!A71</f>
        <v>2020</v>
      </c>
      <c r="C92" s="691"/>
      <c r="D92" s="692"/>
      <c r="E92" s="693">
        <f>'Rate Class Energy Model'!G71</f>
        <v>58878258.252924532</v>
      </c>
      <c r="F92" s="694">
        <f>'Rate Class Energy Model'!H71</f>
        <v>32702467.451466747</v>
      </c>
      <c r="G92" s="694">
        <f>'Rate Class Energy Model'!I71</f>
        <v>10389918.544066932</v>
      </c>
      <c r="H92" s="694">
        <f>'Rate Class Energy Model'!J71</f>
        <v>15417467.870985707</v>
      </c>
      <c r="I92" s="694">
        <f>'Rate Class Energy Model'!K71</f>
        <v>24151.492038982986</v>
      </c>
      <c r="J92" s="694">
        <f>'Rate Class Energy Model'!L71</f>
        <v>224918.5</v>
      </c>
      <c r="K92" s="694">
        <f>'Rate Class Energy Model'!M71</f>
        <v>119334.39436616548</v>
      </c>
    </row>
    <row r="93" spans="2:12" ht="15.5" x14ac:dyDescent="0.35">
      <c r="B93" s="690">
        <f>'Rate Class Energy Model'!A72</f>
        <v>2021</v>
      </c>
      <c r="C93" s="691"/>
      <c r="D93" s="692"/>
      <c r="E93" s="693">
        <f>'Rate Class Energy Model'!G72</f>
        <v>58793723.777582183</v>
      </c>
      <c r="F93" s="694">
        <f>'Rate Class Energy Model'!H72</f>
        <v>32706054.215823736</v>
      </c>
      <c r="G93" s="694">
        <f>'Rate Class Energy Model'!I72</f>
        <v>10211910.534520878</v>
      </c>
      <c r="H93" s="694">
        <f>'Rate Class Energy Model'!J72</f>
        <v>15511400.46588367</v>
      </c>
      <c r="I93" s="694">
        <f>'Rate Class Energy Model'!K72</f>
        <v>24257.609003941219</v>
      </c>
      <c r="J93" s="694">
        <f>'Rate Class Energy Model'!L72</f>
        <v>224918.5</v>
      </c>
      <c r="K93" s="694">
        <f>'Rate Class Energy Model'!M72</f>
        <v>115182.4523499588</v>
      </c>
    </row>
    <row r="94" spans="2:12" ht="15.5" x14ac:dyDescent="0.35">
      <c r="B94" s="695" t="str">
        <f>'Rate Class Energy Model'!A73</f>
        <v>USED</v>
      </c>
      <c r="C94" s="691"/>
      <c r="D94" s="692"/>
      <c r="E94" s="693">
        <f>'Rate Class Energy Model'!G73</f>
        <v>58677605.477582194</v>
      </c>
      <c r="F94" s="694">
        <f>'Rate Class Energy Model'!H73</f>
        <v>32639691.743550409</v>
      </c>
      <c r="G94" s="694">
        <f>'Rate Class Energy Model'!I73</f>
        <v>10191189.978466244</v>
      </c>
      <c r="H94" s="694">
        <f>'Rate Class Energy Model'!J73</f>
        <v>15482365.194211636</v>
      </c>
      <c r="I94" s="694">
        <f>'Rate Class Energy Model'!K73</f>
        <v>24257.609003941219</v>
      </c>
      <c r="J94" s="694">
        <f>'Rate Class Energy Model'!L73</f>
        <v>224918.5</v>
      </c>
      <c r="K94" s="694">
        <f>'Rate Class Energy Model'!M73</f>
        <v>115182.4523499588</v>
      </c>
    </row>
    <row r="100" spans="2:12" ht="17.5" x14ac:dyDescent="0.35">
      <c r="B100" s="222"/>
      <c r="C100" s="222"/>
      <c r="D100" s="222"/>
      <c r="E100" s="222"/>
      <c r="F100" s="222"/>
      <c r="G100" s="222"/>
      <c r="H100" s="222"/>
      <c r="I100" s="222"/>
      <c r="J100" s="222"/>
      <c r="K100" s="222"/>
      <c r="L100" s="222"/>
    </row>
    <row r="101" spans="2:12" ht="18" x14ac:dyDescent="0.35">
      <c r="B101" s="212" t="s">
        <v>419</v>
      </c>
      <c r="C101" s="212"/>
      <c r="D101" s="212"/>
      <c r="E101" s="213"/>
      <c r="F101" s="213"/>
      <c r="G101" s="213"/>
      <c r="H101" s="213"/>
      <c r="I101" s="213"/>
      <c r="J101" s="213"/>
      <c r="K101" s="213"/>
      <c r="L101" s="222"/>
    </row>
    <row r="102" spans="2:12" ht="54" x14ac:dyDescent="0.35">
      <c r="B102" s="191" t="s">
        <v>110</v>
      </c>
      <c r="C102" s="192"/>
      <c r="D102" s="192"/>
      <c r="E102" s="193" t="s">
        <v>1</v>
      </c>
      <c r="F102" s="193" t="s">
        <v>97</v>
      </c>
      <c r="G102" s="193" t="s">
        <v>201</v>
      </c>
      <c r="H102" s="193" t="s">
        <v>120</v>
      </c>
      <c r="I102" s="193" t="s">
        <v>47</v>
      </c>
      <c r="J102" s="193"/>
      <c r="K102" s="193" t="s">
        <v>121</v>
      </c>
      <c r="L102" s="222"/>
    </row>
    <row r="103" spans="2:12" ht="18" x14ac:dyDescent="0.35">
      <c r="B103" s="215" t="s">
        <v>124</v>
      </c>
      <c r="C103" s="216"/>
      <c r="D103" s="216"/>
      <c r="E103" s="216"/>
      <c r="F103" s="216"/>
      <c r="G103" s="216"/>
      <c r="H103" s="216"/>
      <c r="I103" s="216"/>
      <c r="J103" s="216"/>
      <c r="K103" s="217"/>
      <c r="L103" s="222"/>
    </row>
    <row r="104" spans="2:12" ht="17.5" x14ac:dyDescent="0.35">
      <c r="B104" s="198"/>
      <c r="C104" s="199"/>
      <c r="D104" s="199"/>
      <c r="E104" s="201"/>
      <c r="F104" s="201"/>
      <c r="G104" s="201"/>
      <c r="H104" s="201"/>
      <c r="I104" s="201"/>
      <c r="J104" s="201"/>
      <c r="K104" s="201"/>
      <c r="L104" s="222"/>
    </row>
    <row r="105" spans="2:12" ht="17.5" x14ac:dyDescent="0.35">
      <c r="B105" s="198" t="s">
        <v>164</v>
      </c>
      <c r="C105" s="199"/>
      <c r="D105" s="199"/>
      <c r="E105" s="201">
        <f>E53*1000000/E74</f>
        <v>11479.002809975413</v>
      </c>
      <c r="F105" s="201">
        <f t="shared" ref="F105:K105" si="11">F53*1000000/F74</f>
        <v>26507.997647058823</v>
      </c>
      <c r="G105" s="201">
        <f t="shared" si="11"/>
        <v>646028.59259259258</v>
      </c>
      <c r="H105" s="201">
        <f t="shared" si="11"/>
        <v>929.26923076923072</v>
      </c>
      <c r="I105" s="201">
        <f t="shared" si="11"/>
        <v>591.80056980056975</v>
      </c>
      <c r="J105" s="201"/>
      <c r="K105" s="201">
        <f t="shared" si="11"/>
        <v>6665</v>
      </c>
      <c r="L105" s="222"/>
    </row>
    <row r="106" spans="2:12" ht="17.5" x14ac:dyDescent="0.35">
      <c r="B106" s="198"/>
      <c r="C106" s="199"/>
      <c r="D106" s="199"/>
      <c r="E106" s="201"/>
      <c r="F106" s="201"/>
      <c r="G106" s="201"/>
      <c r="H106" s="201"/>
      <c r="I106" s="229"/>
      <c r="J106" s="229"/>
      <c r="K106" s="230"/>
      <c r="L106" s="222"/>
    </row>
    <row r="107" spans="2:12" ht="17.5" x14ac:dyDescent="0.35">
      <c r="B107" s="209" t="s">
        <v>72</v>
      </c>
      <c r="C107" s="199"/>
      <c r="D107" s="199"/>
      <c r="E107" s="201">
        <f t="shared" ref="E107:I114" si="12">E55*1000000/E76</f>
        <v>10956.58</v>
      </c>
      <c r="F107" s="201">
        <f t="shared" si="12"/>
        <v>27230.564705882352</v>
      </c>
      <c r="G107" s="201">
        <f t="shared" si="12"/>
        <v>686415</v>
      </c>
      <c r="H107" s="201">
        <f t="shared" si="12"/>
        <v>965.38461538461536</v>
      </c>
      <c r="I107" s="201">
        <f t="shared" si="12"/>
        <v>589.32535885167465</v>
      </c>
      <c r="J107" s="201"/>
      <c r="K107" s="201">
        <f t="shared" ref="K107:K114" si="13">K55*1000000/K76</f>
        <v>8097.2857142857147</v>
      </c>
      <c r="L107" s="222"/>
    </row>
    <row r="108" spans="2:12" ht="17.5" x14ac:dyDescent="0.35">
      <c r="B108" s="209" t="s">
        <v>73</v>
      </c>
      <c r="C108" s="199"/>
      <c r="D108" s="199"/>
      <c r="E108" s="201">
        <f t="shared" si="12"/>
        <v>11134.849680365296</v>
      </c>
      <c r="F108" s="201">
        <f t="shared" si="12"/>
        <v>28068.70882352941</v>
      </c>
      <c r="G108" s="201">
        <f t="shared" si="12"/>
        <v>677946.50120000006</v>
      </c>
      <c r="H108" s="201">
        <f t="shared" si="12"/>
        <v>995.26923076923072</v>
      </c>
      <c r="I108" s="201">
        <f t="shared" si="12"/>
        <v>585.47457061068701</v>
      </c>
      <c r="J108" s="201"/>
      <c r="K108" s="201">
        <f t="shared" si="13"/>
        <v>8088.884761904761</v>
      </c>
      <c r="L108" s="222"/>
    </row>
    <row r="109" spans="2:12" ht="17.5" x14ac:dyDescent="0.35">
      <c r="B109" s="209" t="s">
        <v>74</v>
      </c>
      <c r="C109" s="199"/>
      <c r="D109" s="199"/>
      <c r="E109" s="201">
        <f t="shared" si="12"/>
        <v>10766.059502975149</v>
      </c>
      <c r="F109" s="201">
        <f t="shared" si="12"/>
        <v>29179.519900497511</v>
      </c>
      <c r="G109" s="201">
        <f t="shared" si="12"/>
        <v>587639.13793103443</v>
      </c>
      <c r="H109" s="201">
        <f t="shared" si="12"/>
        <v>989.42307692307691</v>
      </c>
      <c r="I109" s="201">
        <f t="shared" si="12"/>
        <v>589.90171755725191</v>
      </c>
      <c r="J109" s="201"/>
      <c r="K109" s="201">
        <f t="shared" si="13"/>
        <v>6245.7142857142853</v>
      </c>
      <c r="L109" s="222"/>
    </row>
    <row r="110" spans="2:12" ht="17.5" x14ac:dyDescent="0.35">
      <c r="B110" s="209" t="s">
        <v>100</v>
      </c>
      <c r="C110" s="199"/>
      <c r="D110" s="199"/>
      <c r="E110" s="201">
        <f t="shared" si="12"/>
        <v>11408.611616515045</v>
      </c>
      <c r="F110" s="201">
        <f t="shared" si="12"/>
        <v>27911.356608478804</v>
      </c>
      <c r="G110" s="201">
        <f t="shared" si="12"/>
        <v>581036.31034482759</v>
      </c>
      <c r="H110" s="201">
        <f t="shared" si="12"/>
        <v>954.48148148148152</v>
      </c>
      <c r="I110" s="201">
        <f t="shared" si="12"/>
        <v>579.96992481203006</v>
      </c>
      <c r="J110" s="201"/>
      <c r="K110" s="201">
        <f t="shared" si="13"/>
        <v>6291.9047619047615</v>
      </c>
      <c r="L110" s="222"/>
    </row>
    <row r="111" spans="2:12" ht="17.5" x14ac:dyDescent="0.35">
      <c r="B111" s="209" t="s">
        <v>158</v>
      </c>
      <c r="C111" s="199"/>
      <c r="D111" s="199"/>
      <c r="E111" s="201">
        <f t="shared" si="12"/>
        <v>11512.277563878193</v>
      </c>
      <c r="F111" s="201">
        <f t="shared" si="12"/>
        <v>26735.850746268658</v>
      </c>
      <c r="G111" s="201">
        <f t="shared" si="12"/>
        <v>589376.10344827583</v>
      </c>
      <c r="H111" s="201">
        <f t="shared" si="12"/>
        <v>991.19230769230774</v>
      </c>
      <c r="I111" s="201">
        <f t="shared" si="12"/>
        <v>346.43421052631578</v>
      </c>
      <c r="J111" s="201"/>
      <c r="K111" s="201">
        <f t="shared" si="13"/>
        <v>5887.4285714285716</v>
      </c>
      <c r="L111" s="222"/>
    </row>
    <row r="112" spans="2:12" ht="17.5" x14ac:dyDescent="0.35">
      <c r="B112" s="392" t="s">
        <v>206</v>
      </c>
      <c r="C112" s="199"/>
      <c r="D112" s="199"/>
      <c r="E112" s="201">
        <f t="shared" si="12"/>
        <v>10841.730476190474</v>
      </c>
      <c r="F112" s="201">
        <f t="shared" si="12"/>
        <v>25600.502857142863</v>
      </c>
      <c r="G112" s="201">
        <f t="shared" si="12"/>
        <v>574815.76586206909</v>
      </c>
      <c r="H112" s="201">
        <f t="shared" si="12"/>
        <v>948.77076923076913</v>
      </c>
      <c r="I112" s="201">
        <f t="shared" si="12"/>
        <v>348.4508740601504</v>
      </c>
      <c r="J112" s="201"/>
      <c r="K112" s="201">
        <f t="shared" si="13"/>
        <v>5887.4285714285716</v>
      </c>
      <c r="L112" s="222"/>
    </row>
    <row r="113" spans="1:22" ht="17.5" x14ac:dyDescent="0.35">
      <c r="B113" s="493" t="s">
        <v>207</v>
      </c>
      <c r="C113" s="199"/>
      <c r="D113" s="199"/>
      <c r="E113" s="201">
        <f t="shared" si="12"/>
        <v>10302.519087731564</v>
      </c>
      <c r="F113" s="201">
        <f t="shared" si="12"/>
        <v>25756.74969465649</v>
      </c>
      <c r="G113" s="201">
        <f t="shared" si="12"/>
        <v>564760.60034482763</v>
      </c>
      <c r="H113" s="201">
        <f t="shared" si="12"/>
        <v>944.8615384615382</v>
      </c>
      <c r="I113" s="201">
        <f t="shared" si="12"/>
        <v>321.39417840375586</v>
      </c>
      <c r="J113" s="201"/>
      <c r="K113" s="201">
        <f t="shared" si="13"/>
        <v>5887.4285714285716</v>
      </c>
      <c r="L113" s="222"/>
    </row>
    <row r="114" spans="1:22" ht="17.5" x14ac:dyDescent="0.35">
      <c r="B114" s="493" t="s">
        <v>271</v>
      </c>
      <c r="C114" s="367"/>
      <c r="D114" s="367"/>
      <c r="E114" s="201">
        <f t="shared" si="12"/>
        <v>10054.685135793869</v>
      </c>
      <c r="F114" s="201">
        <f t="shared" si="12"/>
        <v>25555.115850515464</v>
      </c>
      <c r="G114" s="201">
        <f t="shared" si="12"/>
        <v>556818.38678571431</v>
      </c>
      <c r="H114" s="201">
        <f t="shared" si="12"/>
        <v>969.4</v>
      </c>
      <c r="I114" s="201">
        <f t="shared" si="12"/>
        <v>320.22234741784035</v>
      </c>
      <c r="J114" s="201"/>
      <c r="K114" s="201">
        <f t="shared" si="13"/>
        <v>5887.4285714285716</v>
      </c>
      <c r="L114" s="222"/>
    </row>
    <row r="115" spans="1:22" ht="17.5" x14ac:dyDescent="0.35">
      <c r="B115" s="209" t="s">
        <v>272</v>
      </c>
      <c r="C115" s="622"/>
      <c r="D115" s="622"/>
      <c r="E115" s="201">
        <f t="shared" ref="E115:K115" si="14">E63*1000000/E84</f>
        <v>10752.815238919662</v>
      </c>
      <c r="F115" s="201">
        <f t="shared" si="14"/>
        <v>26342.911726804123</v>
      </c>
      <c r="G115" s="201">
        <f t="shared" si="14"/>
        <v>568780.88481481478</v>
      </c>
      <c r="H115" s="201">
        <f t="shared" si="14"/>
        <v>969.4079999999999</v>
      </c>
      <c r="I115" s="201">
        <f t="shared" si="14"/>
        <v>321.12693032015062</v>
      </c>
      <c r="J115" s="201"/>
      <c r="K115" s="201">
        <f t="shared" si="14"/>
        <v>5887.4285714285716</v>
      </c>
      <c r="L115" s="222"/>
    </row>
    <row r="116" spans="1:22" ht="17.5" x14ac:dyDescent="0.35">
      <c r="B116" s="209" t="s">
        <v>273</v>
      </c>
      <c r="C116" s="622"/>
      <c r="D116" s="622"/>
      <c r="E116" s="201">
        <f t="shared" ref="E116:I118" si="15">E64*1000000/E85</f>
        <v>10954.003116166838</v>
      </c>
      <c r="F116" s="201">
        <f t="shared" si="15"/>
        <v>27017.93668421053</v>
      </c>
      <c r="G116" s="201">
        <f t="shared" si="15"/>
        <v>533912.18285714288</v>
      </c>
      <c r="H116" s="201">
        <f t="shared" si="15"/>
        <v>969.4079999999999</v>
      </c>
      <c r="I116" s="201">
        <f t="shared" si="15"/>
        <v>321.12693032015062</v>
      </c>
      <c r="J116" s="201"/>
      <c r="K116" s="201">
        <f>K64*1000000/K85</f>
        <v>5887.4285714285716</v>
      </c>
      <c r="L116" s="222"/>
    </row>
    <row r="117" spans="1:22" ht="17.5" x14ac:dyDescent="0.35">
      <c r="B117" s="623" t="s">
        <v>328</v>
      </c>
      <c r="C117" s="622"/>
      <c r="D117" s="622"/>
      <c r="E117" s="201">
        <f t="shared" si="15"/>
        <v>11256.004105889453</v>
      </c>
      <c r="F117" s="201">
        <f t="shared" si="15"/>
        <v>27739.37287923682</v>
      </c>
      <c r="G117" s="201">
        <f t="shared" si="15"/>
        <v>532405.11243476777</v>
      </c>
      <c r="H117" s="201">
        <f t="shared" si="15"/>
        <v>969.85607652460783</v>
      </c>
      <c r="I117" s="201">
        <f t="shared" si="15"/>
        <v>281.5</v>
      </c>
      <c r="J117" s="201"/>
      <c r="K117" s="201">
        <f>K65*1000000/K86</f>
        <v>5682.5902079126417</v>
      </c>
      <c r="L117" s="222"/>
    </row>
    <row r="118" spans="1:22" ht="17.5" x14ac:dyDescent="0.35">
      <c r="B118" s="623" t="s">
        <v>277</v>
      </c>
      <c r="C118" s="622"/>
      <c r="D118" s="622"/>
      <c r="E118" s="201">
        <f t="shared" si="15"/>
        <v>11216.388915309419</v>
      </c>
      <c r="F118" s="201">
        <f t="shared" si="15"/>
        <v>27618.40102565378</v>
      </c>
      <c r="G118" s="201">
        <f t="shared" si="15"/>
        <v>516078.83980705455</v>
      </c>
      <c r="H118" s="201">
        <f t="shared" si="15"/>
        <v>970.30436015764872</v>
      </c>
      <c r="I118" s="201">
        <f t="shared" si="15"/>
        <v>281.5</v>
      </c>
      <c r="J118" s="201"/>
      <c r="K118" s="201">
        <f>K66*1000000/K87</f>
        <v>5484.8786833313716</v>
      </c>
      <c r="L118" s="222"/>
    </row>
    <row r="119" spans="1:22" ht="17.5" x14ac:dyDescent="0.35">
      <c r="L119" s="222"/>
    </row>
    <row r="120" spans="1:22" ht="17.5" hidden="1" x14ac:dyDescent="0.35">
      <c r="L120" s="222"/>
    </row>
    <row r="121" spans="1:22" ht="17.5" hidden="1" x14ac:dyDescent="0.35">
      <c r="L121" s="222"/>
    </row>
    <row r="122" spans="1:22" hidden="1" x14ac:dyDescent="0.25"/>
    <row r="123" spans="1:22" ht="18" hidden="1" x14ac:dyDescent="0.35">
      <c r="A123" s="222"/>
      <c r="B123" s="231" t="s">
        <v>125</v>
      </c>
      <c r="C123" s="232"/>
      <c r="D123" s="232"/>
      <c r="E123" s="232"/>
      <c r="F123" s="232"/>
      <c r="G123" s="232"/>
      <c r="H123" s="232"/>
      <c r="I123" s="233"/>
      <c r="J123" s="233"/>
      <c r="K123" s="234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</row>
    <row r="124" spans="1:22" ht="17.5" hidden="1" x14ac:dyDescent="0.35">
      <c r="A124" s="222"/>
      <c r="B124" s="198"/>
      <c r="C124" s="199"/>
      <c r="D124" s="199"/>
      <c r="E124" s="235"/>
      <c r="F124" s="235"/>
      <c r="G124" s="235"/>
      <c r="H124" s="235"/>
      <c r="I124" s="235"/>
      <c r="J124" s="235"/>
      <c r="K124" s="235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</row>
    <row r="125" spans="1:22" ht="17.5" hidden="1" x14ac:dyDescent="0.35">
      <c r="A125" s="222"/>
      <c r="B125" s="198" t="s">
        <v>165</v>
      </c>
      <c r="C125" s="199"/>
      <c r="D125" s="199"/>
      <c r="E125" s="235">
        <f t="shared" ref="E125:K125" si="16">E105/E109-1</f>
        <v>6.6221379029462346E-2</v>
      </c>
      <c r="F125" s="235">
        <f t="shared" si="16"/>
        <v>-9.1554702152352396E-2</v>
      </c>
      <c r="G125" s="235">
        <f t="shared" si="16"/>
        <v>9.9362773669460225E-2</v>
      </c>
      <c r="H125" s="235">
        <f t="shared" si="16"/>
        <v>-6.0796890184645291E-2</v>
      </c>
      <c r="I125" s="235">
        <f t="shared" si="16"/>
        <v>3.2189298433997759E-3</v>
      </c>
      <c r="J125" s="235"/>
      <c r="K125" s="235">
        <f t="shared" si="16"/>
        <v>6.7131747483988979E-2</v>
      </c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</row>
    <row r="126" spans="1:22" ht="17.5" hidden="1" x14ac:dyDescent="0.35">
      <c r="A126" s="222"/>
      <c r="B126" s="198"/>
      <c r="C126" s="199"/>
      <c r="D126" s="199"/>
      <c r="E126" s="235"/>
      <c r="F126" s="235"/>
      <c r="G126" s="235"/>
      <c r="H126" s="235"/>
      <c r="I126" s="235"/>
      <c r="J126" s="235"/>
      <c r="K126" s="235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</row>
    <row r="127" spans="1:22" ht="17.5" hidden="1" x14ac:dyDescent="0.35">
      <c r="A127" s="222"/>
      <c r="B127" s="209" t="s">
        <v>72</v>
      </c>
      <c r="C127" s="199"/>
      <c r="D127" s="199"/>
      <c r="E127" s="236"/>
      <c r="F127" s="236"/>
      <c r="G127" s="236"/>
      <c r="H127" s="236"/>
      <c r="I127" s="236"/>
      <c r="J127" s="236"/>
      <c r="K127" s="236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</row>
    <row r="128" spans="1:22" ht="17.5" hidden="1" x14ac:dyDescent="0.35">
      <c r="A128" s="222"/>
      <c r="B128" s="209" t="s">
        <v>73</v>
      </c>
      <c r="C128" s="199"/>
      <c r="D128" s="199"/>
      <c r="E128" s="236">
        <f t="shared" ref="E128:K134" si="17">E108/E107-1</f>
        <v>1.6270558912114597E-2</v>
      </c>
      <c r="F128" s="236">
        <f t="shared" si="17"/>
        <v>3.0779534934360031E-2</v>
      </c>
      <c r="G128" s="236">
        <f t="shared" si="17"/>
        <v>-1.2337286918263635E-2</v>
      </c>
      <c r="H128" s="236">
        <f t="shared" si="17"/>
        <v>3.0956175298804789E-2</v>
      </c>
      <c r="I128" s="236">
        <f t="shared" si="17"/>
        <v>-6.5342313598910629E-3</v>
      </c>
      <c r="J128" s="236"/>
      <c r="K128" s="236">
        <f t="shared" si="17"/>
        <v>-1.0375022788354782E-3</v>
      </c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</row>
    <row r="129" spans="1:22" ht="17.5" hidden="1" x14ac:dyDescent="0.35">
      <c r="A129" s="222"/>
      <c r="B129" s="209" t="s">
        <v>74</v>
      </c>
      <c r="C129" s="199"/>
      <c r="D129" s="199"/>
      <c r="E129" s="236">
        <f t="shared" si="17"/>
        <v>-3.3120355278837277E-2</v>
      </c>
      <c r="F129" s="236">
        <f t="shared" si="17"/>
        <v>3.9574712322959726E-2</v>
      </c>
      <c r="G129" s="236">
        <f t="shared" si="17"/>
        <v>-0.13320721193946272</v>
      </c>
      <c r="H129" s="236">
        <f t="shared" si="17"/>
        <v>-5.8739421107546486E-3</v>
      </c>
      <c r="I129" s="236">
        <f t="shared" si="17"/>
        <v>7.5616383166685619E-3</v>
      </c>
      <c r="J129" s="236"/>
      <c r="K129" s="236">
        <f t="shared" si="17"/>
        <v>-0.22786459820407279</v>
      </c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</row>
    <row r="130" spans="1:22" ht="17.5" hidden="1" x14ac:dyDescent="0.35">
      <c r="A130" s="222"/>
      <c r="B130" s="209" t="s">
        <v>100</v>
      </c>
      <c r="C130" s="199"/>
      <c r="D130" s="199"/>
      <c r="E130" s="236">
        <f t="shared" si="17"/>
        <v>5.9683128572931343E-2</v>
      </c>
      <c r="F130" s="236">
        <f t="shared" si="17"/>
        <v>-4.3460731922360551E-2</v>
      </c>
      <c r="G130" s="236">
        <f t="shared" si="17"/>
        <v>-1.1236194392113097E-2</v>
      </c>
      <c r="H130" s="236">
        <f t="shared" si="17"/>
        <v>-3.5315120757297591E-2</v>
      </c>
      <c r="I130" s="236">
        <f t="shared" si="17"/>
        <v>-1.6836351632181779E-2</v>
      </c>
      <c r="J130" s="236"/>
      <c r="K130" s="236">
        <f t="shared" si="17"/>
        <v>7.3955474229947527E-3</v>
      </c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</row>
    <row r="131" spans="1:22" ht="17.5" hidden="1" x14ac:dyDescent="0.35">
      <c r="A131" s="222"/>
      <c r="B131" s="209" t="s">
        <v>158</v>
      </c>
      <c r="C131" s="199"/>
      <c r="D131" s="199"/>
      <c r="E131" s="236">
        <f t="shared" si="17"/>
        <v>9.0866400617128917E-3</v>
      </c>
      <c r="F131" s="236">
        <f t="shared" si="17"/>
        <v>-4.2115683544133309E-2</v>
      </c>
      <c r="G131" s="236">
        <f t="shared" si="17"/>
        <v>1.4353307968823614E-2</v>
      </c>
      <c r="H131" s="236">
        <f t="shared" si="17"/>
        <v>3.8461538461538547E-2</v>
      </c>
      <c r="I131" s="236">
        <f t="shared" si="17"/>
        <v>-0.40266866314042726</v>
      </c>
      <c r="J131" s="236"/>
      <c r="K131" s="236">
        <f t="shared" si="17"/>
        <v>-6.4285173692575359E-2</v>
      </c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</row>
    <row r="132" spans="1:22" ht="17.5" hidden="1" x14ac:dyDescent="0.35">
      <c r="A132" s="222"/>
      <c r="B132" s="392" t="s">
        <v>206</v>
      </c>
      <c r="C132" s="199"/>
      <c r="D132" s="199"/>
      <c r="E132" s="236">
        <f t="shared" si="17"/>
        <v>-5.8246257872697438E-2</v>
      </c>
      <c r="F132" s="236">
        <f t="shared" si="17"/>
        <v>-4.2465373550316099E-2</v>
      </c>
      <c r="G132" s="236">
        <f t="shared" si="17"/>
        <v>-2.4704662270862765E-2</v>
      </c>
      <c r="H132" s="236">
        <f t="shared" si="17"/>
        <v>-4.2798494431725675E-2</v>
      </c>
      <c r="I132" s="236">
        <f t="shared" si="17"/>
        <v>5.8212020422891975E-3</v>
      </c>
      <c r="J132" s="236"/>
      <c r="K132" s="236">
        <f t="shared" si="17"/>
        <v>0</v>
      </c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2"/>
    </row>
    <row r="133" spans="1:22" ht="17.5" hidden="1" x14ac:dyDescent="0.35">
      <c r="A133" s="222"/>
      <c r="B133" s="209" t="s">
        <v>207</v>
      </c>
      <c r="C133" s="199"/>
      <c r="D133" s="199"/>
      <c r="E133" s="236">
        <f t="shared" si="17"/>
        <v>-4.9734808446222911E-2</v>
      </c>
      <c r="F133" s="236">
        <f t="shared" si="17"/>
        <v>6.1032722046721055E-3</v>
      </c>
      <c r="G133" s="236">
        <f t="shared" si="17"/>
        <v>-1.7492849212584538E-2</v>
      </c>
      <c r="H133" s="236">
        <f t="shared" si="17"/>
        <v>-4.1203111394340075E-3</v>
      </c>
      <c r="I133" s="236">
        <f t="shared" si="17"/>
        <v>-7.7648522849519286E-2</v>
      </c>
      <c r="J133" s="236"/>
      <c r="K133" s="236">
        <f t="shared" si="17"/>
        <v>0</v>
      </c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</row>
    <row r="134" spans="1:22" ht="17.5" hidden="1" x14ac:dyDescent="0.35">
      <c r="A134" s="222"/>
      <c r="B134" s="623" t="s">
        <v>271</v>
      </c>
      <c r="C134" s="622"/>
      <c r="D134" s="622"/>
      <c r="E134" s="236">
        <f t="shared" si="17"/>
        <v>-2.4055665398651893E-2</v>
      </c>
      <c r="F134" s="236">
        <f t="shared" si="17"/>
        <v>-7.8283885401447817E-3</v>
      </c>
      <c r="G134" s="236">
        <f t="shared" si="17"/>
        <v>-1.406297385877131E-2</v>
      </c>
      <c r="H134" s="236">
        <f t="shared" si="17"/>
        <v>2.5970431158004681E-2</v>
      </c>
      <c r="I134" s="236">
        <f t="shared" si="17"/>
        <v>-3.6460865337870629E-3</v>
      </c>
      <c r="J134" s="236"/>
      <c r="K134" s="236">
        <f t="shared" si="17"/>
        <v>0</v>
      </c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</row>
    <row r="135" spans="1:22" ht="17.5" hidden="1" x14ac:dyDescent="0.35">
      <c r="A135" s="222"/>
      <c r="B135" s="209" t="s">
        <v>272</v>
      </c>
      <c r="C135" s="622"/>
      <c r="D135" s="622"/>
      <c r="E135" s="236">
        <f t="shared" ref="E135:K135" si="18">E115/E114-1</f>
        <v>6.9433313295958587E-2</v>
      </c>
      <c r="F135" s="236">
        <f t="shared" si="18"/>
        <v>3.0827325569442454E-2</v>
      </c>
      <c r="G135" s="236">
        <f t="shared" si="18"/>
        <v>2.1483662021570593E-2</v>
      </c>
      <c r="H135" s="236">
        <f t="shared" si="18"/>
        <v>8.2525273363831531E-6</v>
      </c>
      <c r="I135" s="236">
        <f t="shared" si="18"/>
        <v>2.8248587570620654E-3</v>
      </c>
      <c r="J135" s="236"/>
      <c r="K135" s="236">
        <f t="shared" si="18"/>
        <v>0</v>
      </c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</row>
    <row r="136" spans="1:22" ht="17.5" hidden="1" x14ac:dyDescent="0.35">
      <c r="A136" s="222"/>
      <c r="B136" s="209" t="s">
        <v>273</v>
      </c>
      <c r="C136" s="622"/>
      <c r="D136" s="622"/>
      <c r="E136" s="236">
        <f t="shared" ref="E136:K136" si="19">E116/E115-1</f>
        <v>1.8710251480838158E-2</v>
      </c>
      <c r="F136" s="236">
        <f t="shared" si="19"/>
        <v>2.5624538563046029E-2</v>
      </c>
      <c r="G136" s="236">
        <f t="shared" si="19"/>
        <v>-6.1304278833182901E-2</v>
      </c>
      <c r="H136" s="236">
        <f t="shared" si="19"/>
        <v>0</v>
      </c>
      <c r="I136" s="236">
        <f t="shared" si="19"/>
        <v>0</v>
      </c>
      <c r="J136" s="236"/>
      <c r="K136" s="236">
        <f t="shared" si="19"/>
        <v>0</v>
      </c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</row>
    <row r="137" spans="1:22" ht="17.5" hidden="1" x14ac:dyDescent="0.35">
      <c r="A137" s="222"/>
      <c r="B137" s="623" t="s">
        <v>281</v>
      </c>
      <c r="C137" s="622"/>
      <c r="D137" s="622"/>
      <c r="E137" s="236">
        <f t="shared" ref="E137:K137" si="20">E117/E116-1</f>
        <v>2.7569920011881077E-2</v>
      </c>
      <c r="F137" s="236">
        <f t="shared" si="20"/>
        <v>2.6702120278781383E-2</v>
      </c>
      <c r="G137" s="236">
        <f t="shared" si="20"/>
        <v>-2.822693451777547E-3</v>
      </c>
      <c r="H137" s="236">
        <f t="shared" si="20"/>
        <v>4.6221665656553945E-4</v>
      </c>
      <c r="I137" s="236">
        <f t="shared" si="20"/>
        <v>-0.12339958620301372</v>
      </c>
      <c r="J137" s="236"/>
      <c r="K137" s="236">
        <f t="shared" si="20"/>
        <v>-3.4792500839840534E-2</v>
      </c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2"/>
    </row>
    <row r="138" spans="1:22" ht="17.5" hidden="1" x14ac:dyDescent="0.35">
      <c r="A138" s="222"/>
      <c r="B138" s="623" t="s">
        <v>284</v>
      </c>
      <c r="C138" s="622"/>
      <c r="D138" s="622"/>
      <c r="E138" s="236">
        <f t="shared" ref="E138:K138" si="21">E118/E117-1</f>
        <v>-3.5194719375862826E-3</v>
      </c>
      <c r="F138" s="236">
        <f t="shared" si="21"/>
        <v>-4.3610161667926306E-3</v>
      </c>
      <c r="G138" s="236">
        <f t="shared" si="21"/>
        <v>-3.0665131206292773E-2</v>
      </c>
      <c r="H138" s="236">
        <f t="shared" si="21"/>
        <v>4.6221665656553945E-4</v>
      </c>
      <c r="I138" s="236">
        <f t="shared" si="21"/>
        <v>0</v>
      </c>
      <c r="J138" s="236"/>
      <c r="K138" s="236">
        <f t="shared" si="21"/>
        <v>-3.4792500839840534E-2</v>
      </c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</row>
    <row r="139" spans="1:22" ht="17.5" hidden="1" x14ac:dyDescent="0.35">
      <c r="A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</row>
    <row r="140" spans="1:22" ht="17.5" hidden="1" x14ac:dyDescent="0.35">
      <c r="A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2"/>
    </row>
    <row r="141" spans="1:22" ht="17.5" hidden="1" x14ac:dyDescent="0.35">
      <c r="A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2"/>
    </row>
    <row r="142" spans="1:22" ht="17.5" x14ac:dyDescent="0.35">
      <c r="A142" s="222"/>
      <c r="B142" s="222"/>
      <c r="C142" s="222"/>
      <c r="D142" s="222"/>
      <c r="E142" s="222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2"/>
    </row>
    <row r="143" spans="1:22" ht="18" x14ac:dyDescent="0.35">
      <c r="A143" s="222"/>
      <c r="B143" s="212" t="s">
        <v>377</v>
      </c>
      <c r="C143" s="212"/>
      <c r="D143" s="212"/>
      <c r="E143" s="213"/>
      <c r="F143" s="213"/>
      <c r="G143" s="213"/>
      <c r="H143" s="222"/>
      <c r="I143" s="222"/>
      <c r="J143" s="222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2"/>
    </row>
    <row r="144" spans="1:22" ht="18" x14ac:dyDescent="0.35">
      <c r="A144" s="222"/>
      <c r="B144" s="191" t="s">
        <v>126</v>
      </c>
      <c r="C144" s="192"/>
      <c r="D144" s="192"/>
      <c r="E144" s="193" t="s">
        <v>127</v>
      </c>
      <c r="F144" s="222"/>
      <c r="G144" s="222"/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2"/>
    </row>
    <row r="145" spans="1:22" ht="17.5" x14ac:dyDescent="0.35">
      <c r="A145" s="222"/>
      <c r="B145" s="198" t="s">
        <v>28</v>
      </c>
      <c r="C145" s="199"/>
      <c r="D145" s="199"/>
      <c r="E145" s="237">
        <f>'Purchased Power Model'!R29</f>
        <v>0.91506880141554214</v>
      </c>
      <c r="F145" s="222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</row>
    <row r="146" spans="1:22" ht="17.5" x14ac:dyDescent="0.35">
      <c r="A146" s="222"/>
      <c r="B146" s="198" t="s">
        <v>29</v>
      </c>
      <c r="C146" s="199"/>
      <c r="D146" s="199"/>
      <c r="E146" s="237">
        <f>'Purchased Power Model'!R30</f>
        <v>0.91211467276912628</v>
      </c>
      <c r="F146" s="222"/>
      <c r="G146" s="222"/>
      <c r="H146" s="222"/>
      <c r="I146" s="222"/>
      <c r="J146" s="222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2"/>
    </row>
    <row r="147" spans="1:22" ht="17.5" x14ac:dyDescent="0.35">
      <c r="A147" s="222"/>
      <c r="B147" s="198" t="s">
        <v>128</v>
      </c>
      <c r="C147" s="199"/>
      <c r="D147" s="199"/>
      <c r="E147" s="200">
        <f>'Purchased Power Model'!U36</f>
        <v>309.75929315933587</v>
      </c>
      <c r="F147" s="222"/>
      <c r="G147" s="222"/>
      <c r="H147" s="222"/>
      <c r="I147" s="222"/>
      <c r="J147" s="222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2"/>
    </row>
    <row r="148" spans="1:22" ht="17.5" x14ac:dyDescent="0.35">
      <c r="A148" s="222"/>
      <c r="B148" s="198" t="s">
        <v>129</v>
      </c>
      <c r="C148" s="199"/>
      <c r="D148" s="199"/>
      <c r="E148" s="632">
        <f>AVERAGE('Purchased Power Model'!N3:N122)</f>
        <v>4.938829297847884E-2</v>
      </c>
      <c r="F148" s="222"/>
      <c r="G148" s="222"/>
      <c r="H148" s="222"/>
      <c r="I148" s="222"/>
      <c r="J148" s="222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2"/>
    </row>
    <row r="149" spans="1:22" ht="17.5" x14ac:dyDescent="0.35">
      <c r="A149" s="222"/>
      <c r="B149" s="198" t="s">
        <v>130</v>
      </c>
      <c r="C149" s="199"/>
      <c r="D149" s="199"/>
      <c r="E149" s="200"/>
      <c r="F149" s="222"/>
      <c r="G149" s="222"/>
      <c r="H149" s="222"/>
      <c r="I149" s="222"/>
      <c r="J149" s="222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2"/>
    </row>
    <row r="150" spans="1:22" ht="17.5" x14ac:dyDescent="0.35">
      <c r="A150" s="222"/>
      <c r="B150" s="238" t="s">
        <v>3</v>
      </c>
      <c r="C150" s="199"/>
      <c r="D150" s="199"/>
      <c r="E150" s="633">
        <f>'Purchased Power Model'!T42</f>
        <v>26.432783916126812</v>
      </c>
      <c r="F150" s="222"/>
      <c r="G150" s="222"/>
      <c r="H150" s="222"/>
      <c r="I150" s="222"/>
      <c r="J150" s="222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2"/>
    </row>
    <row r="151" spans="1:22" ht="17.5" x14ac:dyDescent="0.35">
      <c r="A151" s="222"/>
      <c r="B151" s="238" t="s">
        <v>4</v>
      </c>
      <c r="C151" s="199"/>
      <c r="D151" s="199"/>
      <c r="E151" s="633">
        <f>'Purchased Power Model'!T43</f>
        <v>3.7693545223133049</v>
      </c>
      <c r="F151" s="222"/>
      <c r="G151" s="222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</row>
    <row r="152" spans="1:22" ht="17.5" x14ac:dyDescent="0.35">
      <c r="A152" s="222"/>
      <c r="B152" s="238" t="s">
        <v>26</v>
      </c>
      <c r="C152" s="199"/>
      <c r="D152" s="199"/>
      <c r="E152" s="633">
        <f>'Purchased Power Model'!T44</f>
        <v>-5.4050421752499966</v>
      </c>
      <c r="F152" s="222"/>
      <c r="G152" s="222"/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2"/>
    </row>
    <row r="153" spans="1:22" ht="17.5" x14ac:dyDescent="0.35">
      <c r="A153" s="222"/>
      <c r="B153" s="238" t="s">
        <v>131</v>
      </c>
      <c r="C153" s="199"/>
      <c r="D153" s="199"/>
      <c r="E153" s="633">
        <f>'Purchased Power Model'!T41</f>
        <v>0.91287402465456824</v>
      </c>
      <c r="F153" s="222"/>
      <c r="G153" s="222"/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2"/>
    </row>
    <row r="154" spans="1:22" ht="17.5" x14ac:dyDescent="0.35">
      <c r="A154" s="222"/>
      <c r="B154" s="239"/>
      <c r="C154" s="239"/>
      <c r="D154" s="239"/>
      <c r="E154" s="222"/>
      <c r="F154" s="222"/>
      <c r="G154" s="222"/>
      <c r="H154" s="222"/>
      <c r="I154" s="222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2"/>
    </row>
    <row r="155" spans="1:22" ht="18" x14ac:dyDescent="0.35">
      <c r="A155" s="222"/>
      <c r="B155" s="212" t="s">
        <v>378</v>
      </c>
      <c r="C155" s="212"/>
      <c r="D155" s="212"/>
      <c r="E155" s="213"/>
      <c r="F155" s="213"/>
      <c r="G155" s="213"/>
      <c r="H155" s="222"/>
      <c r="I155" s="222"/>
      <c r="J155" s="222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2"/>
    </row>
    <row r="156" spans="1:22" ht="72" x14ac:dyDescent="0.35">
      <c r="A156" s="222"/>
      <c r="B156" s="191" t="s">
        <v>110</v>
      </c>
      <c r="C156" s="192"/>
      <c r="D156" s="192"/>
      <c r="E156" s="193" t="s">
        <v>132</v>
      </c>
      <c r="F156" s="193" t="s">
        <v>133</v>
      </c>
      <c r="G156" s="193" t="s">
        <v>10</v>
      </c>
      <c r="H156" s="193" t="s">
        <v>333</v>
      </c>
      <c r="I156" s="193" t="s">
        <v>334</v>
      </c>
      <c r="J156" s="193"/>
      <c r="K156" s="193" t="s">
        <v>335</v>
      </c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2"/>
    </row>
    <row r="157" spans="1:22" ht="18" x14ac:dyDescent="0.35">
      <c r="A157" s="222"/>
      <c r="B157" s="194" t="s">
        <v>134</v>
      </c>
      <c r="C157" s="196"/>
      <c r="D157" s="196"/>
      <c r="E157" s="196"/>
      <c r="F157" s="196"/>
      <c r="G157" s="197"/>
      <c r="H157" s="375"/>
      <c r="I157" s="375"/>
      <c r="J157" s="375"/>
      <c r="K157" s="375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2"/>
    </row>
    <row r="158" spans="1:22" ht="17.5" x14ac:dyDescent="0.35">
      <c r="A158" s="222"/>
      <c r="B158" s="198">
        <v>2010</v>
      </c>
      <c r="C158" s="199"/>
      <c r="D158" s="199"/>
      <c r="E158" s="204">
        <f>'Rate Class Energy Model'!B12/1000000</f>
        <v>64.797090100000005</v>
      </c>
      <c r="F158" s="204">
        <f>'Rate Class Energy Model'!C12/1000000</f>
        <v>61.581067223135889</v>
      </c>
      <c r="G158" s="240">
        <f>F158/E158-1</f>
        <v>-4.9632211445003072E-2</v>
      </c>
      <c r="H158" s="204">
        <f>'Purchased Power Model'!O149/1000000</f>
        <v>62.750541387813456</v>
      </c>
      <c r="I158" s="634">
        <f>'Purchased Power Model'!P149</f>
        <v>1.0189908070355462</v>
      </c>
      <c r="J158" s="634"/>
      <c r="K158" s="204">
        <f>'Purchased Power Model'!Q149/1000000</f>
        <v>66.027639134554008</v>
      </c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2"/>
    </row>
    <row r="159" spans="1:22" ht="17.5" x14ac:dyDescent="0.35">
      <c r="A159" s="222"/>
      <c r="B159" s="198">
        <v>2011</v>
      </c>
      <c r="C159" s="199"/>
      <c r="D159" s="199"/>
      <c r="E159" s="204">
        <f>'Rate Class Energy Model'!B13/1000000</f>
        <v>66.39818326132</v>
      </c>
      <c r="F159" s="204">
        <f>'Rate Class Energy Model'!C13/1000000</f>
        <v>62.738096736301841</v>
      </c>
      <c r="G159" s="240">
        <f>F159/E159-1</f>
        <v>-5.5123293217426483E-2</v>
      </c>
      <c r="H159" s="204">
        <f>'Purchased Power Model'!O150/1000000</f>
        <v>62.750541387813456</v>
      </c>
      <c r="I159" s="634">
        <f>'Purchased Power Model'!P150</f>
        <v>1.0001983587669854</v>
      </c>
      <c r="J159" s="634"/>
      <c r="K159" s="204">
        <f>'Purchased Power Model'!Q150/1000000</f>
        <v>66.411353923081776</v>
      </c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2"/>
    </row>
    <row r="160" spans="1:22" ht="17.5" x14ac:dyDescent="0.35">
      <c r="A160" s="222"/>
      <c r="B160" s="629">
        <v>2012</v>
      </c>
      <c r="C160" s="199"/>
      <c r="D160" s="199"/>
      <c r="E160" s="204">
        <f>'Rate Class Energy Model'!B14/1000000</f>
        <v>63.284544894519996</v>
      </c>
      <c r="F160" s="204">
        <f>'Rate Class Energy Model'!C14/1000000</f>
        <v>61.624254163418385</v>
      </c>
      <c r="G160" s="240">
        <f t="shared" ref="G160:G167" si="22">F160/E160-1</f>
        <v>-2.6235327027616551E-2</v>
      </c>
      <c r="H160" s="204">
        <f>'Purchased Power Model'!O151/1000000</f>
        <v>62.840765033346351</v>
      </c>
      <c r="I160" s="634">
        <f>'Purchased Power Model'!P151</f>
        <v>1.0197407804190532</v>
      </c>
      <c r="J160" s="634"/>
      <c r="K160" s="204">
        <f>'Purchased Power Model'!Q151/1000000</f>
        <v>64.533831199202439</v>
      </c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2"/>
    </row>
    <row r="161" spans="1:22" ht="17.5" x14ac:dyDescent="0.35">
      <c r="A161" s="222"/>
      <c r="B161" s="629">
        <v>2013</v>
      </c>
      <c r="C161" s="199"/>
      <c r="D161" s="199"/>
      <c r="E161" s="204">
        <f>'Rate Class Energy Model'!B15/1000000</f>
        <v>63.602962210319994</v>
      </c>
      <c r="F161" s="204">
        <f>'Rate Class Energy Model'!C15/1000000</f>
        <v>62.892003896134014</v>
      </c>
      <c r="G161" s="240">
        <f t="shared" si="22"/>
        <v>-1.1178069220031062E-2</v>
      </c>
      <c r="H161" s="204">
        <f>'Purchased Power Model'!O152/1000000</f>
        <v>62.750541387813456</v>
      </c>
      <c r="I161" s="634">
        <f>'Purchased Power Model'!P152</f>
        <v>0.99775070756921369</v>
      </c>
      <c r="J161" s="634"/>
      <c r="K161" s="204">
        <f>'Purchased Power Model'!Q152/1000000</f>
        <v>63.459900548844729</v>
      </c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</row>
    <row r="162" spans="1:22" ht="17.5" x14ac:dyDescent="0.35">
      <c r="A162" s="222"/>
      <c r="B162" s="629">
        <v>2014</v>
      </c>
      <c r="C162" s="199"/>
      <c r="D162" s="199"/>
      <c r="E162" s="204">
        <f>'Rate Class Energy Model'!B16/1000000</f>
        <v>65.352027278519998</v>
      </c>
      <c r="F162" s="204">
        <f>'Rate Class Energy Model'!C16/1000000</f>
        <v>64.340113997318809</v>
      </c>
      <c r="G162" s="240">
        <f t="shared" si="22"/>
        <v>-1.5484038113899312E-2</v>
      </c>
      <c r="H162" s="204">
        <f>'Purchased Power Model'!O153/1000000</f>
        <v>62.750541387813456</v>
      </c>
      <c r="I162" s="634">
        <f>'Purchased Power Model'!P153</f>
        <v>0.97529422143125843</v>
      </c>
      <c r="J162" s="634"/>
      <c r="K162" s="204">
        <f>'Purchased Power Model'!Q153/1000000</f>
        <v>63.737454563558529</v>
      </c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2"/>
    </row>
    <row r="163" spans="1:22" ht="17.5" x14ac:dyDescent="0.35">
      <c r="A163" s="222"/>
      <c r="B163" s="629">
        <v>2015</v>
      </c>
      <c r="C163" s="199"/>
      <c r="D163" s="199"/>
      <c r="E163" s="204">
        <f>'Rate Class Energy Model'!B17/1000000</f>
        <v>61.104721271502576</v>
      </c>
      <c r="F163" s="204">
        <f>'Rate Class Energy Model'!C17/1000000</f>
        <v>63.174013199874786</v>
      </c>
      <c r="G163" s="240">
        <f t="shared" si="22"/>
        <v>3.3864681571459387E-2</v>
      </c>
      <c r="H163" s="204">
        <f>'Purchased Power Model'!O154/1000000</f>
        <v>62.750541387813456</v>
      </c>
      <c r="I163" s="634">
        <f>'Purchased Power Model'!P154</f>
        <v>0.99329674037453475</v>
      </c>
      <c r="J163" s="634"/>
      <c r="K163" s="204">
        <f>'Purchased Power Model'!Q154/1000000</f>
        <v>60.695120460478009</v>
      </c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/>
    </row>
    <row r="164" spans="1:22" ht="17.5" x14ac:dyDescent="0.35">
      <c r="A164" s="222"/>
      <c r="B164" s="629">
        <v>2016</v>
      </c>
      <c r="C164" s="199"/>
      <c r="D164" s="199"/>
      <c r="E164" s="204">
        <f>'Rate Class Energy Model'!B18/1000000</f>
        <v>59.794103869807422</v>
      </c>
      <c r="F164" s="204">
        <f>'Rate Class Energy Model'!C18/1000000</f>
        <v>62.605890315318774</v>
      </c>
      <c r="G164" s="240">
        <f t="shared" si="22"/>
        <v>4.7024476721544195E-2</v>
      </c>
      <c r="H164" s="204">
        <f>'Purchased Power Model'!O155/1000000</f>
        <v>62.840765033346351</v>
      </c>
      <c r="I164" s="634">
        <f>'Purchased Power Model'!P155</f>
        <v>1.0037516392921595</v>
      </c>
      <c r="J164" s="634"/>
      <c r="K164" s="204">
        <f>'Purchased Power Model'!Q155/1000000</f>
        <v>60.018429779324862</v>
      </c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2"/>
    </row>
    <row r="165" spans="1:22" ht="17.5" x14ac:dyDescent="0.35">
      <c r="A165" s="222"/>
      <c r="B165" s="629">
        <v>2017</v>
      </c>
      <c r="C165" s="199"/>
      <c r="D165" s="199"/>
      <c r="E165" s="204">
        <f>'Rate Class Energy Model'!B19/1000000</f>
        <v>59.491334831651997</v>
      </c>
      <c r="F165" s="204">
        <f>'Rate Class Energy Model'!C19/1000000</f>
        <v>62.123262013241117</v>
      </c>
      <c r="G165" s="240">
        <f t="shared" si="22"/>
        <v>4.4240513161066586E-2</v>
      </c>
      <c r="H165" s="204">
        <f>'Purchased Power Model'!O156/1000000</f>
        <v>62.750541387813456</v>
      </c>
      <c r="I165" s="634">
        <f>'Purchased Power Model'!P156</f>
        <v>1.0100973347864224</v>
      </c>
      <c r="J165" s="634"/>
      <c r="K165" s="204">
        <f>'Purchased Power Model'!Q156/1000000</f>
        <v>60.09203875633834</v>
      </c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</row>
    <row r="166" spans="1:22" ht="17.5" x14ac:dyDescent="0.35">
      <c r="A166" s="222"/>
      <c r="B166" s="629">
        <v>2018</v>
      </c>
      <c r="C166" s="199"/>
      <c r="D166" s="199"/>
      <c r="E166" s="204">
        <f>'Rate Class Energy Model'!B20/1000000</f>
        <v>61.810132542415701</v>
      </c>
      <c r="F166" s="204">
        <f>'Rate Class Energy Model'!C20/1000000</f>
        <v>63.84509746661216</v>
      </c>
      <c r="G166" s="240">
        <f t="shared" si="22"/>
        <v>3.2922837089857548E-2</v>
      </c>
      <c r="H166" s="204">
        <f>'Purchased Power Model'!O157/1000000</f>
        <v>62.750541387813456</v>
      </c>
      <c r="I166" s="634">
        <f>'Purchased Power Model'!P157</f>
        <v>0.98285606691459582</v>
      </c>
      <c r="J166" s="634"/>
      <c r="K166" s="204">
        <f>'Purchased Power Model'!Q157/1000000</f>
        <v>60.750463766108567</v>
      </c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2"/>
    </row>
    <row r="167" spans="1:22" ht="17.5" x14ac:dyDescent="0.35">
      <c r="A167" s="222"/>
      <c r="B167" s="629">
        <v>2019</v>
      </c>
      <c r="C167" s="199"/>
      <c r="D167" s="199"/>
      <c r="E167" s="204">
        <f>'Rate Class Energy Model'!B21/1000000</f>
        <v>62.050760909142859</v>
      </c>
      <c r="F167" s="204">
        <f>'Rate Class Energy Model'!C21/1000000</f>
        <v>62.762062157844547</v>
      </c>
      <c r="G167" s="240">
        <f t="shared" si="22"/>
        <v>1.1463215571896113E-2</v>
      </c>
      <c r="H167" s="204">
        <f>'Purchased Power Model'!O158/1000000</f>
        <v>62.750541387813456</v>
      </c>
      <c r="I167" s="634">
        <f>'Purchased Power Model'!P158</f>
        <v>0.99981643735666126</v>
      </c>
      <c r="J167" s="634"/>
      <c r="K167" s="204">
        <f>'Purchased Power Model'!Q158/1000000</f>
        <v>62.039370707449194</v>
      </c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2"/>
    </row>
    <row r="168" spans="1:22" ht="17.5" x14ac:dyDescent="0.35">
      <c r="A168" s="222"/>
      <c r="B168" s="629" t="s">
        <v>330</v>
      </c>
      <c r="C168" s="199"/>
      <c r="D168" s="199"/>
      <c r="E168" s="204"/>
      <c r="F168" s="204">
        <f>'Rate Class Energy Model'!C22/1000000</f>
        <v>62.840765033346351</v>
      </c>
      <c r="G168" s="240"/>
      <c r="H168" s="204">
        <f>'Purchased Power Model WN'!K159/1000000</f>
        <v>62.840765033346351</v>
      </c>
      <c r="I168" s="634">
        <f>H168/F168</f>
        <v>1</v>
      </c>
      <c r="J168" s="634"/>
      <c r="K168" s="204"/>
      <c r="L168" s="222"/>
      <c r="M168" s="222"/>
      <c r="N168" s="222"/>
      <c r="O168" s="222"/>
      <c r="P168" s="222"/>
      <c r="Q168" s="222"/>
      <c r="R168" s="222"/>
      <c r="S168" s="222"/>
      <c r="T168" s="222"/>
      <c r="U168" s="222"/>
      <c r="V168" s="222"/>
    </row>
    <row r="169" spans="1:22" ht="17.5" x14ac:dyDescent="0.35">
      <c r="A169" s="222"/>
      <c r="B169" s="629" t="s">
        <v>331</v>
      </c>
      <c r="C169" s="199"/>
      <c r="D169" s="199"/>
      <c r="E169" s="204"/>
      <c r="F169" s="204">
        <f>'Rate Class Energy Model'!C24/1000000</f>
        <v>62.626608326223469</v>
      </c>
      <c r="G169" s="240"/>
      <c r="H169" s="204">
        <f>'Rate Class Energy Model'!C24/1000000</f>
        <v>62.626608326223469</v>
      </c>
      <c r="I169" s="634">
        <f>H169/F169</f>
        <v>1</v>
      </c>
      <c r="J169" s="634"/>
      <c r="K169" s="240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22"/>
    </row>
    <row r="170" spans="1:22" ht="17.5" x14ac:dyDescent="0.35">
      <c r="A170" s="222"/>
      <c r="B170" s="392" t="s">
        <v>332</v>
      </c>
      <c r="C170" s="199"/>
      <c r="D170" s="199"/>
      <c r="E170" s="204"/>
      <c r="F170" s="204">
        <f>'Purchased Power Model'!L194/1000000</f>
        <v>62.901904874881829</v>
      </c>
      <c r="G170" s="240"/>
      <c r="H170" s="204">
        <f>F170</f>
        <v>62.901904874881829</v>
      </c>
      <c r="I170" s="634">
        <f>H170/F170</f>
        <v>1</v>
      </c>
      <c r="J170" s="634"/>
      <c r="K170" s="240"/>
      <c r="L170" s="222"/>
      <c r="M170" s="222"/>
      <c r="N170" s="222"/>
      <c r="O170" s="222"/>
      <c r="P170" s="222"/>
      <c r="Q170" s="222"/>
      <c r="R170" s="222"/>
      <c r="S170" s="222"/>
      <c r="T170" s="222"/>
      <c r="U170" s="222"/>
      <c r="V170" s="222"/>
    </row>
    <row r="171" spans="1:22" ht="17.5" x14ac:dyDescent="0.35">
      <c r="A171" s="222"/>
      <c r="B171" s="239"/>
      <c r="C171" s="239"/>
      <c r="D171" s="239"/>
      <c r="E171" s="222"/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</row>
    <row r="172" spans="1:22" ht="17.5" x14ac:dyDescent="0.35">
      <c r="A172" s="222"/>
      <c r="B172" s="239"/>
      <c r="C172" s="239"/>
      <c r="D172" s="239"/>
      <c r="E172" s="222"/>
      <c r="F172" s="222"/>
      <c r="G172" s="222"/>
      <c r="H172" s="222"/>
      <c r="I172" s="222"/>
      <c r="J172" s="222"/>
      <c r="K172" s="222"/>
      <c r="L172" s="222"/>
      <c r="M172" s="222"/>
      <c r="N172" s="222"/>
      <c r="O172" s="222"/>
      <c r="P172" s="222"/>
      <c r="Q172" s="222"/>
      <c r="R172" s="222"/>
      <c r="S172" s="222"/>
      <c r="T172" s="222"/>
      <c r="U172" s="222"/>
      <c r="V172" s="222"/>
    </row>
    <row r="173" spans="1:22" ht="18" x14ac:dyDescent="0.35">
      <c r="A173" s="222"/>
      <c r="B173" s="212" t="s">
        <v>379</v>
      </c>
      <c r="C173" s="212"/>
      <c r="D173" s="212"/>
      <c r="E173" s="213"/>
      <c r="F173" s="213"/>
      <c r="G173" s="213"/>
      <c r="H173" s="213"/>
      <c r="I173" s="213"/>
      <c r="J173" s="213"/>
      <c r="K173" s="213"/>
      <c r="L173" s="222"/>
      <c r="M173" s="222"/>
      <c r="N173" s="222"/>
      <c r="O173" s="222"/>
      <c r="P173" s="222"/>
      <c r="Q173" s="222"/>
      <c r="R173" s="222"/>
      <c r="S173" s="222"/>
      <c r="T173" s="222"/>
      <c r="U173" s="222"/>
      <c r="V173" s="222"/>
    </row>
    <row r="174" spans="1:22" ht="54" x14ac:dyDescent="0.35">
      <c r="A174" s="222"/>
      <c r="B174" s="191" t="s">
        <v>110</v>
      </c>
      <c r="C174" s="192"/>
      <c r="D174" s="192"/>
      <c r="E174" s="193" t="s">
        <v>1</v>
      </c>
      <c r="F174" s="193" t="s">
        <v>97</v>
      </c>
      <c r="G174" s="193" t="s">
        <v>201</v>
      </c>
      <c r="H174" s="193" t="s">
        <v>120</v>
      </c>
      <c r="I174" s="193" t="s">
        <v>47</v>
      </c>
      <c r="J174" s="193"/>
      <c r="K174" s="193" t="s">
        <v>121</v>
      </c>
      <c r="L174" s="193" t="s">
        <v>11</v>
      </c>
      <c r="M174" s="222"/>
      <c r="N174" s="222"/>
      <c r="O174" s="222"/>
      <c r="P174" s="222"/>
      <c r="Q174" s="222"/>
      <c r="R174" s="222"/>
      <c r="S174" s="222"/>
      <c r="T174" s="222"/>
      <c r="U174" s="222"/>
      <c r="V174" s="222"/>
    </row>
    <row r="175" spans="1:22" ht="18" x14ac:dyDescent="0.35">
      <c r="A175" s="222"/>
      <c r="B175" s="215" t="s">
        <v>123</v>
      </c>
      <c r="C175" s="216"/>
      <c r="D175" s="216"/>
      <c r="E175" s="216"/>
      <c r="F175" s="216"/>
      <c r="G175" s="216"/>
      <c r="H175" s="216"/>
      <c r="I175" s="216"/>
      <c r="J175" s="216"/>
      <c r="K175" s="216"/>
      <c r="L175" s="217"/>
      <c r="M175" s="222"/>
      <c r="N175" s="222"/>
      <c r="O175" s="222"/>
      <c r="P175" s="222"/>
      <c r="Q175" s="222"/>
      <c r="R175" s="222"/>
      <c r="S175" s="222"/>
      <c r="T175" s="222"/>
      <c r="U175" s="222"/>
      <c r="V175" s="222"/>
    </row>
    <row r="176" spans="1:22" ht="17.5" x14ac:dyDescent="0.35">
      <c r="A176" s="222"/>
      <c r="B176" s="498">
        <v>2010</v>
      </c>
      <c r="C176" s="199"/>
      <c r="D176" s="199"/>
      <c r="E176" s="241">
        <f>'Rate Class Customer Model'!B6</f>
        <v>2850</v>
      </c>
      <c r="F176" s="201">
        <f>'Rate Class Customer Model'!C6</f>
        <v>425</v>
      </c>
      <c r="G176" s="201">
        <f>'Rate Class Customer Model'!D6</f>
        <v>25</v>
      </c>
      <c r="H176" s="201">
        <f>'Rate Class Customer Model'!E6</f>
        <v>26</v>
      </c>
      <c r="I176" s="201">
        <f>'Rate Class Customer Model'!F6</f>
        <v>1045</v>
      </c>
      <c r="J176" s="201"/>
      <c r="K176" s="201">
        <f>'Rate Class Customer Model'!G6</f>
        <v>21</v>
      </c>
      <c r="L176" s="207">
        <f t="shared" ref="L176:L187" si="23">SUM(E176:K176)</f>
        <v>4392</v>
      </c>
      <c r="M176" s="242"/>
      <c r="N176" s="242"/>
      <c r="O176" s="242"/>
      <c r="P176" s="222"/>
      <c r="Q176" s="222"/>
      <c r="R176" s="222"/>
      <c r="S176" s="222"/>
      <c r="T176" s="222"/>
      <c r="U176" s="222"/>
      <c r="V176" s="222"/>
    </row>
    <row r="177" spans="1:22" ht="17.5" x14ac:dyDescent="0.35">
      <c r="A177" s="222"/>
      <c r="B177" s="498">
        <v>2011</v>
      </c>
      <c r="C177" s="199"/>
      <c r="D177" s="199"/>
      <c r="E177" s="241">
        <f>'Rate Class Customer Model'!B7</f>
        <v>2847</v>
      </c>
      <c r="F177" s="201">
        <f>'Rate Class Customer Model'!C7</f>
        <v>425</v>
      </c>
      <c r="G177" s="201">
        <f>'Rate Class Customer Model'!D7</f>
        <v>25</v>
      </c>
      <c r="H177" s="201">
        <f>'Rate Class Customer Model'!E7</f>
        <v>26</v>
      </c>
      <c r="I177" s="201">
        <f>'Rate Class Customer Model'!F7</f>
        <v>1048</v>
      </c>
      <c r="J177" s="201"/>
      <c r="K177" s="201">
        <f>'Rate Class Customer Model'!G7</f>
        <v>21</v>
      </c>
      <c r="L177" s="207">
        <f t="shared" si="23"/>
        <v>4392</v>
      </c>
      <c r="M177" s="242"/>
      <c r="N177" s="242"/>
      <c r="O177" s="242"/>
      <c r="P177" s="222"/>
      <c r="Q177" s="222"/>
      <c r="R177" s="222"/>
      <c r="S177" s="222"/>
      <c r="T177" s="222"/>
      <c r="U177" s="222"/>
      <c r="V177" s="222"/>
    </row>
    <row r="178" spans="1:22" ht="17.5" x14ac:dyDescent="0.35">
      <c r="A178" s="222"/>
      <c r="B178" s="498">
        <v>2012</v>
      </c>
      <c r="C178" s="199"/>
      <c r="D178" s="199"/>
      <c r="E178" s="241">
        <f>'Rate Class Customer Model'!B8</f>
        <v>2857</v>
      </c>
      <c r="F178" s="201">
        <f>'Rate Class Customer Model'!C8</f>
        <v>402</v>
      </c>
      <c r="G178" s="201">
        <f>'Rate Class Customer Model'!D8</f>
        <v>29</v>
      </c>
      <c r="H178" s="201">
        <f>'Rate Class Customer Model'!E8</f>
        <v>26</v>
      </c>
      <c r="I178" s="201">
        <f>'Rate Class Customer Model'!F8</f>
        <v>1048</v>
      </c>
      <c r="J178" s="201"/>
      <c r="K178" s="201">
        <f>'Rate Class Customer Model'!G8</f>
        <v>21</v>
      </c>
      <c r="L178" s="207">
        <f t="shared" si="23"/>
        <v>4383</v>
      </c>
      <c r="M178" s="242"/>
      <c r="N178" s="242"/>
      <c r="O178" s="242"/>
      <c r="P178" s="222"/>
      <c r="Q178" s="222"/>
      <c r="R178" s="222"/>
      <c r="S178" s="222"/>
      <c r="T178" s="222"/>
      <c r="U178" s="222"/>
      <c r="V178" s="222"/>
    </row>
    <row r="179" spans="1:22" ht="17.5" x14ac:dyDescent="0.35">
      <c r="A179" s="222"/>
      <c r="B179" s="498">
        <v>2013</v>
      </c>
      <c r="C179" s="199"/>
      <c r="D179" s="199"/>
      <c r="E179" s="241">
        <f>'Rate Class Customer Model'!B9</f>
        <v>2858</v>
      </c>
      <c r="F179" s="201">
        <f>'Rate Class Customer Model'!C9</f>
        <v>401</v>
      </c>
      <c r="G179" s="201">
        <f>'Rate Class Customer Model'!D9</f>
        <v>29</v>
      </c>
      <c r="H179" s="201">
        <f>'Rate Class Customer Model'!E9</f>
        <v>27</v>
      </c>
      <c r="I179" s="201">
        <f>'Rate Class Customer Model'!F9</f>
        <v>1064</v>
      </c>
      <c r="J179" s="201"/>
      <c r="K179" s="201">
        <f>'Rate Class Customer Model'!G9</f>
        <v>21</v>
      </c>
      <c r="L179" s="207">
        <f t="shared" si="23"/>
        <v>4400</v>
      </c>
      <c r="M179" s="242"/>
      <c r="N179" s="242"/>
      <c r="O179" s="242"/>
      <c r="P179" s="222"/>
      <c r="Q179" s="222"/>
      <c r="R179" s="222"/>
      <c r="S179" s="222"/>
      <c r="T179" s="222"/>
      <c r="U179" s="222"/>
      <c r="V179" s="222"/>
    </row>
    <row r="180" spans="1:22" ht="17.5" x14ac:dyDescent="0.35">
      <c r="A180" s="222"/>
      <c r="B180" s="498">
        <v>2014</v>
      </c>
      <c r="C180" s="199"/>
      <c r="D180" s="199"/>
      <c r="E180" s="241">
        <f>'Rate Class Customer Model'!B10</f>
        <v>2857</v>
      </c>
      <c r="F180" s="201">
        <f>'Rate Class Customer Model'!C10</f>
        <v>402</v>
      </c>
      <c r="G180" s="201">
        <f>'Rate Class Customer Model'!D10</f>
        <v>29</v>
      </c>
      <c r="H180" s="201">
        <f>'Rate Class Customer Model'!E10</f>
        <v>26</v>
      </c>
      <c r="I180" s="201">
        <f>'Rate Class Customer Model'!F10</f>
        <v>1064</v>
      </c>
      <c r="J180" s="201"/>
      <c r="K180" s="201">
        <f>'Rate Class Customer Model'!G10</f>
        <v>21</v>
      </c>
      <c r="L180" s="207">
        <f t="shared" si="23"/>
        <v>4399</v>
      </c>
      <c r="M180" s="242"/>
      <c r="N180" s="242"/>
      <c r="O180" s="242"/>
      <c r="P180" s="222"/>
      <c r="Q180" s="222"/>
      <c r="R180" s="222"/>
      <c r="S180" s="222"/>
      <c r="T180" s="222"/>
      <c r="U180" s="222"/>
      <c r="V180" s="222"/>
    </row>
    <row r="181" spans="1:22" ht="17.5" x14ac:dyDescent="0.35">
      <c r="A181" s="222"/>
      <c r="B181" s="498">
        <v>2015</v>
      </c>
      <c r="C181" s="199"/>
      <c r="D181" s="199"/>
      <c r="E181" s="241">
        <f>'Rate Class Customer Model'!B11</f>
        <v>2856</v>
      </c>
      <c r="F181" s="201">
        <f>'Rate Class Customer Model'!C11</f>
        <v>406</v>
      </c>
      <c r="G181" s="201">
        <f>'Rate Class Customer Model'!D11</f>
        <v>29</v>
      </c>
      <c r="H181" s="201">
        <f>'Rate Class Customer Model'!E11</f>
        <v>26</v>
      </c>
      <c r="I181" s="201">
        <f>'Rate Class Customer Model'!F11</f>
        <v>1064</v>
      </c>
      <c r="J181" s="201"/>
      <c r="K181" s="201">
        <f>'Rate Class Customer Model'!G11</f>
        <v>21</v>
      </c>
      <c r="L181" s="207">
        <f t="shared" si="23"/>
        <v>4402</v>
      </c>
      <c r="M181" s="242"/>
      <c r="N181" s="242"/>
      <c r="O181" s="242"/>
      <c r="P181" s="222"/>
      <c r="Q181" s="222"/>
      <c r="R181" s="222"/>
      <c r="S181" s="222"/>
      <c r="T181" s="222"/>
      <c r="U181" s="222"/>
      <c r="V181" s="222"/>
    </row>
    <row r="182" spans="1:22" ht="17.5" x14ac:dyDescent="0.35">
      <c r="A182" s="222"/>
      <c r="B182" s="498">
        <v>2016</v>
      </c>
      <c r="C182" s="199"/>
      <c r="D182" s="199"/>
      <c r="E182" s="241">
        <f>'Rate Class Customer Model'!B12</f>
        <v>2861</v>
      </c>
      <c r="F182" s="201">
        <f>'Rate Class Customer Model'!C12</f>
        <v>393</v>
      </c>
      <c r="G182" s="201">
        <f>'Rate Class Customer Model'!D12</f>
        <v>29</v>
      </c>
      <c r="H182" s="201">
        <f>'Rate Class Customer Model'!E12</f>
        <v>26</v>
      </c>
      <c r="I182" s="201">
        <f>'Rate Class Customer Model'!F12</f>
        <v>1065</v>
      </c>
      <c r="J182" s="201"/>
      <c r="K182" s="201">
        <f>'Rate Class Customer Model'!G12</f>
        <v>21</v>
      </c>
      <c r="L182" s="207">
        <f t="shared" si="23"/>
        <v>4395</v>
      </c>
      <c r="M182" s="242"/>
      <c r="N182" s="242"/>
      <c r="O182" s="242"/>
      <c r="P182" s="222"/>
      <c r="Q182" s="222"/>
      <c r="R182" s="222"/>
      <c r="S182" s="222"/>
      <c r="T182" s="222"/>
      <c r="U182" s="222"/>
      <c r="V182" s="222"/>
    </row>
    <row r="183" spans="1:22" ht="17.5" x14ac:dyDescent="0.35">
      <c r="A183" s="222"/>
      <c r="B183" s="498">
        <v>2017</v>
      </c>
      <c r="C183" s="199"/>
      <c r="D183" s="199"/>
      <c r="E183" s="241">
        <f>'Rate Class Customer Model'!B13</f>
        <v>2872</v>
      </c>
      <c r="F183" s="201">
        <f>'Rate Class Customer Model'!C13</f>
        <v>388</v>
      </c>
      <c r="G183" s="201">
        <f>'Rate Class Customer Model'!D13</f>
        <v>28</v>
      </c>
      <c r="H183" s="201">
        <f>'Rate Class Customer Model'!E13</f>
        <v>25</v>
      </c>
      <c r="I183" s="201">
        <f>'Rate Class Customer Model'!F13</f>
        <v>1065</v>
      </c>
      <c r="J183" s="201"/>
      <c r="K183" s="201">
        <f>'Rate Class Customer Model'!G13</f>
        <v>21</v>
      </c>
      <c r="L183" s="207">
        <f t="shared" si="23"/>
        <v>4399</v>
      </c>
      <c r="M183" s="242"/>
      <c r="N183" s="242"/>
      <c r="O183" s="242"/>
      <c r="P183" s="222"/>
      <c r="Q183" s="222"/>
      <c r="R183" s="222"/>
      <c r="S183" s="222"/>
      <c r="T183" s="222"/>
      <c r="U183" s="222"/>
      <c r="V183" s="222"/>
    </row>
    <row r="184" spans="1:22" ht="17.5" x14ac:dyDescent="0.35">
      <c r="A184" s="222"/>
      <c r="B184" s="498">
        <v>2018</v>
      </c>
      <c r="C184" s="199"/>
      <c r="D184" s="199"/>
      <c r="E184" s="241">
        <f>'Rate Class Customer Model'!B14</f>
        <v>2888</v>
      </c>
      <c r="F184" s="201">
        <f>'Rate Class Customer Model'!C14</f>
        <v>388</v>
      </c>
      <c r="G184" s="201">
        <f>'Rate Class Customer Model'!D14</f>
        <v>27</v>
      </c>
      <c r="H184" s="201">
        <f>'Rate Class Customer Model'!E14</f>
        <v>25</v>
      </c>
      <c r="I184" s="201">
        <f>'Rate Class Customer Model'!F14</f>
        <v>1062</v>
      </c>
      <c r="J184" s="201"/>
      <c r="K184" s="201">
        <f>'Rate Class Customer Model'!G14</f>
        <v>21</v>
      </c>
      <c r="L184" s="207">
        <f t="shared" si="23"/>
        <v>4411</v>
      </c>
      <c r="M184" s="242"/>
      <c r="N184" s="242"/>
      <c r="O184" s="242"/>
      <c r="P184" s="222"/>
      <c r="Q184" s="222"/>
      <c r="R184" s="222"/>
      <c r="S184" s="222"/>
      <c r="T184" s="222"/>
      <c r="U184" s="222"/>
      <c r="V184" s="222"/>
    </row>
    <row r="185" spans="1:22" ht="17.5" x14ac:dyDescent="0.35">
      <c r="A185" s="222"/>
      <c r="B185" s="498">
        <v>2019</v>
      </c>
      <c r="C185" s="199"/>
      <c r="D185" s="199"/>
      <c r="E185" s="241">
        <f>'Rate Class Customer Model'!B15</f>
        <v>2901</v>
      </c>
      <c r="F185" s="201">
        <f>'Rate Class Customer Model'!C15</f>
        <v>380</v>
      </c>
      <c r="G185" s="201">
        <f>'Rate Class Customer Model'!D15</f>
        <v>28</v>
      </c>
      <c r="H185" s="201">
        <f>'Rate Class Customer Model'!E15</f>
        <v>25</v>
      </c>
      <c r="I185" s="201">
        <f>'Rate Class Customer Model'!F15</f>
        <v>1062</v>
      </c>
      <c r="J185" s="201"/>
      <c r="K185" s="201">
        <f>'Rate Class Customer Model'!G15</f>
        <v>21</v>
      </c>
      <c r="L185" s="207">
        <f t="shared" si="23"/>
        <v>4417</v>
      </c>
      <c r="M185" s="242"/>
      <c r="N185" s="242"/>
      <c r="O185" s="242"/>
      <c r="P185" s="222"/>
      <c r="Q185" s="222"/>
      <c r="R185" s="222"/>
      <c r="S185" s="222"/>
      <c r="T185" s="222"/>
      <c r="U185" s="222"/>
      <c r="V185" s="222"/>
    </row>
    <row r="186" spans="1:22" ht="17.5" x14ac:dyDescent="0.35">
      <c r="A186" s="222"/>
      <c r="B186" s="198">
        <v>2020</v>
      </c>
      <c r="C186" s="199"/>
      <c r="D186" s="199"/>
      <c r="E186" s="241">
        <f>'Rate Class Customer Model'!B16</f>
        <v>2905.3354231059589</v>
      </c>
      <c r="F186" s="201">
        <f>'Rate Class Customer Model'!C16</f>
        <v>374.55491835736069</v>
      </c>
      <c r="G186" s="201">
        <f>'Rate Class Customer Model'!D16</f>
        <v>28.958151435622646</v>
      </c>
      <c r="H186" s="201">
        <f>'Rate Class Customer Model'!E16</f>
        <v>24.90214024902302</v>
      </c>
      <c r="I186" s="201">
        <f>'Rate Class Customer Model'!F16</f>
        <v>799</v>
      </c>
      <c r="J186" s="201"/>
      <c r="K186" s="201">
        <f>'Rate Class Customer Model'!G16</f>
        <v>21</v>
      </c>
      <c r="L186" s="207">
        <f t="shared" si="23"/>
        <v>4153.7506331479653</v>
      </c>
      <c r="M186" s="242"/>
      <c r="N186" s="242"/>
      <c r="O186" s="242"/>
      <c r="P186" s="222"/>
      <c r="Q186" s="222"/>
      <c r="R186" s="222"/>
      <c r="S186" s="222"/>
      <c r="T186" s="222"/>
      <c r="U186" s="222"/>
      <c r="V186" s="222"/>
    </row>
    <row r="187" spans="1:22" ht="17.5" x14ac:dyDescent="0.35">
      <c r="A187" s="222"/>
      <c r="B187" s="198">
        <v>2021</v>
      </c>
      <c r="C187" s="199"/>
      <c r="D187" s="199"/>
      <c r="E187" s="241">
        <f>'Rate Class Customer Model'!B17</f>
        <v>2910</v>
      </c>
      <c r="F187" s="201">
        <f>'Rate Class Customer Model'!C17</f>
        <v>369</v>
      </c>
      <c r="G187" s="201">
        <f>'Rate Class Customer Model'!D17</f>
        <v>30</v>
      </c>
      <c r="H187" s="201">
        <f>'Rate Class Customer Model'!E17</f>
        <v>25</v>
      </c>
      <c r="I187" s="201">
        <f>'Rate Class Customer Model'!F17</f>
        <v>799</v>
      </c>
      <c r="J187" s="201"/>
      <c r="K187" s="201">
        <f>'Rate Class Customer Model'!G17</f>
        <v>21</v>
      </c>
      <c r="L187" s="207">
        <f t="shared" si="23"/>
        <v>4154</v>
      </c>
      <c r="M187" s="242"/>
      <c r="N187" s="242"/>
      <c r="O187" s="242"/>
      <c r="P187" s="222"/>
      <c r="Q187" s="222"/>
      <c r="R187" s="222"/>
      <c r="S187" s="222"/>
      <c r="T187" s="222"/>
      <c r="U187" s="222"/>
      <c r="V187" s="222"/>
    </row>
    <row r="188" spans="1:22" ht="17.5" x14ac:dyDescent="0.35">
      <c r="A188" s="222"/>
      <c r="B188" s="366"/>
      <c r="C188" s="367"/>
      <c r="D188" s="367"/>
      <c r="E188" s="241"/>
      <c r="F188" s="201"/>
      <c r="G188" s="201"/>
      <c r="H188" s="201"/>
      <c r="I188" s="201"/>
      <c r="J188" s="201"/>
      <c r="K188" s="201"/>
      <c r="L188" s="207"/>
      <c r="M188" s="242"/>
      <c r="N188" s="242"/>
      <c r="O188" s="242"/>
      <c r="P188" s="222"/>
      <c r="Q188" s="222"/>
      <c r="R188" s="222"/>
      <c r="S188" s="222"/>
      <c r="T188" s="222"/>
      <c r="U188" s="222"/>
      <c r="V188" s="222"/>
    </row>
    <row r="189" spans="1:22" ht="17.5" x14ac:dyDescent="0.35">
      <c r="A189" s="222"/>
      <c r="B189" s="366"/>
      <c r="C189" s="367"/>
      <c r="D189" s="367"/>
      <c r="E189" s="241"/>
      <c r="F189" s="201"/>
      <c r="G189" s="201"/>
      <c r="H189" s="201"/>
      <c r="I189" s="201"/>
      <c r="J189" s="201"/>
      <c r="K189" s="201"/>
      <c r="L189" s="207"/>
      <c r="M189" s="242"/>
      <c r="N189" s="242"/>
      <c r="O189" s="242"/>
      <c r="P189" s="222"/>
      <c r="Q189" s="222"/>
      <c r="R189" s="222"/>
      <c r="S189" s="222"/>
      <c r="T189" s="222"/>
      <c r="U189" s="222"/>
      <c r="V189" s="222"/>
    </row>
    <row r="190" spans="1:22" ht="17.5" x14ac:dyDescent="0.35">
      <c r="A190" s="222"/>
      <c r="B190" s="239"/>
      <c r="C190" s="239"/>
      <c r="D190" s="239"/>
      <c r="E190" s="222"/>
      <c r="F190" s="222"/>
      <c r="G190" s="222"/>
      <c r="H190" s="222"/>
      <c r="I190" s="222"/>
      <c r="J190" s="222"/>
      <c r="K190" s="222"/>
      <c r="L190" s="222"/>
      <c r="M190" s="222"/>
      <c r="N190" s="222"/>
      <c r="O190" s="222"/>
      <c r="P190" s="222"/>
      <c r="Q190" s="222"/>
      <c r="R190" s="222"/>
      <c r="S190" s="222"/>
      <c r="T190" s="222"/>
      <c r="U190" s="222"/>
      <c r="V190" s="222"/>
    </row>
    <row r="191" spans="1:22" ht="18" x14ac:dyDescent="0.35">
      <c r="A191" s="222"/>
      <c r="B191" s="212" t="s">
        <v>380</v>
      </c>
      <c r="C191" s="212"/>
      <c r="D191" s="212"/>
      <c r="E191" s="213"/>
      <c r="F191" s="213"/>
      <c r="G191" s="213"/>
      <c r="H191" s="213"/>
      <c r="I191" s="213"/>
      <c r="J191" s="213"/>
      <c r="K191" s="213"/>
      <c r="L191" s="222"/>
      <c r="M191" s="222"/>
      <c r="N191" s="222"/>
      <c r="O191" s="222"/>
      <c r="P191" s="222"/>
      <c r="Q191" s="222"/>
      <c r="R191" s="222"/>
      <c r="S191" s="222"/>
      <c r="T191" s="222"/>
      <c r="U191" s="222"/>
      <c r="V191" s="222"/>
    </row>
    <row r="192" spans="1:22" ht="54" x14ac:dyDescent="0.35">
      <c r="A192" s="222"/>
      <c r="B192" s="191" t="s">
        <v>110</v>
      </c>
      <c r="C192" s="192"/>
      <c r="D192" s="192"/>
      <c r="E192" s="193" t="s">
        <v>1</v>
      </c>
      <c r="F192" s="193" t="s">
        <v>97</v>
      </c>
      <c r="G192" s="193" t="s">
        <v>201</v>
      </c>
      <c r="H192" s="193" t="s">
        <v>120</v>
      </c>
      <c r="I192" s="193" t="s">
        <v>47</v>
      </c>
      <c r="J192" s="193"/>
      <c r="K192" s="193" t="s">
        <v>121</v>
      </c>
      <c r="L192" s="222"/>
      <c r="M192" s="222"/>
      <c r="N192" s="222"/>
      <c r="O192" s="222"/>
      <c r="P192" s="222"/>
      <c r="Q192" s="222"/>
      <c r="R192" s="222"/>
      <c r="S192" s="222"/>
      <c r="T192" s="222"/>
      <c r="U192" s="222"/>
      <c r="V192" s="222"/>
    </row>
    <row r="193" spans="1:22" ht="18" x14ac:dyDescent="0.35">
      <c r="A193" s="222"/>
      <c r="B193" s="215" t="s">
        <v>135</v>
      </c>
      <c r="C193" s="216"/>
      <c r="D193" s="216"/>
      <c r="E193" s="216"/>
      <c r="F193" s="216"/>
      <c r="G193" s="216"/>
      <c r="H193" s="216"/>
      <c r="I193" s="216"/>
      <c r="J193" s="216"/>
      <c r="K193" s="217"/>
      <c r="L193" s="222"/>
      <c r="M193" s="222"/>
      <c r="N193" s="222"/>
      <c r="O193" s="222"/>
      <c r="P193" s="222"/>
      <c r="Q193" s="222"/>
      <c r="R193" s="222"/>
      <c r="S193" s="222"/>
      <c r="T193" s="222"/>
      <c r="U193" s="222"/>
      <c r="V193" s="222"/>
    </row>
    <row r="194" spans="1:22" ht="17.5" x14ac:dyDescent="0.35">
      <c r="A194" s="222"/>
      <c r="B194" s="498">
        <v>2010</v>
      </c>
      <c r="C194" s="199"/>
      <c r="D194" s="199"/>
      <c r="E194" s="243"/>
      <c r="F194" s="243"/>
      <c r="G194" s="243"/>
      <c r="H194" s="243"/>
      <c r="I194" s="243"/>
      <c r="J194" s="243"/>
      <c r="K194" s="243"/>
      <c r="L194" s="222"/>
      <c r="M194" s="222"/>
      <c r="N194" s="222"/>
      <c r="O194" s="222"/>
      <c r="P194" s="222"/>
      <c r="Q194" s="222"/>
      <c r="R194" s="222"/>
      <c r="S194" s="222"/>
      <c r="T194" s="222"/>
      <c r="U194" s="222"/>
      <c r="V194" s="222"/>
    </row>
    <row r="195" spans="1:22" ht="17.5" x14ac:dyDescent="0.35">
      <c r="A195" s="222"/>
      <c r="B195" s="498">
        <v>2011</v>
      </c>
      <c r="C195" s="199"/>
      <c r="D195" s="199"/>
      <c r="E195" s="243">
        <f>E177/E176-1</f>
        <v>-1.0526315789474161E-3</v>
      </c>
      <c r="F195" s="243">
        <f t="shared" ref="F195:K195" si="24">F177/F176-1</f>
        <v>0</v>
      </c>
      <c r="G195" s="243">
        <f t="shared" si="24"/>
        <v>0</v>
      </c>
      <c r="H195" s="243">
        <f t="shared" si="24"/>
        <v>0</v>
      </c>
      <c r="I195" s="243">
        <f t="shared" si="24"/>
        <v>2.870813397129135E-3</v>
      </c>
      <c r="J195" s="243"/>
      <c r="K195" s="243">
        <f t="shared" si="24"/>
        <v>0</v>
      </c>
      <c r="L195" s="222"/>
      <c r="M195" s="222"/>
      <c r="N195" s="222"/>
      <c r="O195" s="222"/>
      <c r="P195" s="222"/>
      <c r="Q195" s="222"/>
      <c r="R195" s="222"/>
      <c r="S195" s="222"/>
      <c r="T195" s="222"/>
      <c r="U195" s="222"/>
      <c r="V195" s="222"/>
    </row>
    <row r="196" spans="1:22" ht="17.5" x14ac:dyDescent="0.35">
      <c r="A196" s="222"/>
      <c r="B196" s="498">
        <v>2012</v>
      </c>
      <c r="C196" s="199"/>
      <c r="D196" s="199"/>
      <c r="E196" s="243">
        <f t="shared" ref="E196:K196" si="25">E178/E177-1</f>
        <v>3.5124692658938805E-3</v>
      </c>
      <c r="F196" s="243">
        <f t="shared" si="25"/>
        <v>-5.4117647058823493E-2</v>
      </c>
      <c r="G196" s="243">
        <f t="shared" si="25"/>
        <v>0.15999999999999992</v>
      </c>
      <c r="H196" s="243">
        <f t="shared" si="25"/>
        <v>0</v>
      </c>
      <c r="I196" s="243">
        <f t="shared" si="25"/>
        <v>0</v>
      </c>
      <c r="J196" s="243"/>
      <c r="K196" s="243">
        <f t="shared" si="25"/>
        <v>0</v>
      </c>
      <c r="L196" s="222"/>
      <c r="M196" s="222"/>
      <c r="N196" s="222"/>
      <c r="O196" s="222"/>
      <c r="P196" s="222"/>
      <c r="Q196" s="222"/>
      <c r="R196" s="222"/>
      <c r="S196" s="222"/>
      <c r="T196" s="222"/>
      <c r="U196" s="222"/>
      <c r="V196" s="222"/>
    </row>
    <row r="197" spans="1:22" ht="17.5" x14ac:dyDescent="0.35">
      <c r="A197" s="222"/>
      <c r="B197" s="498">
        <v>2013</v>
      </c>
      <c r="C197" s="199"/>
      <c r="D197" s="199"/>
      <c r="E197" s="243">
        <f t="shared" ref="E197:K197" si="26">E179/E178-1</f>
        <v>3.5001750087504391E-4</v>
      </c>
      <c r="F197" s="243">
        <f t="shared" si="26"/>
        <v>-2.4875621890547706E-3</v>
      </c>
      <c r="G197" s="243">
        <f t="shared" si="26"/>
        <v>0</v>
      </c>
      <c r="H197" s="243">
        <f t="shared" si="26"/>
        <v>3.8461538461538547E-2</v>
      </c>
      <c r="I197" s="243">
        <f t="shared" si="26"/>
        <v>1.5267175572519109E-2</v>
      </c>
      <c r="J197" s="243"/>
      <c r="K197" s="243">
        <f t="shared" si="26"/>
        <v>0</v>
      </c>
      <c r="L197" s="222"/>
      <c r="M197" s="222"/>
      <c r="N197" s="222"/>
      <c r="O197" s="222"/>
      <c r="P197" s="222"/>
      <c r="Q197" s="222"/>
      <c r="R197" s="222"/>
      <c r="S197" s="222"/>
      <c r="T197" s="222"/>
      <c r="U197" s="222"/>
      <c r="V197" s="222"/>
    </row>
    <row r="198" spans="1:22" ht="17.5" x14ac:dyDescent="0.35">
      <c r="A198" s="222"/>
      <c r="B198" s="498">
        <v>2014</v>
      </c>
      <c r="C198" s="199"/>
      <c r="D198" s="199"/>
      <c r="E198" s="243">
        <f t="shared" ref="E198:K198" si="27">E180/E179-1</f>
        <v>-3.4989503149052137E-4</v>
      </c>
      <c r="F198" s="243">
        <f t="shared" si="27"/>
        <v>2.4937655860348684E-3</v>
      </c>
      <c r="G198" s="243">
        <f t="shared" si="27"/>
        <v>0</v>
      </c>
      <c r="H198" s="243">
        <f t="shared" si="27"/>
        <v>-3.703703703703709E-2</v>
      </c>
      <c r="I198" s="243">
        <f t="shared" si="27"/>
        <v>0</v>
      </c>
      <c r="J198" s="243"/>
      <c r="K198" s="243">
        <f t="shared" si="27"/>
        <v>0</v>
      </c>
      <c r="L198" s="222"/>
      <c r="M198" s="222"/>
      <c r="N198" s="222"/>
      <c r="O198" s="222"/>
      <c r="P198" s="222"/>
      <c r="Q198" s="222"/>
      <c r="R198" s="222"/>
      <c r="S198" s="222"/>
      <c r="T198" s="222"/>
      <c r="U198" s="222"/>
      <c r="V198" s="222"/>
    </row>
    <row r="199" spans="1:22" ht="17.5" x14ac:dyDescent="0.35">
      <c r="A199" s="222"/>
      <c r="B199" s="498">
        <v>2015</v>
      </c>
      <c r="C199" s="199"/>
      <c r="D199" s="199"/>
      <c r="E199" s="243">
        <f t="shared" ref="E199:K199" si="28">E181/E180-1</f>
        <v>-3.5001750087504391E-4</v>
      </c>
      <c r="F199" s="243">
        <f t="shared" si="28"/>
        <v>9.9502487562188602E-3</v>
      </c>
      <c r="G199" s="243">
        <f t="shared" si="28"/>
        <v>0</v>
      </c>
      <c r="H199" s="243">
        <f t="shared" si="28"/>
        <v>0</v>
      </c>
      <c r="I199" s="243">
        <f t="shared" si="28"/>
        <v>0</v>
      </c>
      <c r="J199" s="243"/>
      <c r="K199" s="243">
        <f t="shared" si="28"/>
        <v>0</v>
      </c>
      <c r="L199" s="222"/>
      <c r="M199" s="222"/>
      <c r="N199" s="222"/>
      <c r="O199" s="222"/>
      <c r="P199" s="222"/>
      <c r="Q199" s="222"/>
      <c r="R199" s="222"/>
      <c r="S199" s="222"/>
      <c r="T199" s="222"/>
      <c r="U199" s="222"/>
      <c r="V199" s="222"/>
    </row>
    <row r="200" spans="1:22" ht="17.5" x14ac:dyDescent="0.35">
      <c r="A200" s="222"/>
      <c r="B200" s="498">
        <v>2016</v>
      </c>
      <c r="C200" s="199"/>
      <c r="D200" s="199"/>
      <c r="E200" s="243">
        <f t="shared" ref="E200:K200" si="29">E182/E181-1</f>
        <v>1.7507002801120386E-3</v>
      </c>
      <c r="F200" s="243">
        <f t="shared" si="29"/>
        <v>-3.2019704433497553E-2</v>
      </c>
      <c r="G200" s="243">
        <f t="shared" si="29"/>
        <v>0</v>
      </c>
      <c r="H200" s="243">
        <f t="shared" si="29"/>
        <v>0</v>
      </c>
      <c r="I200" s="243">
        <f t="shared" si="29"/>
        <v>9.3984962406024053E-4</v>
      </c>
      <c r="J200" s="243"/>
      <c r="K200" s="243">
        <f t="shared" si="29"/>
        <v>0</v>
      </c>
      <c r="L200" s="222"/>
      <c r="M200" s="222"/>
      <c r="N200" s="222"/>
      <c r="O200" s="222"/>
      <c r="P200" s="222"/>
      <c r="Q200" s="222"/>
      <c r="R200" s="222"/>
      <c r="S200" s="222"/>
      <c r="T200" s="222"/>
      <c r="U200" s="222"/>
      <c r="V200" s="222"/>
    </row>
    <row r="201" spans="1:22" ht="17.5" x14ac:dyDescent="0.35">
      <c r="A201" s="222"/>
      <c r="B201" s="498">
        <v>2017</v>
      </c>
      <c r="C201" s="199"/>
      <c r="D201" s="199"/>
      <c r="E201" s="243">
        <f t="shared" ref="E201:K201" si="30">E183/E182-1</f>
        <v>3.8448095071652588E-3</v>
      </c>
      <c r="F201" s="243">
        <f t="shared" si="30"/>
        <v>-1.2722646310432517E-2</v>
      </c>
      <c r="G201" s="243">
        <f t="shared" si="30"/>
        <v>-3.4482758620689613E-2</v>
      </c>
      <c r="H201" s="243">
        <f t="shared" si="30"/>
        <v>-3.8461538461538436E-2</v>
      </c>
      <c r="I201" s="243">
        <f t="shared" si="30"/>
        <v>0</v>
      </c>
      <c r="J201" s="243"/>
      <c r="K201" s="243">
        <f t="shared" si="30"/>
        <v>0</v>
      </c>
      <c r="L201" s="222"/>
      <c r="M201" s="222"/>
      <c r="N201" s="222"/>
      <c r="O201" s="222"/>
      <c r="P201" s="222"/>
      <c r="Q201" s="222"/>
      <c r="R201" s="222"/>
      <c r="S201" s="222"/>
      <c r="T201" s="222"/>
      <c r="U201" s="222"/>
      <c r="V201" s="222"/>
    </row>
    <row r="202" spans="1:22" ht="17.5" x14ac:dyDescent="0.35">
      <c r="A202" s="222"/>
      <c r="B202" s="498">
        <v>2018</v>
      </c>
      <c r="C202" s="199"/>
      <c r="D202" s="199"/>
      <c r="E202" s="243">
        <f t="shared" ref="E202:K202" si="31">E184/E183-1</f>
        <v>5.5710306406684396E-3</v>
      </c>
      <c r="F202" s="243">
        <f t="shared" si="31"/>
        <v>0</v>
      </c>
      <c r="G202" s="243">
        <f t="shared" si="31"/>
        <v>-3.5714285714285698E-2</v>
      </c>
      <c r="H202" s="243">
        <f t="shared" si="31"/>
        <v>0</v>
      </c>
      <c r="I202" s="243">
        <f t="shared" si="31"/>
        <v>-2.8169014084507005E-3</v>
      </c>
      <c r="J202" s="243"/>
      <c r="K202" s="243">
        <f t="shared" si="31"/>
        <v>0</v>
      </c>
      <c r="L202" s="222"/>
      <c r="M202" s="222"/>
      <c r="N202" s="222"/>
      <c r="O202" s="222"/>
      <c r="P202" s="222"/>
      <c r="Q202" s="222"/>
      <c r="R202" s="222"/>
      <c r="S202" s="222"/>
      <c r="T202" s="222"/>
      <c r="U202" s="222"/>
      <c r="V202" s="222"/>
    </row>
    <row r="203" spans="1:22" ht="17.5" x14ac:dyDescent="0.35">
      <c r="A203" s="222"/>
      <c r="B203" s="498">
        <v>2019</v>
      </c>
      <c r="C203" s="199"/>
      <c r="D203" s="199"/>
      <c r="E203" s="243">
        <f t="shared" ref="E203:K203" si="32">E185/E184-1</f>
        <v>4.5013850415511758E-3</v>
      </c>
      <c r="F203" s="243">
        <f t="shared" si="32"/>
        <v>-2.0618556701030966E-2</v>
      </c>
      <c r="G203" s="243">
        <f t="shared" si="32"/>
        <v>3.7037037037036979E-2</v>
      </c>
      <c r="H203" s="243">
        <f t="shared" si="32"/>
        <v>0</v>
      </c>
      <c r="I203" s="243">
        <f t="shared" si="32"/>
        <v>0</v>
      </c>
      <c r="J203" s="243"/>
      <c r="K203" s="243">
        <f t="shared" si="32"/>
        <v>0</v>
      </c>
      <c r="L203" s="222"/>
      <c r="M203" s="222"/>
      <c r="N203" s="222"/>
      <c r="O203" s="222"/>
      <c r="P203" s="222"/>
      <c r="Q203" s="222"/>
      <c r="R203" s="222"/>
      <c r="S203" s="222"/>
      <c r="T203" s="222"/>
      <c r="U203" s="222"/>
      <c r="V203" s="222"/>
    </row>
    <row r="204" spans="1:22" ht="17.5" x14ac:dyDescent="0.35">
      <c r="A204" s="222"/>
      <c r="B204" s="498">
        <v>2020</v>
      </c>
      <c r="C204" s="199"/>
      <c r="D204" s="199"/>
      <c r="E204" s="243">
        <f t="shared" ref="E204:K204" si="33">E186/E185-1</f>
        <v>1.4944581544154012E-3</v>
      </c>
      <c r="F204" s="243">
        <f t="shared" si="33"/>
        <v>-1.4329162217471825E-2</v>
      </c>
      <c r="G204" s="243">
        <f t="shared" si="33"/>
        <v>3.4219694129380196E-2</v>
      </c>
      <c r="H204" s="243">
        <f t="shared" si="33"/>
        <v>-3.9143900390792297E-3</v>
      </c>
      <c r="I204" s="243">
        <f t="shared" si="33"/>
        <v>-0.24764595103578158</v>
      </c>
      <c r="J204" s="243"/>
      <c r="K204" s="243">
        <f t="shared" si="33"/>
        <v>0</v>
      </c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2"/>
    </row>
    <row r="205" spans="1:22" ht="17.5" x14ac:dyDescent="0.35">
      <c r="A205" s="222"/>
      <c r="B205" s="498">
        <v>2021</v>
      </c>
      <c r="C205" s="199"/>
      <c r="D205" s="199"/>
      <c r="E205" s="243">
        <f t="shared" ref="E205:K205" si="34">E187/E186-1</f>
        <v>1.6055209518819336E-3</v>
      </c>
      <c r="F205" s="243">
        <f t="shared" si="34"/>
        <v>-1.4830717967133422E-2</v>
      </c>
      <c r="G205" s="243">
        <f t="shared" si="34"/>
        <v>3.597773037044516E-2</v>
      </c>
      <c r="H205" s="243">
        <f t="shared" si="34"/>
        <v>3.929772702200518E-3</v>
      </c>
      <c r="I205" s="243">
        <f t="shared" si="34"/>
        <v>0</v>
      </c>
      <c r="J205" s="243"/>
      <c r="K205" s="243">
        <f t="shared" si="34"/>
        <v>0</v>
      </c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222"/>
    </row>
    <row r="206" spans="1:22" ht="17.5" x14ac:dyDescent="0.35">
      <c r="A206" s="222"/>
      <c r="B206" s="366"/>
      <c r="C206" s="367"/>
      <c r="D206" s="367"/>
      <c r="E206" s="243"/>
      <c r="F206" s="243"/>
      <c r="G206" s="243"/>
      <c r="H206" s="243"/>
      <c r="I206" s="243"/>
      <c r="J206" s="243"/>
      <c r="K206" s="243"/>
      <c r="L206" s="222"/>
      <c r="M206" s="222"/>
      <c r="N206" s="222"/>
      <c r="O206" s="222"/>
      <c r="P206" s="222"/>
      <c r="Q206" s="222"/>
      <c r="R206" s="222"/>
      <c r="S206" s="222"/>
      <c r="T206" s="222"/>
      <c r="U206" s="222"/>
      <c r="V206" s="222"/>
    </row>
    <row r="207" spans="1:22" ht="17.5" x14ac:dyDescent="0.35">
      <c r="A207" s="222">
        <v>2016</v>
      </c>
      <c r="B207" s="366"/>
      <c r="C207" s="367"/>
      <c r="D207" s="367"/>
      <c r="E207" s="243"/>
      <c r="F207" s="243"/>
      <c r="G207" s="243"/>
      <c r="H207" s="243"/>
      <c r="I207" s="243"/>
      <c r="J207" s="243"/>
      <c r="K207" s="243"/>
      <c r="L207" s="222"/>
      <c r="M207" s="222"/>
      <c r="N207" s="222"/>
      <c r="O207" s="222"/>
      <c r="P207" s="222"/>
      <c r="Q207" s="222"/>
      <c r="R207" s="222"/>
      <c r="S207" s="222"/>
      <c r="T207" s="222"/>
      <c r="U207" s="222"/>
      <c r="V207" s="222"/>
    </row>
    <row r="208" spans="1:22" ht="17.5" x14ac:dyDescent="0.35">
      <c r="A208" s="222"/>
      <c r="B208" s="627" t="s">
        <v>336</v>
      </c>
      <c r="C208" s="199"/>
      <c r="D208" s="199"/>
      <c r="E208" s="244">
        <f>'Rate Class Customer Model'!B39-1</f>
        <v>1.4944581544154012E-3</v>
      </c>
      <c r="F208" s="243">
        <f>'Rate Class Customer Model'!C39-1</f>
        <v>-1.4329162217471825E-2</v>
      </c>
      <c r="G208" s="243">
        <f>'Rate Class Customer Model'!D39-1</f>
        <v>3.4219694129380196E-2</v>
      </c>
      <c r="H208" s="243">
        <f>'Rate Class Customer Model'!E39-1</f>
        <v>-3.9143900390792297E-3</v>
      </c>
      <c r="I208" s="243">
        <f>'Rate Class Customer Model'!F39-1</f>
        <v>1.6150064608186909E-3</v>
      </c>
      <c r="J208" s="243"/>
      <c r="K208" s="243">
        <f>'Rate Class Customer Model'!G39-1</f>
        <v>0</v>
      </c>
      <c r="L208" s="222"/>
      <c r="M208" s="222"/>
      <c r="N208" s="222"/>
      <c r="O208" s="222"/>
      <c r="P208" s="222"/>
      <c r="Q208" s="222"/>
      <c r="R208" s="222"/>
      <c r="S208" s="222"/>
      <c r="T208" s="222"/>
      <c r="U208" s="222"/>
      <c r="V208" s="222"/>
    </row>
    <row r="209" spans="1:22" ht="17.5" x14ac:dyDescent="0.35">
      <c r="A209" s="222"/>
      <c r="B209" s="239"/>
      <c r="C209" s="239"/>
      <c r="D209" s="239"/>
      <c r="E209" s="245"/>
      <c r="F209" s="245"/>
      <c r="G209" s="245"/>
      <c r="H209" s="245"/>
      <c r="I209" s="245"/>
      <c r="J209" s="245"/>
      <c r="K209" s="245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2"/>
    </row>
    <row r="210" spans="1:22" ht="18" x14ac:dyDescent="0.35">
      <c r="A210" s="222"/>
      <c r="B210" s="212" t="s">
        <v>381</v>
      </c>
      <c r="C210" s="212"/>
      <c r="D210" s="212"/>
      <c r="E210" s="213"/>
      <c r="F210" s="213"/>
      <c r="G210" s="213"/>
      <c r="H210" s="213"/>
      <c r="I210" s="222"/>
      <c r="J210" s="222"/>
      <c r="K210" s="222"/>
      <c r="L210" s="222"/>
      <c r="M210" s="222"/>
      <c r="N210" s="222"/>
      <c r="O210" s="222"/>
      <c r="P210" s="222"/>
      <c r="Q210" s="222"/>
      <c r="R210" s="222"/>
      <c r="S210" s="222"/>
      <c r="T210" s="222"/>
      <c r="U210" s="222"/>
      <c r="V210" s="222"/>
    </row>
    <row r="211" spans="1:22" ht="54" x14ac:dyDescent="0.35">
      <c r="A211" s="222"/>
      <c r="B211" s="786" t="s">
        <v>110</v>
      </c>
      <c r="C211" s="787"/>
      <c r="D211" s="788"/>
      <c r="E211" s="193" t="s">
        <v>1</v>
      </c>
      <c r="F211" s="193" t="s">
        <v>97</v>
      </c>
      <c r="G211" s="193" t="s">
        <v>201</v>
      </c>
      <c r="H211" s="193" t="s">
        <v>120</v>
      </c>
      <c r="I211" s="193" t="s">
        <v>47</v>
      </c>
      <c r="J211" s="193"/>
      <c r="K211" s="193" t="s">
        <v>121</v>
      </c>
      <c r="L211" s="193" t="s">
        <v>11</v>
      </c>
      <c r="M211" s="222"/>
      <c r="N211" s="222"/>
      <c r="O211" s="222"/>
      <c r="P211" s="222"/>
      <c r="Q211" s="222"/>
      <c r="R211" s="222"/>
      <c r="S211" s="222"/>
      <c r="T211" s="222"/>
      <c r="U211" s="222"/>
      <c r="V211" s="222"/>
    </row>
    <row r="212" spans="1:22" ht="18" x14ac:dyDescent="0.35">
      <c r="A212" s="222"/>
      <c r="B212" s="194" t="s">
        <v>136</v>
      </c>
      <c r="C212" s="194"/>
      <c r="D212" s="196"/>
      <c r="E212" s="196"/>
      <c r="F212" s="196"/>
      <c r="G212" s="196"/>
      <c r="H212" s="196"/>
      <c r="I212" s="197"/>
      <c r="J212" s="670"/>
      <c r="K212" s="246"/>
      <c r="L212" s="247"/>
      <c r="M212" s="222"/>
      <c r="N212" s="222"/>
      <c r="O212" s="222"/>
      <c r="P212" s="222"/>
      <c r="Q212" s="222"/>
      <c r="R212" s="222"/>
      <c r="S212" s="222"/>
      <c r="T212" s="222"/>
      <c r="U212" s="222"/>
      <c r="V212" s="222"/>
    </row>
    <row r="213" spans="1:22" ht="17.5" x14ac:dyDescent="0.35">
      <c r="A213" s="222"/>
      <c r="B213" s="776" t="s">
        <v>281</v>
      </c>
      <c r="C213" s="777"/>
      <c r="D213" s="778"/>
      <c r="E213" s="201">
        <f>ROUND(E185*(1+E208),0)</f>
        <v>2905</v>
      </c>
      <c r="F213" s="201">
        <f t="shared" ref="F213:K213" si="35">ROUND(F185*(1+F208),0)</f>
        <v>375</v>
      </c>
      <c r="G213" s="201">
        <f t="shared" si="35"/>
        <v>29</v>
      </c>
      <c r="H213" s="201">
        <f t="shared" si="35"/>
        <v>25</v>
      </c>
      <c r="I213" s="201">
        <f>'Rate Class Customer Model'!F16</f>
        <v>799</v>
      </c>
      <c r="J213" s="201"/>
      <c r="K213" s="201">
        <f t="shared" si="35"/>
        <v>21</v>
      </c>
      <c r="L213" s="207">
        <f>SUM(E213:K213)</f>
        <v>4154</v>
      </c>
      <c r="M213" s="222"/>
      <c r="N213" s="242"/>
      <c r="O213" s="222"/>
      <c r="P213" s="222"/>
      <c r="Q213" s="222"/>
      <c r="R213" s="222"/>
      <c r="S213" s="222"/>
      <c r="T213" s="222"/>
      <c r="U213" s="222"/>
      <c r="V213" s="222"/>
    </row>
    <row r="214" spans="1:22" ht="17.5" x14ac:dyDescent="0.35">
      <c r="A214" s="222"/>
      <c r="B214" s="500" t="s">
        <v>284</v>
      </c>
      <c r="C214" s="501"/>
      <c r="D214" s="502"/>
      <c r="E214" s="201">
        <f>'Rate Class Customer Model'!B17</f>
        <v>2910</v>
      </c>
      <c r="F214" s="201">
        <f>'Rate Class Customer Model'!C17</f>
        <v>369</v>
      </c>
      <c r="G214" s="201">
        <f>'Rate Class Customer Model'!D17</f>
        <v>30</v>
      </c>
      <c r="H214" s="201">
        <f>'Rate Class Customer Model'!E17</f>
        <v>25</v>
      </c>
      <c r="I214" s="201">
        <f>'Rate Class Customer Model'!F17</f>
        <v>799</v>
      </c>
      <c r="J214" s="201"/>
      <c r="K214" s="201">
        <f>'Rate Class Customer Model'!G17</f>
        <v>21</v>
      </c>
      <c r="L214" s="201">
        <f>'Rate Class Customer Model'!H17</f>
        <v>4154</v>
      </c>
      <c r="M214" s="222"/>
      <c r="N214" s="242"/>
      <c r="O214" s="222"/>
      <c r="P214" s="222"/>
      <c r="Q214" s="222"/>
      <c r="R214" s="222"/>
      <c r="S214" s="222"/>
      <c r="T214" s="222"/>
      <c r="U214" s="222"/>
      <c r="V214" s="222"/>
    </row>
    <row r="215" spans="1:22" ht="17.5" x14ac:dyDescent="0.35">
      <c r="A215" s="222"/>
      <c r="B215" s="239"/>
      <c r="C215" s="239"/>
      <c r="D215" s="239"/>
      <c r="E215" s="222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2"/>
    </row>
    <row r="216" spans="1:22" ht="18" x14ac:dyDescent="0.35">
      <c r="A216" s="222"/>
      <c r="B216" s="212" t="s">
        <v>382</v>
      </c>
      <c r="C216" s="212"/>
      <c r="D216" s="212"/>
      <c r="E216" s="213"/>
      <c r="F216" s="213"/>
      <c r="G216" s="213"/>
      <c r="H216" s="213"/>
      <c r="I216" s="213"/>
      <c r="J216" s="213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2"/>
    </row>
    <row r="217" spans="1:22" ht="54" x14ac:dyDescent="0.35">
      <c r="A217" s="222"/>
      <c r="B217" s="191" t="s">
        <v>110</v>
      </c>
      <c r="C217" s="192"/>
      <c r="D217" s="192"/>
      <c r="E217" s="193" t="s">
        <v>1</v>
      </c>
      <c r="F217" s="193" t="s">
        <v>97</v>
      </c>
      <c r="G217" s="193" t="s">
        <v>201</v>
      </c>
      <c r="H217" s="193" t="s">
        <v>120</v>
      </c>
      <c r="I217" s="193" t="s">
        <v>47</v>
      </c>
      <c r="J217" s="193"/>
      <c r="K217" s="193" t="s">
        <v>121</v>
      </c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2"/>
    </row>
    <row r="218" spans="1:22" ht="18" x14ac:dyDescent="0.35">
      <c r="A218" s="222"/>
      <c r="B218" s="215" t="s">
        <v>137</v>
      </c>
      <c r="C218" s="216"/>
      <c r="D218" s="216"/>
      <c r="E218" s="216"/>
      <c r="F218" s="216"/>
      <c r="G218" s="216"/>
      <c r="H218" s="216"/>
      <c r="I218" s="216"/>
      <c r="J218" s="216"/>
      <c r="K218" s="217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</row>
    <row r="219" spans="1:22" ht="17.5" x14ac:dyDescent="0.35">
      <c r="A219" s="222"/>
      <c r="B219" s="198">
        <v>2010</v>
      </c>
      <c r="C219" s="249"/>
      <c r="D219" s="249"/>
      <c r="E219" s="241">
        <f t="shared" ref="E219:K230" si="36">E107</f>
        <v>10956.58</v>
      </c>
      <c r="F219" s="241">
        <f t="shared" si="36"/>
        <v>27230.564705882352</v>
      </c>
      <c r="G219" s="241">
        <f t="shared" si="36"/>
        <v>686415</v>
      </c>
      <c r="H219" s="241">
        <f t="shared" si="36"/>
        <v>965.38461538461536</v>
      </c>
      <c r="I219" s="241">
        <f t="shared" si="36"/>
        <v>589.32535885167465</v>
      </c>
      <c r="J219" s="241"/>
      <c r="K219" s="241">
        <f t="shared" si="36"/>
        <v>8097.2857142857147</v>
      </c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2"/>
    </row>
    <row r="220" spans="1:22" ht="17.5" x14ac:dyDescent="0.35">
      <c r="A220" s="222"/>
      <c r="B220" s="198">
        <v>2011</v>
      </c>
      <c r="C220" s="199"/>
      <c r="D220" s="199"/>
      <c r="E220" s="241">
        <f t="shared" si="36"/>
        <v>11134.849680365296</v>
      </c>
      <c r="F220" s="241">
        <f t="shared" si="36"/>
        <v>28068.70882352941</v>
      </c>
      <c r="G220" s="241">
        <f t="shared" si="36"/>
        <v>677946.50120000006</v>
      </c>
      <c r="H220" s="241">
        <f t="shared" si="36"/>
        <v>995.26923076923072</v>
      </c>
      <c r="I220" s="241">
        <f t="shared" si="36"/>
        <v>585.47457061068701</v>
      </c>
      <c r="J220" s="241"/>
      <c r="K220" s="241">
        <f t="shared" si="36"/>
        <v>8088.884761904761</v>
      </c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222"/>
    </row>
    <row r="221" spans="1:22" ht="17.5" x14ac:dyDescent="0.35">
      <c r="A221" s="222"/>
      <c r="B221" s="198">
        <v>2012</v>
      </c>
      <c r="C221" s="199"/>
      <c r="D221" s="199"/>
      <c r="E221" s="241">
        <f t="shared" si="36"/>
        <v>10766.059502975149</v>
      </c>
      <c r="F221" s="241">
        <f t="shared" si="36"/>
        <v>29179.519900497511</v>
      </c>
      <c r="G221" s="241">
        <f t="shared" si="36"/>
        <v>587639.13793103443</v>
      </c>
      <c r="H221" s="241">
        <f t="shared" si="36"/>
        <v>989.42307692307691</v>
      </c>
      <c r="I221" s="241">
        <f t="shared" si="36"/>
        <v>589.90171755725191</v>
      </c>
      <c r="J221" s="241"/>
      <c r="K221" s="241">
        <f t="shared" si="36"/>
        <v>6245.7142857142853</v>
      </c>
      <c r="L221" s="222"/>
      <c r="M221" s="222"/>
      <c r="N221" s="222"/>
      <c r="O221" s="222"/>
      <c r="P221" s="222"/>
      <c r="Q221" s="222"/>
      <c r="R221" s="222"/>
      <c r="S221" s="222"/>
      <c r="T221" s="222"/>
      <c r="U221" s="222"/>
      <c r="V221" s="222"/>
    </row>
    <row r="222" spans="1:22" ht="17.5" x14ac:dyDescent="0.35">
      <c r="A222" s="222"/>
      <c r="B222" s="198">
        <v>2013</v>
      </c>
      <c r="C222" s="199"/>
      <c r="D222" s="199"/>
      <c r="E222" s="241">
        <f t="shared" si="36"/>
        <v>11408.611616515045</v>
      </c>
      <c r="F222" s="241">
        <f t="shared" si="36"/>
        <v>27911.356608478804</v>
      </c>
      <c r="G222" s="241">
        <f t="shared" si="36"/>
        <v>581036.31034482759</v>
      </c>
      <c r="H222" s="241">
        <f t="shared" si="36"/>
        <v>954.48148148148152</v>
      </c>
      <c r="I222" s="241">
        <f t="shared" si="36"/>
        <v>579.96992481203006</v>
      </c>
      <c r="J222" s="241"/>
      <c r="K222" s="241">
        <f t="shared" si="36"/>
        <v>6291.9047619047615</v>
      </c>
      <c r="L222" s="222"/>
      <c r="M222" s="222"/>
      <c r="N222" s="222"/>
      <c r="O222" s="222"/>
      <c r="P222" s="222"/>
      <c r="Q222" s="222"/>
      <c r="R222" s="222"/>
      <c r="S222" s="222"/>
      <c r="T222" s="222"/>
      <c r="U222" s="222"/>
      <c r="V222" s="222"/>
    </row>
    <row r="223" spans="1:22" ht="17.5" x14ac:dyDescent="0.35">
      <c r="A223" s="222"/>
      <c r="B223" s="198">
        <v>2014</v>
      </c>
      <c r="C223" s="199"/>
      <c r="D223" s="199"/>
      <c r="E223" s="241">
        <f t="shared" si="36"/>
        <v>11512.277563878193</v>
      </c>
      <c r="F223" s="241">
        <f t="shared" si="36"/>
        <v>26735.850746268658</v>
      </c>
      <c r="G223" s="241">
        <f t="shared" si="36"/>
        <v>589376.10344827583</v>
      </c>
      <c r="H223" s="241">
        <f t="shared" si="36"/>
        <v>991.19230769230774</v>
      </c>
      <c r="I223" s="241">
        <f t="shared" si="36"/>
        <v>346.43421052631578</v>
      </c>
      <c r="J223" s="241"/>
      <c r="K223" s="241">
        <f t="shared" si="36"/>
        <v>5887.4285714285716</v>
      </c>
      <c r="L223" s="222"/>
      <c r="M223" s="222"/>
      <c r="N223" s="222"/>
      <c r="O223" s="222"/>
      <c r="P223" s="222"/>
      <c r="Q223" s="222"/>
      <c r="R223" s="222"/>
      <c r="S223" s="222"/>
      <c r="T223" s="222"/>
      <c r="U223" s="222"/>
      <c r="V223" s="222"/>
    </row>
    <row r="224" spans="1:22" ht="17.5" x14ac:dyDescent="0.35">
      <c r="A224" s="222"/>
      <c r="B224" s="366">
        <v>2015</v>
      </c>
      <c r="C224" s="199"/>
      <c r="D224" s="199"/>
      <c r="E224" s="241">
        <f t="shared" si="36"/>
        <v>10841.730476190474</v>
      </c>
      <c r="F224" s="241">
        <f t="shared" si="36"/>
        <v>25600.502857142863</v>
      </c>
      <c r="G224" s="241">
        <f t="shared" si="36"/>
        <v>574815.76586206909</v>
      </c>
      <c r="H224" s="241">
        <f t="shared" si="36"/>
        <v>948.77076923076913</v>
      </c>
      <c r="I224" s="241">
        <f t="shared" si="36"/>
        <v>348.4508740601504</v>
      </c>
      <c r="J224" s="241"/>
      <c r="K224" s="241">
        <f t="shared" si="36"/>
        <v>5887.4285714285716</v>
      </c>
      <c r="L224" s="222"/>
      <c r="M224" s="222"/>
      <c r="N224" s="222"/>
      <c r="O224" s="222"/>
      <c r="P224" s="222"/>
      <c r="Q224" s="222"/>
      <c r="R224" s="222"/>
      <c r="S224" s="222"/>
      <c r="T224" s="222"/>
      <c r="U224" s="222"/>
      <c r="V224" s="222"/>
    </row>
    <row r="225" spans="1:22" ht="17.5" x14ac:dyDescent="0.35">
      <c r="A225" s="222"/>
      <c r="B225" s="366">
        <v>2016</v>
      </c>
      <c r="C225" s="199"/>
      <c r="D225" s="199"/>
      <c r="E225" s="241">
        <f t="shared" si="36"/>
        <v>10302.519087731564</v>
      </c>
      <c r="F225" s="241">
        <f t="shared" si="36"/>
        <v>25756.74969465649</v>
      </c>
      <c r="G225" s="241">
        <f t="shared" si="36"/>
        <v>564760.60034482763</v>
      </c>
      <c r="H225" s="241">
        <f t="shared" si="36"/>
        <v>944.8615384615382</v>
      </c>
      <c r="I225" s="241">
        <f t="shared" si="36"/>
        <v>321.39417840375586</v>
      </c>
      <c r="J225" s="241"/>
      <c r="K225" s="241">
        <f t="shared" si="36"/>
        <v>5887.4285714285716</v>
      </c>
      <c r="L225" s="222"/>
      <c r="M225" s="222"/>
      <c r="N225" s="222"/>
      <c r="O225" s="222"/>
      <c r="P225" s="222"/>
      <c r="Q225" s="222"/>
      <c r="R225" s="222"/>
      <c r="S225" s="222"/>
      <c r="T225" s="222"/>
      <c r="U225" s="222"/>
      <c r="V225" s="222"/>
    </row>
    <row r="226" spans="1:22" ht="17.5" x14ac:dyDescent="0.35">
      <c r="A226" s="222"/>
      <c r="B226" s="498">
        <v>2017</v>
      </c>
      <c r="C226" s="199"/>
      <c r="D226" s="199"/>
      <c r="E226" s="241">
        <f t="shared" si="36"/>
        <v>10054.685135793869</v>
      </c>
      <c r="F226" s="241">
        <f t="shared" si="36"/>
        <v>25555.115850515464</v>
      </c>
      <c r="G226" s="241">
        <f t="shared" si="36"/>
        <v>556818.38678571431</v>
      </c>
      <c r="H226" s="241">
        <f t="shared" si="36"/>
        <v>969.4</v>
      </c>
      <c r="I226" s="241">
        <f t="shared" si="36"/>
        <v>320.22234741784035</v>
      </c>
      <c r="J226" s="241"/>
      <c r="K226" s="241">
        <f t="shared" si="36"/>
        <v>5887.4285714285716</v>
      </c>
      <c r="L226" s="222"/>
      <c r="M226" s="222"/>
      <c r="N226" s="222"/>
      <c r="O226" s="222"/>
      <c r="P226" s="222"/>
      <c r="Q226" s="222"/>
      <c r="R226" s="222"/>
      <c r="S226" s="222"/>
      <c r="T226" s="222"/>
      <c r="U226" s="222"/>
      <c r="V226" s="222"/>
    </row>
    <row r="227" spans="1:22" ht="17.5" x14ac:dyDescent="0.35">
      <c r="A227" s="222"/>
      <c r="B227" s="498">
        <v>2018</v>
      </c>
      <c r="C227" s="199"/>
      <c r="D227" s="199"/>
      <c r="E227" s="241">
        <f t="shared" si="36"/>
        <v>10752.815238919662</v>
      </c>
      <c r="F227" s="241">
        <f t="shared" si="36"/>
        <v>26342.911726804123</v>
      </c>
      <c r="G227" s="241">
        <f t="shared" si="36"/>
        <v>568780.88481481478</v>
      </c>
      <c r="H227" s="241">
        <f t="shared" si="36"/>
        <v>969.4079999999999</v>
      </c>
      <c r="I227" s="241">
        <f t="shared" si="36"/>
        <v>321.12693032015062</v>
      </c>
      <c r="J227" s="241"/>
      <c r="K227" s="241">
        <f t="shared" si="36"/>
        <v>5887.4285714285716</v>
      </c>
      <c r="L227" s="222"/>
      <c r="M227" s="222"/>
      <c r="N227" s="222"/>
      <c r="O227" s="222"/>
      <c r="P227" s="222"/>
      <c r="Q227" s="222"/>
      <c r="R227" s="222"/>
      <c r="S227" s="222"/>
      <c r="T227" s="222"/>
      <c r="U227" s="222"/>
      <c r="V227" s="222"/>
    </row>
    <row r="228" spans="1:22" ht="17.5" x14ac:dyDescent="0.35">
      <c r="A228" s="222"/>
      <c r="B228" s="498">
        <v>2019</v>
      </c>
      <c r="C228" s="199"/>
      <c r="D228" s="199"/>
      <c r="E228" s="241">
        <f t="shared" si="36"/>
        <v>10954.003116166838</v>
      </c>
      <c r="F228" s="241">
        <f t="shared" si="36"/>
        <v>27017.93668421053</v>
      </c>
      <c r="G228" s="241">
        <f t="shared" si="36"/>
        <v>533912.18285714288</v>
      </c>
      <c r="H228" s="241">
        <f t="shared" si="36"/>
        <v>969.4079999999999</v>
      </c>
      <c r="I228" s="241">
        <f t="shared" si="36"/>
        <v>321.12693032015062</v>
      </c>
      <c r="J228" s="241"/>
      <c r="K228" s="241">
        <f t="shared" si="36"/>
        <v>5887.4285714285716</v>
      </c>
      <c r="L228" s="222"/>
      <c r="M228" s="222"/>
      <c r="N228" s="222"/>
      <c r="O228" s="222"/>
      <c r="P228" s="222"/>
      <c r="Q228" s="222"/>
      <c r="R228" s="222"/>
      <c r="S228" s="222"/>
      <c r="T228" s="222"/>
      <c r="U228" s="222"/>
      <c r="V228" s="222"/>
    </row>
    <row r="229" spans="1:22" ht="17.5" x14ac:dyDescent="0.35">
      <c r="A229" s="222"/>
      <c r="B229" s="498">
        <v>2020</v>
      </c>
      <c r="C229" s="199"/>
      <c r="D229" s="199"/>
      <c r="E229" s="241">
        <f t="shared" si="36"/>
        <v>11256.004105889453</v>
      </c>
      <c r="F229" s="241">
        <f t="shared" si="36"/>
        <v>27739.37287923682</v>
      </c>
      <c r="G229" s="241">
        <f t="shared" si="36"/>
        <v>532405.11243476777</v>
      </c>
      <c r="H229" s="241">
        <f t="shared" si="36"/>
        <v>969.85607652460783</v>
      </c>
      <c r="I229" s="241">
        <f t="shared" si="36"/>
        <v>281.5</v>
      </c>
      <c r="J229" s="241"/>
      <c r="K229" s="241">
        <f t="shared" si="36"/>
        <v>5682.5902079126417</v>
      </c>
      <c r="L229" s="222"/>
      <c r="M229" s="222"/>
      <c r="N229" s="222"/>
      <c r="O229" s="222"/>
      <c r="P229" s="222"/>
      <c r="Q229" s="222"/>
      <c r="R229" s="222"/>
      <c r="S229" s="222"/>
      <c r="T229" s="222"/>
      <c r="U229" s="222"/>
      <c r="V229" s="222"/>
    </row>
    <row r="230" spans="1:22" ht="17.5" x14ac:dyDescent="0.35">
      <c r="A230" s="222"/>
      <c r="B230" s="498">
        <v>2021</v>
      </c>
      <c r="C230" s="199"/>
      <c r="D230" s="199"/>
      <c r="E230" s="241">
        <f t="shared" si="36"/>
        <v>11216.388915309419</v>
      </c>
      <c r="F230" s="241">
        <f t="shared" si="36"/>
        <v>27618.40102565378</v>
      </c>
      <c r="G230" s="241">
        <f t="shared" si="36"/>
        <v>516078.83980705455</v>
      </c>
      <c r="H230" s="241">
        <f t="shared" si="36"/>
        <v>970.30436015764872</v>
      </c>
      <c r="I230" s="241">
        <f t="shared" si="36"/>
        <v>281.5</v>
      </c>
      <c r="J230" s="241"/>
      <c r="K230" s="241">
        <f t="shared" si="36"/>
        <v>5484.8786833313716</v>
      </c>
      <c r="L230" s="222"/>
      <c r="M230" s="222"/>
      <c r="N230" s="222"/>
      <c r="O230" s="222"/>
      <c r="P230" s="222"/>
      <c r="Q230" s="222"/>
      <c r="R230" s="222"/>
      <c r="S230" s="222"/>
      <c r="T230" s="222"/>
      <c r="U230" s="222"/>
      <c r="V230" s="222"/>
    </row>
    <row r="231" spans="1:22" ht="17.5" x14ac:dyDescent="0.35">
      <c r="A231" s="222"/>
      <c r="C231" s="367"/>
      <c r="D231" s="367"/>
      <c r="L231" s="222"/>
      <c r="M231" s="222"/>
      <c r="N231" s="222"/>
      <c r="O231" s="222"/>
      <c r="P231" s="222"/>
      <c r="Q231" s="222"/>
      <c r="R231" s="222"/>
      <c r="S231" s="222"/>
      <c r="T231" s="222"/>
      <c r="U231" s="222"/>
      <c r="V231" s="222"/>
    </row>
    <row r="232" spans="1:22" ht="17.5" hidden="1" x14ac:dyDescent="0.35">
      <c r="A232" s="222"/>
      <c r="C232" s="367"/>
      <c r="D232" s="367"/>
      <c r="L232" s="222"/>
      <c r="M232" s="222"/>
      <c r="N232" s="222"/>
      <c r="O232" s="222"/>
      <c r="P232" s="222"/>
      <c r="Q232" s="222"/>
      <c r="R232" s="222"/>
      <c r="S232" s="222"/>
      <c r="T232" s="222"/>
      <c r="U232" s="222"/>
      <c r="V232" s="222"/>
    </row>
    <row r="233" spans="1:22" ht="17.5" hidden="1" x14ac:dyDescent="0.35">
      <c r="A233" s="222"/>
      <c r="B233" s="239"/>
      <c r="C233" s="239"/>
      <c r="D233" s="239"/>
      <c r="E233" s="222"/>
      <c r="F233" s="222"/>
      <c r="G233" s="222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222"/>
    </row>
    <row r="234" spans="1:22" ht="18" hidden="1" x14ac:dyDescent="0.35">
      <c r="A234" s="222"/>
      <c r="B234" s="212" t="s">
        <v>337</v>
      </c>
      <c r="C234" s="212"/>
      <c r="D234" s="212"/>
      <c r="E234" s="213"/>
      <c r="F234" s="213"/>
      <c r="G234" s="213"/>
      <c r="H234" s="213"/>
      <c r="I234" s="222"/>
      <c r="J234" s="222"/>
      <c r="K234" s="222"/>
      <c r="L234" s="222"/>
      <c r="M234" s="222"/>
      <c r="N234" s="222"/>
      <c r="O234" s="222"/>
      <c r="P234" s="222"/>
      <c r="Q234" s="222"/>
      <c r="R234" s="222"/>
      <c r="S234" s="222"/>
      <c r="T234" s="222"/>
      <c r="U234" s="222"/>
      <c r="V234" s="222"/>
    </row>
    <row r="235" spans="1:22" ht="54" hidden="1" x14ac:dyDescent="0.35">
      <c r="A235" s="222"/>
      <c r="B235" s="191" t="s">
        <v>110</v>
      </c>
      <c r="C235" s="192"/>
      <c r="D235" s="192"/>
      <c r="E235" s="193" t="s">
        <v>1</v>
      </c>
      <c r="F235" s="193" t="s">
        <v>97</v>
      </c>
      <c r="G235" s="193" t="s">
        <v>201</v>
      </c>
      <c r="H235" s="193" t="s">
        <v>120</v>
      </c>
      <c r="I235" s="193" t="s">
        <v>47</v>
      </c>
      <c r="J235" s="193"/>
      <c r="K235" s="193" t="s">
        <v>121</v>
      </c>
      <c r="L235" s="222"/>
      <c r="M235" s="222"/>
      <c r="N235" s="222"/>
      <c r="O235" s="222"/>
      <c r="P235" s="222"/>
      <c r="Q235" s="222"/>
      <c r="R235" s="222"/>
      <c r="S235" s="222"/>
      <c r="T235" s="222"/>
      <c r="U235" s="222"/>
      <c r="V235" s="222"/>
    </row>
    <row r="236" spans="1:22" ht="18" hidden="1" x14ac:dyDescent="0.35">
      <c r="A236" s="222"/>
      <c r="B236" s="215" t="s">
        <v>138</v>
      </c>
      <c r="C236" s="216"/>
      <c r="D236" s="216"/>
      <c r="E236" s="216"/>
      <c r="F236" s="216"/>
      <c r="G236" s="216"/>
      <c r="H236" s="216"/>
      <c r="I236" s="216"/>
      <c r="J236" s="216"/>
      <c r="K236" s="217"/>
      <c r="L236" s="222"/>
      <c r="M236" s="222"/>
      <c r="N236" s="222"/>
      <c r="O236" s="222"/>
      <c r="P236" s="222"/>
      <c r="Q236" s="222"/>
      <c r="R236" s="222"/>
      <c r="S236" s="222"/>
      <c r="T236" s="222"/>
      <c r="U236" s="222"/>
      <c r="V236" s="222"/>
    </row>
    <row r="237" spans="1:22" ht="17.5" hidden="1" x14ac:dyDescent="0.35">
      <c r="A237" s="222"/>
      <c r="B237" s="198">
        <v>2010</v>
      </c>
      <c r="C237" s="249"/>
      <c r="D237" s="249"/>
      <c r="E237" s="243"/>
      <c r="F237" s="243"/>
      <c r="G237" s="243"/>
      <c r="H237" s="243"/>
      <c r="I237" s="243"/>
      <c r="J237" s="243"/>
      <c r="K237" s="243"/>
      <c r="L237" s="222"/>
      <c r="M237" s="222"/>
      <c r="N237" s="222"/>
      <c r="O237" s="222"/>
      <c r="P237" s="222"/>
      <c r="Q237" s="222"/>
      <c r="R237" s="222"/>
      <c r="S237" s="222"/>
      <c r="T237" s="222"/>
      <c r="U237" s="222"/>
      <c r="V237" s="222"/>
    </row>
    <row r="238" spans="1:22" ht="17.5" hidden="1" x14ac:dyDescent="0.35">
      <c r="A238" s="222"/>
      <c r="B238" s="198">
        <v>2011</v>
      </c>
      <c r="C238" s="199"/>
      <c r="D238" s="199"/>
      <c r="E238" s="243">
        <f t="shared" ref="E238:K243" si="37">E220/E219-1</f>
        <v>1.6270558912114597E-2</v>
      </c>
      <c r="F238" s="243">
        <f t="shared" si="37"/>
        <v>3.0779534934360031E-2</v>
      </c>
      <c r="G238" s="243">
        <f t="shared" si="37"/>
        <v>-1.2337286918263635E-2</v>
      </c>
      <c r="H238" s="243">
        <f t="shared" si="37"/>
        <v>3.0956175298804789E-2</v>
      </c>
      <c r="I238" s="243">
        <f t="shared" si="37"/>
        <v>-6.5342313598910629E-3</v>
      </c>
      <c r="J238" s="243"/>
      <c r="K238" s="243">
        <f t="shared" si="37"/>
        <v>-1.0375022788354782E-3</v>
      </c>
      <c r="L238" s="222"/>
      <c r="M238" s="222"/>
      <c r="N238" s="222"/>
      <c r="O238" s="222"/>
      <c r="P238" s="222"/>
      <c r="Q238" s="222"/>
      <c r="R238" s="222"/>
      <c r="S238" s="222"/>
      <c r="T238" s="222"/>
      <c r="U238" s="222"/>
      <c r="V238" s="222"/>
    </row>
    <row r="239" spans="1:22" ht="17.5" hidden="1" x14ac:dyDescent="0.35">
      <c r="A239" s="222"/>
      <c r="B239" s="198">
        <v>2012</v>
      </c>
      <c r="C239" s="199"/>
      <c r="D239" s="199"/>
      <c r="E239" s="243">
        <f t="shared" si="37"/>
        <v>-3.3120355278837277E-2</v>
      </c>
      <c r="F239" s="243">
        <f t="shared" si="37"/>
        <v>3.9574712322959726E-2</v>
      </c>
      <c r="G239" s="243">
        <f t="shared" si="37"/>
        <v>-0.13320721193946272</v>
      </c>
      <c r="H239" s="243">
        <f t="shared" si="37"/>
        <v>-5.8739421107546486E-3</v>
      </c>
      <c r="I239" s="243">
        <f t="shared" si="37"/>
        <v>7.5616383166685619E-3</v>
      </c>
      <c r="J239" s="243"/>
      <c r="K239" s="243">
        <f t="shared" si="37"/>
        <v>-0.22786459820407279</v>
      </c>
      <c r="L239" s="222"/>
      <c r="M239" s="222"/>
      <c r="N239" s="222"/>
      <c r="O239" s="222"/>
      <c r="P239" s="222"/>
      <c r="Q239" s="222"/>
      <c r="R239" s="222"/>
      <c r="S239" s="222"/>
      <c r="T239" s="222"/>
      <c r="U239" s="222"/>
      <c r="V239" s="222"/>
    </row>
    <row r="240" spans="1:22" ht="17.5" hidden="1" x14ac:dyDescent="0.35">
      <c r="A240" s="222"/>
      <c r="B240" s="198">
        <v>2013</v>
      </c>
      <c r="C240" s="199"/>
      <c r="D240" s="199"/>
      <c r="E240" s="243">
        <f t="shared" si="37"/>
        <v>5.9683128572931343E-2</v>
      </c>
      <c r="F240" s="243">
        <f t="shared" si="37"/>
        <v>-4.3460731922360551E-2</v>
      </c>
      <c r="G240" s="243">
        <f t="shared" si="37"/>
        <v>-1.1236194392113097E-2</v>
      </c>
      <c r="H240" s="243">
        <f t="shared" si="37"/>
        <v>-3.5315120757297591E-2</v>
      </c>
      <c r="I240" s="243">
        <f t="shared" si="37"/>
        <v>-1.6836351632181779E-2</v>
      </c>
      <c r="J240" s="243"/>
      <c r="K240" s="243">
        <f t="shared" si="37"/>
        <v>7.3955474229947527E-3</v>
      </c>
      <c r="L240" s="222"/>
      <c r="M240" s="222"/>
      <c r="N240" s="222"/>
      <c r="O240" s="222"/>
      <c r="P240" s="222"/>
      <c r="Q240" s="222"/>
      <c r="R240" s="222"/>
      <c r="S240" s="222"/>
      <c r="T240" s="222"/>
      <c r="U240" s="222"/>
      <c r="V240" s="222"/>
    </row>
    <row r="241" spans="1:22" ht="17.5" hidden="1" x14ac:dyDescent="0.35">
      <c r="A241" s="222"/>
      <c r="B241" s="198">
        <v>2014</v>
      </c>
      <c r="C241" s="199"/>
      <c r="D241" s="199"/>
      <c r="E241" s="243">
        <f t="shared" si="37"/>
        <v>9.0866400617128917E-3</v>
      </c>
      <c r="F241" s="243">
        <f t="shared" si="37"/>
        <v>-4.2115683544133309E-2</v>
      </c>
      <c r="G241" s="243">
        <f t="shared" si="37"/>
        <v>1.4353307968823614E-2</v>
      </c>
      <c r="H241" s="243">
        <f t="shared" si="37"/>
        <v>3.8461538461538547E-2</v>
      </c>
      <c r="I241" s="243">
        <f t="shared" si="37"/>
        <v>-0.40266866314042726</v>
      </c>
      <c r="J241" s="243"/>
      <c r="K241" s="243">
        <f t="shared" si="37"/>
        <v>-6.4285173692575359E-2</v>
      </c>
      <c r="L241" s="222"/>
      <c r="M241" s="222"/>
      <c r="N241" s="222"/>
      <c r="O241" s="222"/>
      <c r="P241" s="222"/>
      <c r="Q241" s="222"/>
      <c r="R241" s="222"/>
      <c r="S241" s="222"/>
      <c r="T241" s="222"/>
      <c r="U241" s="222"/>
      <c r="V241" s="222"/>
    </row>
    <row r="242" spans="1:22" ht="17.5" hidden="1" x14ac:dyDescent="0.35">
      <c r="A242" s="222"/>
      <c r="B242" s="366">
        <v>2015</v>
      </c>
      <c r="C242" s="367"/>
      <c r="D242" s="367"/>
      <c r="E242" s="243">
        <f t="shared" si="37"/>
        <v>-5.8246257872697438E-2</v>
      </c>
      <c r="F242" s="243">
        <f t="shared" si="37"/>
        <v>-4.2465373550316099E-2</v>
      </c>
      <c r="G242" s="243">
        <f t="shared" si="37"/>
        <v>-2.4704662270862765E-2</v>
      </c>
      <c r="H242" s="243">
        <f t="shared" si="37"/>
        <v>-4.2798494431725675E-2</v>
      </c>
      <c r="I242" s="243">
        <f t="shared" si="37"/>
        <v>5.8212020422891975E-3</v>
      </c>
      <c r="J242" s="243"/>
      <c r="K242" s="243">
        <f t="shared" si="37"/>
        <v>0</v>
      </c>
      <c r="L242" s="222"/>
      <c r="M242" s="222"/>
      <c r="N242" s="222"/>
      <c r="O242" s="222"/>
      <c r="P242" s="222"/>
      <c r="Q242" s="222"/>
      <c r="R242" s="222"/>
      <c r="S242" s="222"/>
      <c r="T242" s="222"/>
      <c r="U242" s="222"/>
      <c r="V242" s="222"/>
    </row>
    <row r="243" spans="1:22" ht="17.5" hidden="1" x14ac:dyDescent="0.35">
      <c r="A243" s="222"/>
      <c r="B243" s="366">
        <v>2016</v>
      </c>
      <c r="C243" s="367"/>
      <c r="D243" s="367"/>
      <c r="E243" s="243">
        <f t="shared" si="37"/>
        <v>-4.9734808446222911E-2</v>
      </c>
      <c r="F243" s="243">
        <f t="shared" si="37"/>
        <v>6.1032722046721055E-3</v>
      </c>
      <c r="G243" s="243">
        <f t="shared" si="37"/>
        <v>-1.7492849212584538E-2</v>
      </c>
      <c r="H243" s="243">
        <f t="shared" si="37"/>
        <v>-4.1203111394340075E-3</v>
      </c>
      <c r="I243" s="243">
        <f t="shared" si="37"/>
        <v>-7.7648522849519286E-2</v>
      </c>
      <c r="J243" s="243"/>
      <c r="K243" s="243">
        <f t="shared" si="37"/>
        <v>0</v>
      </c>
      <c r="L243" s="222"/>
      <c r="M243" s="222"/>
      <c r="N243" s="222"/>
      <c r="O243" s="222"/>
      <c r="P243" s="222"/>
      <c r="Q243" s="222"/>
      <c r="R243" s="222"/>
      <c r="S243" s="222"/>
      <c r="T243" s="222"/>
      <c r="U243" s="222"/>
      <c r="V243" s="222"/>
    </row>
    <row r="244" spans="1:22" ht="17.5" hidden="1" x14ac:dyDescent="0.35">
      <c r="A244" s="222"/>
      <c r="B244" s="498">
        <v>2017</v>
      </c>
      <c r="C244" s="199"/>
      <c r="D244" s="199"/>
      <c r="E244" s="243">
        <f t="shared" ref="E244:K244" si="38">E226/E225-1</f>
        <v>-2.4055665398651893E-2</v>
      </c>
      <c r="F244" s="243">
        <f t="shared" si="38"/>
        <v>-7.8283885401447817E-3</v>
      </c>
      <c r="G244" s="243">
        <f t="shared" si="38"/>
        <v>-1.406297385877131E-2</v>
      </c>
      <c r="H244" s="243">
        <f t="shared" si="38"/>
        <v>2.5970431158004681E-2</v>
      </c>
      <c r="I244" s="243">
        <f t="shared" si="38"/>
        <v>-3.6460865337870629E-3</v>
      </c>
      <c r="J244" s="243"/>
      <c r="K244" s="243">
        <f t="shared" si="38"/>
        <v>0</v>
      </c>
      <c r="L244" s="222"/>
      <c r="M244" s="222"/>
      <c r="N244" s="222"/>
      <c r="O244" s="222"/>
      <c r="P244" s="222"/>
      <c r="Q244" s="222"/>
      <c r="R244" s="222"/>
      <c r="S244" s="222"/>
      <c r="T244" s="222"/>
      <c r="U244" s="222"/>
      <c r="V244" s="222"/>
    </row>
    <row r="245" spans="1:22" ht="17.5" hidden="1" x14ac:dyDescent="0.35">
      <c r="A245" s="222"/>
      <c r="B245" s="675">
        <v>2018</v>
      </c>
      <c r="C245" s="674"/>
      <c r="D245" s="674"/>
      <c r="E245" s="243">
        <f t="shared" ref="E245:K245" si="39">E227/E226-1</f>
        <v>6.9433313295958587E-2</v>
      </c>
      <c r="F245" s="243">
        <f t="shared" si="39"/>
        <v>3.0827325569442454E-2</v>
      </c>
      <c r="G245" s="243">
        <f t="shared" si="39"/>
        <v>2.1483662021570593E-2</v>
      </c>
      <c r="H245" s="243">
        <f t="shared" si="39"/>
        <v>8.2525273363831531E-6</v>
      </c>
      <c r="I245" s="243">
        <f t="shared" si="39"/>
        <v>2.8248587570620654E-3</v>
      </c>
      <c r="J245" s="243"/>
      <c r="K245" s="243">
        <f t="shared" si="39"/>
        <v>0</v>
      </c>
      <c r="L245" s="222"/>
      <c r="M245" s="222"/>
      <c r="N245" s="222"/>
      <c r="O245" s="222"/>
      <c r="P245" s="222"/>
      <c r="Q245" s="222"/>
      <c r="R245" s="222"/>
      <c r="S245" s="222"/>
      <c r="T245" s="222"/>
      <c r="U245" s="222"/>
      <c r="V245" s="222"/>
    </row>
    <row r="246" spans="1:22" ht="17.5" hidden="1" x14ac:dyDescent="0.35">
      <c r="A246" s="222"/>
      <c r="B246" s="675">
        <v>2019</v>
      </c>
      <c r="C246" s="674"/>
      <c r="D246" s="674"/>
      <c r="E246" s="243">
        <f t="shared" ref="E246:K246" si="40">E228/E227-1</f>
        <v>1.8710251480838158E-2</v>
      </c>
      <c r="F246" s="243">
        <f t="shared" si="40"/>
        <v>2.5624538563046029E-2</v>
      </c>
      <c r="G246" s="243">
        <f t="shared" si="40"/>
        <v>-6.1304278833182901E-2</v>
      </c>
      <c r="H246" s="243">
        <f t="shared" si="40"/>
        <v>0</v>
      </c>
      <c r="I246" s="243">
        <f t="shared" si="40"/>
        <v>0</v>
      </c>
      <c r="J246" s="243"/>
      <c r="K246" s="243">
        <f t="shared" si="40"/>
        <v>0</v>
      </c>
      <c r="L246" s="222"/>
      <c r="M246" s="222"/>
      <c r="N246" s="222"/>
      <c r="O246" s="222"/>
      <c r="P246" s="222"/>
      <c r="Q246" s="222"/>
      <c r="R246" s="222"/>
      <c r="S246" s="222"/>
      <c r="T246" s="222"/>
      <c r="U246" s="222"/>
      <c r="V246" s="222"/>
    </row>
    <row r="247" spans="1:22" ht="17.5" hidden="1" x14ac:dyDescent="0.35">
      <c r="A247" s="222"/>
      <c r="B247" s="675">
        <v>2020</v>
      </c>
      <c r="C247" s="674"/>
      <c r="D247" s="674"/>
      <c r="E247" s="243">
        <f t="shared" ref="E247:K247" si="41">E229/E228-1</f>
        <v>2.7569920011881077E-2</v>
      </c>
      <c r="F247" s="243">
        <f t="shared" si="41"/>
        <v>2.6702120278781383E-2</v>
      </c>
      <c r="G247" s="243">
        <f t="shared" si="41"/>
        <v>-2.822693451777547E-3</v>
      </c>
      <c r="H247" s="243">
        <f t="shared" si="41"/>
        <v>4.6221665656553945E-4</v>
      </c>
      <c r="I247" s="243">
        <f t="shared" si="41"/>
        <v>-0.12339958620301372</v>
      </c>
      <c r="J247" s="243"/>
      <c r="K247" s="243">
        <f t="shared" si="41"/>
        <v>-3.4792500839840534E-2</v>
      </c>
      <c r="L247" s="222"/>
      <c r="M247" s="222"/>
      <c r="N247" s="222"/>
      <c r="O247" s="222"/>
      <c r="P247" s="222"/>
      <c r="Q247" s="222"/>
      <c r="R247" s="222"/>
      <c r="S247" s="222"/>
      <c r="T247" s="222"/>
      <c r="U247" s="222"/>
      <c r="V247" s="222"/>
    </row>
    <row r="248" spans="1:22" ht="17.5" hidden="1" x14ac:dyDescent="0.35">
      <c r="A248" s="222"/>
      <c r="B248" s="498">
        <v>2021</v>
      </c>
      <c r="C248" s="505"/>
      <c r="D248" s="506"/>
      <c r="E248" s="243">
        <f t="shared" ref="E248:K248" si="42">E230/E229-1</f>
        <v>-3.5194719375862826E-3</v>
      </c>
      <c r="F248" s="243">
        <f t="shared" si="42"/>
        <v>-4.3610161667926306E-3</v>
      </c>
      <c r="G248" s="243">
        <f t="shared" si="42"/>
        <v>-3.0665131206292773E-2</v>
      </c>
      <c r="H248" s="243">
        <f t="shared" si="42"/>
        <v>4.6221665656553945E-4</v>
      </c>
      <c r="I248" s="243">
        <f t="shared" si="42"/>
        <v>0</v>
      </c>
      <c r="J248" s="243"/>
      <c r="K248" s="243">
        <f t="shared" si="42"/>
        <v>-3.4792500839840534E-2</v>
      </c>
      <c r="L248" s="222"/>
      <c r="M248" s="222"/>
      <c r="N248" s="222"/>
      <c r="O248" s="222"/>
      <c r="P248" s="222"/>
      <c r="Q248" s="222"/>
      <c r="R248" s="222"/>
      <c r="S248" s="222"/>
      <c r="T248" s="222"/>
      <c r="U248" s="222"/>
      <c r="V248" s="222"/>
    </row>
    <row r="249" spans="1:22" ht="17.5" hidden="1" x14ac:dyDescent="0.35">
      <c r="A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</row>
    <row r="250" spans="1:22" ht="17.5" hidden="1" x14ac:dyDescent="0.35">
      <c r="A250" s="222"/>
      <c r="L250" s="222"/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</row>
    <row r="251" spans="1:22" ht="17.5" hidden="1" x14ac:dyDescent="0.35">
      <c r="A251" s="222"/>
      <c r="B251" s="499" t="s">
        <v>285</v>
      </c>
      <c r="C251" s="199"/>
      <c r="D251" s="199"/>
      <c r="E251" s="243">
        <f>'Rate Class Energy Model'!H64-1</f>
        <v>-2.6135012856420836E-5</v>
      </c>
      <c r="F251" s="243">
        <f>'Rate Class Energy Model'!I64-1</f>
        <v>-8.7062942267002175E-4</v>
      </c>
      <c r="G251" s="243">
        <f>'Rate Class Energy Model'!J64-1</f>
        <v>-2.7530708452135566E-2</v>
      </c>
      <c r="H251" s="243">
        <f>'Rate Class Energy Model'!K64-1</f>
        <v>4.6221665656553945E-4</v>
      </c>
      <c r="I251" s="243">
        <f>'Rate Class Energy Model'!L64-1</f>
        <v>-6.5235092739871159E-2</v>
      </c>
      <c r="J251" s="243"/>
      <c r="K251" s="243">
        <f>'Rate Class Energy Model'!M64-1</f>
        <v>-3.4792500839840534E-2</v>
      </c>
      <c r="L251" s="222"/>
      <c r="M251" s="222"/>
      <c r="N251" s="222"/>
      <c r="O251" s="222"/>
      <c r="P251" s="222"/>
      <c r="Q251" s="222"/>
      <c r="R251" s="222"/>
      <c r="S251" s="222"/>
      <c r="T251" s="222"/>
      <c r="U251" s="222"/>
      <c r="V251" s="222"/>
    </row>
    <row r="252" spans="1:22" ht="17.5" x14ac:dyDescent="0.35">
      <c r="A252" s="222"/>
      <c r="B252" s="239"/>
      <c r="C252" s="239"/>
      <c r="D252" s="239"/>
      <c r="E252" s="222"/>
      <c r="F252" s="222"/>
      <c r="G252" s="222"/>
      <c r="H252" s="222"/>
      <c r="I252" s="222"/>
      <c r="J252" s="222"/>
      <c r="K252" s="222"/>
      <c r="L252" s="222"/>
      <c r="M252" s="222"/>
      <c r="N252" s="222"/>
      <c r="O252" s="222"/>
      <c r="P252" s="222"/>
      <c r="Q252" s="222"/>
      <c r="R252" s="222"/>
      <c r="S252" s="222"/>
      <c r="T252" s="222"/>
      <c r="U252" s="222"/>
      <c r="V252" s="222"/>
    </row>
    <row r="253" spans="1:22" ht="18" x14ac:dyDescent="0.35">
      <c r="A253" s="222"/>
      <c r="B253" s="212" t="s">
        <v>383</v>
      </c>
      <c r="C253" s="212"/>
      <c r="D253" s="212"/>
      <c r="E253" s="213"/>
      <c r="F253" s="213"/>
      <c r="G253" s="213"/>
      <c r="H253" s="213"/>
      <c r="I253" s="213"/>
      <c r="J253" s="213"/>
      <c r="K253" s="222"/>
      <c r="L253" s="222"/>
      <c r="M253" s="222"/>
      <c r="N253" s="222"/>
      <c r="O253" s="222"/>
      <c r="P253" s="222"/>
      <c r="Q253" s="222"/>
      <c r="R253" s="222"/>
      <c r="S253" s="222"/>
      <c r="T253" s="222"/>
      <c r="U253" s="222"/>
      <c r="V253" s="222"/>
    </row>
    <row r="254" spans="1:22" ht="54" x14ac:dyDescent="0.35">
      <c r="A254" s="222"/>
      <c r="B254" s="250" t="s">
        <v>110</v>
      </c>
      <c r="C254" s="251"/>
      <c r="D254" s="251"/>
      <c r="E254" s="252" t="s">
        <v>1</v>
      </c>
      <c r="F254" s="252" t="s">
        <v>97</v>
      </c>
      <c r="G254" s="252" t="s">
        <v>201</v>
      </c>
      <c r="H254" s="193" t="s">
        <v>120</v>
      </c>
      <c r="I254" s="193" t="s">
        <v>47</v>
      </c>
      <c r="J254" s="252"/>
      <c r="K254" s="252" t="s">
        <v>121</v>
      </c>
      <c r="L254" s="222"/>
      <c r="M254" s="222"/>
      <c r="N254" s="222"/>
      <c r="O254" s="222"/>
      <c r="P254" s="222"/>
      <c r="Q254" s="222"/>
      <c r="R254" s="222"/>
      <c r="S254" s="222"/>
      <c r="T254" s="222"/>
      <c r="U254" s="222"/>
      <c r="V254" s="222"/>
    </row>
    <row r="255" spans="1:22" ht="18" x14ac:dyDescent="0.35">
      <c r="A255" s="222"/>
      <c r="B255" s="215" t="s">
        <v>139</v>
      </c>
      <c r="C255" s="216"/>
      <c r="D255" s="216"/>
      <c r="E255" s="216"/>
      <c r="F255" s="216"/>
      <c r="G255" s="216"/>
      <c r="H255" s="216"/>
      <c r="I255" s="216"/>
      <c r="J255" s="216"/>
      <c r="K255" s="217"/>
      <c r="L255" s="222"/>
      <c r="M255" s="222"/>
      <c r="N255" s="222"/>
      <c r="O255" s="222"/>
      <c r="P255" s="222"/>
      <c r="Q255" s="222"/>
      <c r="R255" s="222"/>
      <c r="S255" s="222"/>
      <c r="T255" s="222"/>
      <c r="U255" s="222"/>
      <c r="V255" s="222"/>
    </row>
    <row r="256" spans="1:22" ht="17.5" x14ac:dyDescent="0.35">
      <c r="A256" s="222"/>
      <c r="B256" s="629">
        <v>2020</v>
      </c>
      <c r="C256" s="628"/>
      <c r="D256" s="628"/>
      <c r="E256" s="241">
        <f>E229</f>
        <v>11256.004105889453</v>
      </c>
      <c r="F256" s="241">
        <f t="shared" ref="F256:K256" si="43">F229</f>
        <v>27739.37287923682</v>
      </c>
      <c r="G256" s="241">
        <f t="shared" si="43"/>
        <v>532405.11243476777</v>
      </c>
      <c r="H256" s="241">
        <f t="shared" si="43"/>
        <v>969.85607652460783</v>
      </c>
      <c r="I256" s="241">
        <f t="shared" si="43"/>
        <v>281.5</v>
      </c>
      <c r="J256" s="241"/>
      <c r="K256" s="241">
        <f t="shared" si="43"/>
        <v>5682.5902079126417</v>
      </c>
      <c r="L256" s="222"/>
      <c r="M256" s="222"/>
      <c r="N256" s="222"/>
      <c r="O256" s="222"/>
      <c r="P256" s="222"/>
      <c r="Q256" s="222"/>
      <c r="R256" s="222"/>
      <c r="S256" s="222"/>
      <c r="T256" s="222"/>
      <c r="U256" s="222"/>
      <c r="V256" s="222"/>
    </row>
    <row r="257" spans="1:22" ht="17.5" x14ac:dyDescent="0.35">
      <c r="A257" s="222"/>
      <c r="B257" s="629">
        <v>2021</v>
      </c>
      <c r="C257" s="628"/>
      <c r="D257" s="628"/>
      <c r="E257" s="241">
        <f>E230</f>
        <v>11216.388915309419</v>
      </c>
      <c r="F257" s="241">
        <f t="shared" ref="F257:K257" si="44">F230</f>
        <v>27618.40102565378</v>
      </c>
      <c r="G257" s="241">
        <f t="shared" si="44"/>
        <v>516078.83980705455</v>
      </c>
      <c r="H257" s="241">
        <f t="shared" si="44"/>
        <v>970.30436015764872</v>
      </c>
      <c r="I257" s="241">
        <f t="shared" si="44"/>
        <v>281.5</v>
      </c>
      <c r="J257" s="241"/>
      <c r="K257" s="241">
        <f t="shared" si="44"/>
        <v>5484.8786833313716</v>
      </c>
      <c r="L257" s="222"/>
      <c r="M257" s="222"/>
      <c r="N257" s="222"/>
      <c r="O257" s="222"/>
      <c r="P257" s="222"/>
      <c r="Q257" s="222"/>
      <c r="R257" s="222"/>
      <c r="S257" s="222"/>
      <c r="T257" s="222"/>
      <c r="U257" s="222"/>
      <c r="V257" s="222"/>
    </row>
    <row r="258" spans="1:22" ht="17.5" x14ac:dyDescent="0.35">
      <c r="A258" s="222"/>
      <c r="B258" s="253"/>
      <c r="C258" s="253"/>
      <c r="D258" s="253"/>
      <c r="E258" s="254"/>
      <c r="F258" s="254"/>
      <c r="G258" s="254"/>
      <c r="H258" s="254"/>
      <c r="I258" s="254"/>
      <c r="J258" s="254"/>
      <c r="K258" s="254"/>
      <c r="L258" s="222"/>
      <c r="M258" s="222"/>
      <c r="N258" s="222"/>
      <c r="O258" s="222"/>
      <c r="P258" s="222"/>
      <c r="Q258" s="222"/>
      <c r="R258" s="222"/>
      <c r="S258" s="222"/>
      <c r="T258" s="222"/>
      <c r="U258" s="222"/>
      <c r="V258" s="222"/>
    </row>
    <row r="259" spans="1:22" ht="18" x14ac:dyDescent="0.35">
      <c r="A259" s="222"/>
      <c r="B259" s="212" t="s">
        <v>384</v>
      </c>
      <c r="C259" s="212"/>
      <c r="D259" s="212"/>
      <c r="E259" s="213"/>
      <c r="F259" s="213"/>
      <c r="G259" s="213"/>
      <c r="H259" s="213"/>
      <c r="I259" s="222"/>
      <c r="J259" s="222"/>
      <c r="K259" s="222"/>
      <c r="L259" s="222"/>
      <c r="M259" s="222"/>
      <c r="N259" s="222"/>
      <c r="O259" s="222"/>
      <c r="P259" s="222"/>
      <c r="Q259" s="222"/>
      <c r="R259" s="222"/>
      <c r="S259" s="222"/>
      <c r="T259" s="222"/>
      <c r="U259" s="222"/>
      <c r="V259" s="222"/>
    </row>
    <row r="260" spans="1:22" ht="54" x14ac:dyDescent="0.35">
      <c r="A260" s="222"/>
      <c r="B260" s="191" t="s">
        <v>110</v>
      </c>
      <c r="C260" s="192"/>
      <c r="D260" s="192"/>
      <c r="E260" s="193" t="s">
        <v>1</v>
      </c>
      <c r="F260" s="193" t="s">
        <v>97</v>
      </c>
      <c r="G260" s="193" t="s">
        <v>201</v>
      </c>
      <c r="H260" s="193" t="s">
        <v>120</v>
      </c>
      <c r="I260" s="193" t="s">
        <v>47</v>
      </c>
      <c r="J260" s="193"/>
      <c r="K260" s="193" t="s">
        <v>121</v>
      </c>
      <c r="L260" s="193" t="s">
        <v>52</v>
      </c>
      <c r="M260" s="222"/>
      <c r="N260" s="222"/>
      <c r="O260" s="222"/>
      <c r="P260" s="222"/>
      <c r="Q260" s="222"/>
      <c r="R260" s="222"/>
      <c r="S260" s="222"/>
      <c r="T260" s="222"/>
      <c r="U260" s="222"/>
      <c r="V260" s="222"/>
    </row>
    <row r="261" spans="1:22" ht="18" x14ac:dyDescent="0.35">
      <c r="A261" s="222"/>
      <c r="B261" s="215" t="s">
        <v>140</v>
      </c>
      <c r="C261" s="216"/>
      <c r="D261" s="216"/>
      <c r="E261" s="216"/>
      <c r="F261" s="216"/>
      <c r="G261" s="216"/>
      <c r="H261" s="216"/>
      <c r="I261" s="216"/>
      <c r="J261" s="216"/>
      <c r="K261" s="216"/>
      <c r="L261" s="217"/>
      <c r="M261" s="222"/>
      <c r="N261" s="222"/>
      <c r="O261" s="222"/>
      <c r="P261" s="222"/>
      <c r="Q261" s="222"/>
      <c r="R261" s="222"/>
      <c r="S261" s="222"/>
      <c r="T261" s="222"/>
      <c r="U261" s="222"/>
      <c r="V261" s="222"/>
    </row>
    <row r="262" spans="1:22" ht="17.5" x14ac:dyDescent="0.35">
      <c r="A262" s="222"/>
      <c r="B262" s="381" t="s">
        <v>281</v>
      </c>
      <c r="C262" s="199"/>
      <c r="D262" s="199"/>
      <c r="E262" s="255">
        <f>'Rate Class Energy Model'!H67/1000000</f>
        <v>31.824221530035988</v>
      </c>
      <c r="F262" s="255">
        <f>'Rate Class Energy Model'!I67/1000000</f>
        <v>10.110890559439571</v>
      </c>
      <c r="G262" s="255">
        <f>'Rate Class Energy Model'!J67/1000000</f>
        <v>15.035454537025593</v>
      </c>
      <c r="H262" s="255">
        <f>'Rate Class Energy Model'!K67/1000000</f>
        <v>2.4151492038982987E-2</v>
      </c>
      <c r="I262" s="255">
        <f>'Rate Class Energy Model'!L67/1000000</f>
        <v>0.22491849999999999</v>
      </c>
      <c r="J262" s="255"/>
      <c r="K262" s="255">
        <f>'Rate Class Energy Model'!M67/1000000</f>
        <v>0.11933439436616548</v>
      </c>
      <c r="L262" s="255">
        <f>SUM(E262:K262)</f>
        <v>57.338971012906299</v>
      </c>
      <c r="M262" s="222"/>
      <c r="N262" s="222"/>
      <c r="O262" s="222"/>
      <c r="P262" s="222"/>
      <c r="Q262" s="222"/>
      <c r="R262" s="222"/>
      <c r="S262" s="222"/>
      <c r="T262" s="222"/>
      <c r="U262" s="222"/>
      <c r="V262" s="222"/>
    </row>
    <row r="263" spans="1:22" ht="17.5" x14ac:dyDescent="0.35">
      <c r="A263" s="222"/>
      <c r="B263" s="381" t="s">
        <v>284</v>
      </c>
      <c r="C263" s="628"/>
      <c r="D263" s="628"/>
      <c r="E263" s="255">
        <f>'Rate Class Energy Model'!H68/1000000</f>
        <v>31.874482922686738</v>
      </c>
      <c r="F263" s="255">
        <f>'Rate Class Energy Model'!I68/1000000</f>
        <v>9.9522665067652358</v>
      </c>
      <c r="G263" s="255">
        <f>'Rate Class Energy Model'!J68/1000000</f>
        <v>15.147566847517954</v>
      </c>
      <c r="H263" s="255">
        <f>'Rate Class Energy Model'!K68/1000000</f>
        <v>2.4257609003941218E-2</v>
      </c>
      <c r="I263" s="255">
        <f>'Rate Class Energy Model'!L68/1000000</f>
        <v>0.22491849999999999</v>
      </c>
      <c r="J263" s="255"/>
      <c r="K263" s="255">
        <f>'Rate Class Energy Model'!M68/1000000</f>
        <v>0.1151824523499588</v>
      </c>
      <c r="L263" s="255">
        <f>SUM(E263:K263)</f>
        <v>57.338674838323826</v>
      </c>
      <c r="M263" s="222"/>
      <c r="N263" s="222"/>
      <c r="O263" s="222"/>
      <c r="P263" s="222"/>
      <c r="Q263" s="222"/>
      <c r="R263" s="222"/>
      <c r="S263" s="222"/>
      <c r="T263" s="222"/>
      <c r="U263" s="222"/>
      <c r="V263" s="222"/>
    </row>
    <row r="264" spans="1:22" ht="17.5" x14ac:dyDescent="0.35">
      <c r="A264" s="222"/>
      <c r="B264" s="253"/>
      <c r="C264" s="253"/>
      <c r="D264" s="253"/>
      <c r="E264" s="256"/>
      <c r="F264" s="256"/>
      <c r="G264" s="256"/>
      <c r="H264" s="256"/>
      <c r="I264" s="256"/>
      <c r="J264" s="256"/>
      <c r="K264" s="256"/>
      <c r="L264" s="222"/>
      <c r="M264" s="222"/>
      <c r="N264" s="222"/>
      <c r="O264" s="222"/>
      <c r="P264" s="222"/>
      <c r="Q264" s="222"/>
      <c r="R264" s="222"/>
      <c r="S264" s="222"/>
      <c r="T264" s="222"/>
      <c r="U264" s="222"/>
      <c r="V264" s="222"/>
    </row>
    <row r="265" spans="1:22" ht="18" x14ac:dyDescent="0.35">
      <c r="A265" s="222"/>
      <c r="B265" s="212" t="s">
        <v>385</v>
      </c>
      <c r="C265" s="213"/>
      <c r="D265" s="213"/>
      <c r="E265" s="222"/>
      <c r="F265" s="222"/>
      <c r="G265" s="222"/>
      <c r="H265" s="222"/>
      <c r="I265" s="222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</row>
    <row r="266" spans="1:22" ht="46.5" x14ac:dyDescent="0.35">
      <c r="A266" s="222"/>
      <c r="B266" s="341" t="s">
        <v>1</v>
      </c>
      <c r="C266" s="341" t="s">
        <v>97</v>
      </c>
      <c r="D266" s="341" t="s">
        <v>201</v>
      </c>
      <c r="E266" s="341" t="s">
        <v>120</v>
      </c>
      <c r="F266" s="341" t="s">
        <v>47</v>
      </c>
      <c r="G266" s="341"/>
      <c r="H266" s="341" t="s">
        <v>121</v>
      </c>
      <c r="I266" s="222"/>
      <c r="J266" s="222"/>
      <c r="K266" s="222"/>
      <c r="L266" s="222"/>
      <c r="M266" s="222"/>
      <c r="N266" s="222"/>
      <c r="O266" s="222"/>
      <c r="P266" s="222"/>
      <c r="Q266" s="222"/>
      <c r="R266" s="222"/>
      <c r="S266" s="222"/>
    </row>
    <row r="267" spans="1:22" ht="17.5" x14ac:dyDescent="0.35">
      <c r="A267" s="222"/>
      <c r="B267" s="342" t="s">
        <v>141</v>
      </c>
      <c r="C267" s="343"/>
      <c r="D267" s="343"/>
      <c r="E267" s="343"/>
      <c r="F267" s="344"/>
      <c r="G267" s="344"/>
      <c r="H267" s="345"/>
      <c r="I267" s="222"/>
      <c r="J267" s="222"/>
      <c r="K267" s="222"/>
      <c r="L267" s="222"/>
      <c r="M267" s="222"/>
      <c r="N267" s="222"/>
      <c r="O267" s="222"/>
      <c r="P267" s="222"/>
      <c r="Q267" s="222"/>
      <c r="R267" s="222"/>
      <c r="S267" s="222"/>
    </row>
    <row r="268" spans="1:22" ht="17.5" x14ac:dyDescent="0.35">
      <c r="A268" s="222"/>
      <c r="B268" s="346">
        <f>'Rate Class Energy Model'!H75</f>
        <v>0.92649999999999999</v>
      </c>
      <c r="C268" s="346">
        <f>'Rate Class Energy Model'!I75</f>
        <v>0.92649999999999999</v>
      </c>
      <c r="D268" s="346">
        <f>'Rate Class Energy Model'!J75</f>
        <v>0.85299999999999998</v>
      </c>
      <c r="E268" s="346">
        <f>'Rate Class Energy Model'!K75</f>
        <v>0</v>
      </c>
      <c r="F268" s="346">
        <f>'Rate Class Energy Model'!L75</f>
        <v>0</v>
      </c>
      <c r="G268" s="346"/>
      <c r="H268" s="346">
        <f>'Rate Class Energy Model'!M75</f>
        <v>0</v>
      </c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</row>
    <row r="269" spans="1:22" ht="17.5" x14ac:dyDescent="0.35">
      <c r="A269" s="222"/>
      <c r="B269" s="239"/>
      <c r="C269" s="239"/>
      <c r="D269" s="239"/>
      <c r="E269" s="257"/>
      <c r="F269" s="257"/>
      <c r="G269" s="257"/>
      <c r="H269" s="257"/>
      <c r="I269" s="257"/>
      <c r="J269" s="257"/>
      <c r="K269" s="257"/>
      <c r="L269" s="222"/>
      <c r="M269" s="222"/>
      <c r="N269" s="222"/>
      <c r="O269" s="222"/>
      <c r="P269" s="222"/>
      <c r="Q269" s="222"/>
      <c r="R269" s="222"/>
      <c r="S269" s="222"/>
      <c r="T269" s="222"/>
      <c r="U269" s="222"/>
      <c r="V269" s="222"/>
    </row>
    <row r="270" spans="1:22" ht="17.5" hidden="1" x14ac:dyDescent="0.35">
      <c r="A270" s="222"/>
      <c r="B270" s="239"/>
      <c r="C270" s="239"/>
      <c r="D270" s="239"/>
      <c r="E270" s="257"/>
      <c r="F270" s="257"/>
      <c r="G270" s="257"/>
      <c r="H270" s="257"/>
      <c r="I270" s="257"/>
      <c r="J270" s="257"/>
      <c r="K270" s="257"/>
      <c r="L270" s="222"/>
      <c r="M270" s="222"/>
      <c r="N270" s="222"/>
      <c r="O270" s="222"/>
      <c r="P270" s="222"/>
      <c r="Q270" s="222"/>
      <c r="R270" s="222"/>
      <c r="S270" s="222"/>
      <c r="T270" s="222"/>
      <c r="U270" s="222"/>
      <c r="V270" s="222"/>
    </row>
    <row r="271" spans="1:22" ht="17.5" hidden="1" x14ac:dyDescent="0.35">
      <c r="A271" s="222"/>
      <c r="B271" s="239"/>
      <c r="C271" s="239"/>
      <c r="D271" s="239"/>
      <c r="E271" s="257"/>
      <c r="F271" s="257"/>
      <c r="G271" s="257"/>
      <c r="H271" s="257"/>
      <c r="I271" s="257"/>
      <c r="J271" s="257"/>
      <c r="K271" s="257"/>
      <c r="L271" s="222"/>
      <c r="M271" s="222"/>
      <c r="N271" s="222"/>
      <c r="O271" s="222"/>
      <c r="P271" s="222"/>
      <c r="Q271" s="222"/>
      <c r="R271" s="222"/>
      <c r="S271" s="222"/>
      <c r="T271" s="222"/>
      <c r="U271" s="222"/>
      <c r="V271" s="222"/>
    </row>
    <row r="272" spans="1:22" ht="18" hidden="1" x14ac:dyDescent="0.35">
      <c r="A272" s="222"/>
      <c r="B272" s="212" t="s">
        <v>353</v>
      </c>
      <c r="C272" s="212"/>
      <c r="D272" s="212"/>
      <c r="E272" s="213"/>
      <c r="F272" s="213"/>
      <c r="G272" s="213"/>
      <c r="H272" s="213"/>
      <c r="I272" s="222"/>
      <c r="J272" s="222"/>
      <c r="K272" s="222"/>
      <c r="L272" s="222"/>
      <c r="M272" s="258"/>
      <c r="N272" s="222"/>
      <c r="O272" s="222"/>
      <c r="P272" s="222"/>
      <c r="Q272" s="222"/>
      <c r="R272" s="222"/>
      <c r="S272" s="222"/>
      <c r="T272" s="222"/>
      <c r="U272" s="222"/>
      <c r="V272" s="222"/>
    </row>
    <row r="273" spans="1:22" ht="54" hidden="1" x14ac:dyDescent="0.35">
      <c r="A273" s="222"/>
      <c r="B273" s="789" t="s">
        <v>110</v>
      </c>
      <c r="C273" s="790"/>
      <c r="D273" s="791"/>
      <c r="E273" s="193" t="s">
        <v>52</v>
      </c>
      <c r="F273" s="193" t="s">
        <v>1</v>
      </c>
      <c r="G273" s="193" t="s">
        <v>97</v>
      </c>
      <c r="H273" s="193" t="s">
        <v>201</v>
      </c>
      <c r="I273" s="193" t="s">
        <v>120</v>
      </c>
      <c r="J273" s="193"/>
      <c r="K273" s="193" t="s">
        <v>47</v>
      </c>
      <c r="L273" s="259" t="s">
        <v>121</v>
      </c>
      <c r="M273" s="260"/>
      <c r="N273" s="222"/>
      <c r="O273" s="222"/>
      <c r="P273" s="222"/>
      <c r="Q273" s="222"/>
      <c r="R273" s="222"/>
      <c r="S273" s="222"/>
      <c r="T273" s="222"/>
      <c r="U273" s="222"/>
      <c r="V273" s="222"/>
    </row>
    <row r="274" spans="1:22" ht="17.5" hidden="1" x14ac:dyDescent="0.35">
      <c r="A274" s="222"/>
      <c r="B274" s="209"/>
      <c r="C274" s="210"/>
      <c r="D274" s="211"/>
      <c r="E274" s="261"/>
      <c r="F274" s="261"/>
      <c r="G274" s="261"/>
      <c r="H274" s="261"/>
      <c r="I274" s="261"/>
      <c r="J274" s="261"/>
      <c r="K274" s="261"/>
      <c r="L274" s="262"/>
      <c r="M274" s="222"/>
      <c r="N274" s="222"/>
      <c r="O274" s="222"/>
      <c r="P274" s="222"/>
      <c r="Q274" s="222"/>
      <c r="R274" s="222"/>
      <c r="S274" s="222"/>
      <c r="T274" s="222"/>
      <c r="U274" s="222"/>
      <c r="V274" s="222"/>
    </row>
    <row r="275" spans="1:22" ht="17.5" hidden="1" x14ac:dyDescent="0.35">
      <c r="A275" s="222"/>
      <c r="B275" s="209" t="s">
        <v>33</v>
      </c>
      <c r="C275" s="210"/>
      <c r="D275" s="211"/>
      <c r="E275" s="261"/>
      <c r="F275" s="261"/>
      <c r="G275" s="261"/>
      <c r="H275" s="261"/>
      <c r="I275" s="261"/>
      <c r="J275" s="261"/>
      <c r="K275" s="261"/>
      <c r="L275" s="262"/>
      <c r="M275" s="222"/>
      <c r="N275" s="222"/>
      <c r="O275" s="222"/>
      <c r="P275" s="222"/>
      <c r="Q275" s="222"/>
      <c r="R275" s="222"/>
      <c r="S275" s="222"/>
      <c r="T275" s="222"/>
      <c r="U275" s="222"/>
      <c r="V275" s="222"/>
    </row>
    <row r="276" spans="1:22" ht="17.5" hidden="1" x14ac:dyDescent="0.35">
      <c r="A276" s="222"/>
      <c r="B276" s="198">
        <v>2017</v>
      </c>
      <c r="C276" s="210"/>
      <c r="D276" s="211"/>
      <c r="E276" s="263">
        <f>+'Rate Class Energy Model'!G68</f>
        <v>57338674.838323824</v>
      </c>
      <c r="F276" s="263">
        <f>+'Rate Class Energy Model'!H68</f>
        <v>31874482.922686737</v>
      </c>
      <c r="G276" s="263">
        <f>+'Rate Class Energy Model'!I68</f>
        <v>9952266.5067652352</v>
      </c>
      <c r="H276" s="263">
        <f>+'Rate Class Energy Model'!J68</f>
        <v>15147566.847517954</v>
      </c>
      <c r="I276" s="263">
        <f>+'Rate Class Energy Model'!K68</f>
        <v>24257.609003941219</v>
      </c>
      <c r="J276" s="263"/>
      <c r="K276" s="263">
        <f>+'Rate Class Energy Model'!L68</f>
        <v>224918.5</v>
      </c>
      <c r="L276" s="263">
        <f>+'Rate Class Energy Model'!M68</f>
        <v>115182.4523499588</v>
      </c>
      <c r="M276" s="222"/>
      <c r="N276" s="222"/>
      <c r="O276" s="222"/>
      <c r="P276" s="222"/>
      <c r="Q276" s="222"/>
      <c r="R276" s="222"/>
      <c r="S276" s="222"/>
      <c r="T276" s="222"/>
      <c r="U276" s="222"/>
      <c r="V276" s="222"/>
    </row>
    <row r="277" spans="1:22" ht="17.5" hidden="1" x14ac:dyDescent="0.35">
      <c r="A277" s="222"/>
      <c r="B277" s="209"/>
      <c r="C277" s="210"/>
      <c r="D277" s="211"/>
      <c r="E277" s="263"/>
      <c r="F277" s="263"/>
      <c r="G277" s="263"/>
      <c r="H277" s="263"/>
      <c r="I277" s="263"/>
      <c r="J277" s="263"/>
      <c r="K277" s="263"/>
      <c r="L277" s="264"/>
      <c r="M277" s="222"/>
      <c r="N277" s="222"/>
      <c r="O277" s="222"/>
      <c r="P277" s="222"/>
      <c r="Q277" s="222"/>
      <c r="R277" s="222"/>
      <c r="S277" s="222"/>
      <c r="T277" s="222"/>
      <c r="U277" s="222"/>
      <c r="V277" s="222"/>
    </row>
    <row r="278" spans="1:22" ht="17.5" hidden="1" x14ac:dyDescent="0.35">
      <c r="A278" s="222"/>
      <c r="B278" s="209" t="s">
        <v>32</v>
      </c>
      <c r="C278" s="210"/>
      <c r="D278" s="211"/>
      <c r="E278" s="263"/>
      <c r="F278" s="263"/>
      <c r="G278" s="263"/>
      <c r="H278" s="263"/>
      <c r="I278" s="263"/>
      <c r="J278" s="263"/>
      <c r="K278" s="263"/>
      <c r="L278" s="264"/>
      <c r="M278" s="222"/>
      <c r="N278" s="222"/>
      <c r="O278" s="222"/>
      <c r="P278" s="222"/>
      <c r="Q278" s="222"/>
      <c r="R278" s="222"/>
      <c r="S278" s="222"/>
      <c r="T278" s="222"/>
      <c r="U278" s="222"/>
      <c r="V278" s="222"/>
    </row>
    <row r="279" spans="1:22" ht="17.5" hidden="1" x14ac:dyDescent="0.35">
      <c r="A279" s="222"/>
      <c r="B279" s="198">
        <v>2017</v>
      </c>
      <c r="C279" s="210"/>
      <c r="D279" s="211"/>
      <c r="E279" s="263">
        <f>+'Rate Class Energy Model'!N72</f>
        <v>58793723.777582183</v>
      </c>
      <c r="F279" s="263">
        <f>+'Rate Class Energy Model'!H72</f>
        <v>32706054.215823736</v>
      </c>
      <c r="G279" s="263">
        <f>+'Rate Class Energy Model'!I72</f>
        <v>10211910.534520878</v>
      </c>
      <c r="H279" s="263">
        <f>+'Rate Class Energy Model'!J72</f>
        <v>15511400.46588367</v>
      </c>
      <c r="I279" s="263">
        <f>+'Rate Class Energy Model'!K72</f>
        <v>24257.609003941219</v>
      </c>
      <c r="J279" s="263"/>
      <c r="K279" s="263">
        <f>+'Rate Class Energy Model'!L72</f>
        <v>224918.5</v>
      </c>
      <c r="L279" s="263">
        <f>+'Rate Class Energy Model'!M72</f>
        <v>115182.4523499588</v>
      </c>
      <c r="M279" s="222"/>
      <c r="N279" s="222"/>
      <c r="O279" s="222"/>
      <c r="P279" s="222"/>
      <c r="Q279" s="222"/>
      <c r="R279" s="222"/>
      <c r="S279" s="222"/>
      <c r="T279" s="222"/>
      <c r="U279" s="222"/>
      <c r="V279" s="222"/>
    </row>
    <row r="280" spans="1:22" ht="17.5" hidden="1" x14ac:dyDescent="0.35">
      <c r="A280" s="222"/>
      <c r="B280" s="209"/>
      <c r="C280" s="210"/>
      <c r="D280" s="211"/>
      <c r="E280" s="263"/>
      <c r="F280" s="263"/>
      <c r="G280" s="263"/>
      <c r="H280" s="263"/>
      <c r="I280" s="263"/>
      <c r="J280" s="263"/>
      <c r="K280" s="263"/>
      <c r="L280" s="264"/>
      <c r="M280" s="222"/>
      <c r="N280" s="222"/>
      <c r="O280" s="222"/>
      <c r="P280" s="222"/>
      <c r="Q280" s="222"/>
      <c r="R280" s="222"/>
      <c r="S280" s="222"/>
      <c r="T280" s="222"/>
      <c r="U280" s="222"/>
      <c r="V280" s="222"/>
    </row>
    <row r="281" spans="1:22" ht="17.5" hidden="1" x14ac:dyDescent="0.35">
      <c r="A281" s="222"/>
      <c r="B281" s="209" t="s">
        <v>34</v>
      </c>
      <c r="C281" s="210"/>
      <c r="D281" s="211"/>
      <c r="E281" s="263"/>
      <c r="F281" s="263"/>
      <c r="G281" s="263"/>
      <c r="H281" s="263"/>
      <c r="I281" s="263"/>
      <c r="J281" s="263"/>
      <c r="K281" s="263"/>
      <c r="L281" s="264"/>
      <c r="M281" s="222"/>
      <c r="N281" s="222"/>
      <c r="O281" s="222"/>
      <c r="P281" s="222"/>
      <c r="Q281" s="222"/>
      <c r="R281" s="222"/>
      <c r="S281" s="222"/>
      <c r="T281" s="222"/>
      <c r="U281" s="222"/>
      <c r="V281" s="222"/>
    </row>
    <row r="282" spans="1:22" ht="17.5" hidden="1" x14ac:dyDescent="0.35">
      <c r="A282" s="222"/>
      <c r="B282" s="198">
        <v>2017</v>
      </c>
      <c r="C282" s="210"/>
      <c r="D282" s="211"/>
      <c r="E282" s="263">
        <f>+'Rate Class Energy Model'!N77</f>
        <v>51673357.867320068</v>
      </c>
      <c r="F282" s="263">
        <f>+'Rate Class Energy Model'!H77</f>
        <v>29531708.42786926</v>
      </c>
      <c r="G282" s="263">
        <f>+'Rate Class Energy Model'!I77</f>
        <v>9220774.91851799</v>
      </c>
      <c r="H282" s="263">
        <f>+'Rate Class Energy Model'!J77</f>
        <v>12920874.520932814</v>
      </c>
      <c r="I282" s="263">
        <f>+'Rate Class Energy Model'!K77</f>
        <v>0</v>
      </c>
      <c r="J282" s="263"/>
      <c r="K282" s="263">
        <f>+'Rate Class Energy Model'!L77</f>
        <v>0</v>
      </c>
      <c r="L282" s="263">
        <f>+'Rate Class Energy Model'!M77</f>
        <v>0</v>
      </c>
      <c r="M282" s="222"/>
      <c r="N282" s="222"/>
      <c r="O282" s="222"/>
      <c r="P282" s="222"/>
      <c r="Q282" s="222"/>
      <c r="R282" s="222"/>
      <c r="S282" s="222"/>
      <c r="T282" s="222"/>
      <c r="U282" s="222"/>
      <c r="V282" s="222"/>
    </row>
    <row r="283" spans="1:22" ht="17.5" hidden="1" x14ac:dyDescent="0.35">
      <c r="A283" s="222"/>
      <c r="B283" s="209"/>
      <c r="C283" s="210"/>
      <c r="D283" s="211"/>
      <c r="E283" s="263"/>
      <c r="F283" s="263"/>
      <c r="G283" s="263"/>
      <c r="H283" s="263"/>
      <c r="I283" s="263"/>
      <c r="J283" s="263"/>
      <c r="K283" s="263"/>
      <c r="L283" s="264"/>
      <c r="M283" s="222"/>
      <c r="N283" s="222"/>
      <c r="O283" s="222"/>
      <c r="P283" s="222"/>
      <c r="Q283" s="222"/>
      <c r="R283" s="222"/>
      <c r="S283" s="222"/>
      <c r="T283" s="222"/>
      <c r="U283" s="222"/>
      <c r="V283" s="222"/>
    </row>
    <row r="284" spans="1:22" ht="17.5" hidden="1" x14ac:dyDescent="0.35">
      <c r="A284" s="222"/>
      <c r="B284" s="265" t="s">
        <v>35</v>
      </c>
      <c r="C284" s="266"/>
      <c r="D284" s="267"/>
      <c r="E284" s="263"/>
      <c r="F284" s="263"/>
      <c r="G284" s="263"/>
      <c r="H284" s="263"/>
      <c r="I284" s="263"/>
      <c r="J284" s="263"/>
      <c r="K284" s="263"/>
      <c r="L284" s="264"/>
      <c r="M284" s="222"/>
      <c r="N284" s="222"/>
      <c r="O284" s="222"/>
      <c r="P284" s="222"/>
      <c r="Q284" s="222"/>
      <c r="R284" s="222"/>
      <c r="S284" s="222"/>
      <c r="T284" s="222"/>
      <c r="U284" s="222"/>
      <c r="V284" s="222"/>
    </row>
    <row r="285" spans="1:22" ht="17.5" hidden="1" x14ac:dyDescent="0.35">
      <c r="A285" s="222"/>
      <c r="B285" s="248">
        <v>2017</v>
      </c>
      <c r="C285" s="268"/>
      <c r="D285" s="269"/>
      <c r="E285" s="263">
        <f>+'Rate Class Energy Model'!N84</f>
        <v>0</v>
      </c>
      <c r="F285" s="263">
        <f>+'Rate Class Energy Model'!H84</f>
        <v>0</v>
      </c>
      <c r="G285" s="263">
        <f>+'Rate Class Energy Model'!I84</f>
        <v>0</v>
      </c>
      <c r="H285" s="263">
        <f>+'Rate Class Energy Model'!J84</f>
        <v>0</v>
      </c>
      <c r="I285" s="263">
        <f>+'Rate Class Energy Model'!K84</f>
        <v>0</v>
      </c>
      <c r="J285" s="263"/>
      <c r="K285" s="263">
        <f>+'Rate Class Energy Model'!L84</f>
        <v>0</v>
      </c>
      <c r="L285" s="263">
        <f>+'Rate Class Energy Model'!M84</f>
        <v>0</v>
      </c>
      <c r="M285" s="222"/>
      <c r="N285" s="222"/>
      <c r="O285" s="222"/>
      <c r="P285" s="222"/>
      <c r="Q285" s="222"/>
      <c r="R285" s="222"/>
      <c r="S285" s="222"/>
      <c r="T285" s="222"/>
      <c r="U285" s="222"/>
      <c r="V285" s="222"/>
    </row>
    <row r="286" spans="1:22" ht="17.5" hidden="1" x14ac:dyDescent="0.35">
      <c r="A286" s="222"/>
      <c r="B286" s="239"/>
      <c r="C286" s="239"/>
      <c r="D286" s="239"/>
      <c r="E286" s="257"/>
      <c r="F286" s="257"/>
      <c r="G286" s="257"/>
      <c r="H286" s="257"/>
      <c r="I286" s="257"/>
      <c r="J286" s="257"/>
      <c r="K286" s="257"/>
      <c r="L286" s="222"/>
      <c r="M286" s="222"/>
      <c r="N286" s="222"/>
      <c r="O286" s="222"/>
      <c r="P286" s="222"/>
      <c r="Q286" s="222"/>
      <c r="R286" s="222"/>
      <c r="S286" s="222"/>
      <c r="T286" s="222"/>
      <c r="U286" s="222"/>
      <c r="V286" s="222"/>
    </row>
    <row r="287" spans="1:22" ht="17.5" hidden="1" x14ac:dyDescent="0.35">
      <c r="A287" s="222"/>
      <c r="B287" s="239"/>
      <c r="C287" s="239"/>
      <c r="D287" s="239"/>
      <c r="E287" s="257"/>
      <c r="F287" s="257"/>
      <c r="G287" s="257"/>
      <c r="H287" s="257"/>
      <c r="I287" s="257"/>
      <c r="J287" s="257"/>
      <c r="K287" s="257"/>
      <c r="L287" s="222"/>
      <c r="M287" s="222"/>
      <c r="N287" s="222"/>
      <c r="O287" s="222"/>
      <c r="P287" s="222"/>
      <c r="Q287" s="222"/>
      <c r="R287" s="222"/>
      <c r="S287" s="222"/>
      <c r="T287" s="222"/>
      <c r="U287" s="222"/>
      <c r="V287" s="222"/>
    </row>
    <row r="288" spans="1:22" ht="17.5" hidden="1" x14ac:dyDescent="0.35">
      <c r="A288" s="222"/>
      <c r="B288" s="239"/>
      <c r="C288" s="239"/>
      <c r="D288" s="239"/>
      <c r="E288" s="257"/>
      <c r="F288" s="257"/>
      <c r="G288" s="257"/>
      <c r="H288" s="257"/>
      <c r="I288" s="257"/>
      <c r="J288" s="257"/>
      <c r="K288" s="257"/>
      <c r="L288" s="222"/>
      <c r="M288" s="222"/>
      <c r="N288" s="222"/>
      <c r="O288" s="222"/>
      <c r="P288" s="222"/>
      <c r="Q288" s="222"/>
      <c r="R288" s="222"/>
      <c r="S288" s="222"/>
      <c r="T288" s="222"/>
      <c r="U288" s="222"/>
      <c r="V288" s="222"/>
    </row>
    <row r="289" spans="1:22" ht="17.5" hidden="1" x14ac:dyDescent="0.35">
      <c r="A289" s="222"/>
      <c r="B289" s="239"/>
      <c r="C289" s="239"/>
      <c r="D289" s="239"/>
      <c r="E289" s="257"/>
      <c r="F289" s="257"/>
      <c r="G289" s="257"/>
      <c r="H289" s="257"/>
      <c r="I289" s="257"/>
      <c r="J289" s="257"/>
      <c r="K289" s="257"/>
      <c r="L289" s="222"/>
      <c r="M289" s="222"/>
      <c r="N289" s="222"/>
      <c r="O289" s="222"/>
      <c r="P289" s="222"/>
      <c r="Q289" s="222"/>
      <c r="R289" s="222"/>
      <c r="S289" s="222"/>
      <c r="T289" s="222"/>
      <c r="U289" s="222"/>
      <c r="V289" s="222"/>
    </row>
    <row r="290" spans="1:22" ht="17.5" hidden="1" x14ac:dyDescent="0.35">
      <c r="A290" s="222"/>
      <c r="B290" s="239"/>
      <c r="C290" s="239"/>
      <c r="D290" s="239"/>
      <c r="E290" s="257"/>
      <c r="F290" s="257"/>
      <c r="G290" s="257"/>
      <c r="H290" s="257"/>
      <c r="I290" s="257"/>
      <c r="J290" s="257"/>
      <c r="K290" s="257"/>
      <c r="L290" s="222"/>
      <c r="M290" s="222"/>
      <c r="N290" s="222"/>
      <c r="O290" s="222"/>
      <c r="P290" s="222"/>
      <c r="Q290" s="222"/>
      <c r="R290" s="222"/>
      <c r="S290" s="222"/>
      <c r="T290" s="222"/>
      <c r="U290" s="222"/>
      <c r="V290" s="222"/>
    </row>
    <row r="291" spans="1:22" ht="18" hidden="1" x14ac:dyDescent="0.35">
      <c r="A291" s="222"/>
      <c r="B291" s="239"/>
      <c r="C291" s="239"/>
      <c r="D291" s="239"/>
      <c r="E291" s="257"/>
      <c r="F291" s="257"/>
      <c r="G291" s="257"/>
      <c r="H291" s="257"/>
      <c r="I291" s="257"/>
      <c r="J291" s="257"/>
      <c r="K291" s="257"/>
      <c r="L291" s="222"/>
      <c r="M291" s="222"/>
      <c r="N291" s="222"/>
      <c r="O291" s="222"/>
      <c r="P291" s="212" t="s">
        <v>167</v>
      </c>
      <c r="Q291" s="222"/>
      <c r="R291" s="222"/>
      <c r="S291" s="222"/>
      <c r="T291" s="222"/>
      <c r="U291" s="222"/>
      <c r="V291" s="222"/>
    </row>
    <row r="292" spans="1:22" ht="18" hidden="1" x14ac:dyDescent="0.4">
      <c r="A292" s="222"/>
      <c r="B292" s="239"/>
      <c r="C292" s="239"/>
      <c r="D292" s="239"/>
      <c r="E292" s="257"/>
      <c r="F292" s="257"/>
      <c r="G292" s="257"/>
      <c r="H292" s="257"/>
      <c r="I292" s="257"/>
      <c r="J292" s="257"/>
      <c r="K292" s="257"/>
      <c r="L292" s="222"/>
      <c r="M292" s="222"/>
      <c r="N292" s="222"/>
      <c r="O292" s="222"/>
      <c r="P292" s="792" t="s">
        <v>142</v>
      </c>
      <c r="Q292" s="792"/>
      <c r="R292" s="792"/>
      <c r="S292" s="792"/>
      <c r="T292" s="792"/>
      <c r="U292" s="792"/>
      <c r="V292" s="792"/>
    </row>
    <row r="293" spans="1:22" ht="17.5" hidden="1" x14ac:dyDescent="0.35">
      <c r="A293" s="222"/>
      <c r="B293" s="239"/>
      <c r="C293" s="239"/>
      <c r="D293" s="239"/>
      <c r="E293" s="222"/>
      <c r="F293" s="222"/>
      <c r="G293" s="222"/>
      <c r="H293" s="222"/>
      <c r="I293" s="222"/>
      <c r="J293" s="222"/>
      <c r="K293" s="257"/>
      <c r="L293" s="222"/>
      <c r="M293" s="222"/>
      <c r="N293" s="222"/>
      <c r="O293" s="222"/>
      <c r="P293" s="793">
        <v>2760000</v>
      </c>
      <c r="Q293" s="793"/>
      <c r="R293" s="793"/>
      <c r="S293" s="793"/>
      <c r="T293" s="793"/>
      <c r="U293" s="793"/>
      <c r="V293" s="793"/>
    </row>
    <row r="294" spans="1:22" ht="18" hidden="1" x14ac:dyDescent="0.4">
      <c r="A294" s="222"/>
      <c r="B294" s="239"/>
      <c r="C294" s="239"/>
      <c r="D294" s="239"/>
      <c r="E294" s="222"/>
      <c r="F294" s="222"/>
      <c r="G294" s="222"/>
      <c r="H294" s="222"/>
      <c r="I294" s="222"/>
      <c r="J294" s="222"/>
      <c r="K294" s="257"/>
      <c r="L294" s="222"/>
      <c r="M294" s="222"/>
      <c r="N294" s="222"/>
      <c r="O294" s="222"/>
      <c r="P294" s="801"/>
      <c r="Q294" s="802"/>
      <c r="R294" s="270">
        <v>2011</v>
      </c>
      <c r="S294" s="270">
        <v>2012</v>
      </c>
      <c r="T294" s="270">
        <v>2013</v>
      </c>
      <c r="U294" s="270">
        <v>2014</v>
      </c>
      <c r="V294" s="270" t="s">
        <v>11</v>
      </c>
    </row>
    <row r="295" spans="1:22" ht="17.5" hidden="1" x14ac:dyDescent="0.35">
      <c r="A295" s="222"/>
      <c r="B295" s="239"/>
      <c r="C295" s="239"/>
      <c r="D295" s="239"/>
      <c r="E295" s="222"/>
      <c r="F295" s="222"/>
      <c r="G295" s="222"/>
      <c r="H295" s="222"/>
      <c r="I295" s="222"/>
      <c r="J295" s="222"/>
      <c r="K295" s="257"/>
      <c r="L295" s="222"/>
      <c r="M295" s="222"/>
      <c r="N295" s="222"/>
      <c r="O295" s="222"/>
      <c r="P295" s="271" t="s">
        <v>143</v>
      </c>
      <c r="Q295" s="272"/>
      <c r="R295" s="273" t="e">
        <f>R301/$P$293</f>
        <v>#REF!</v>
      </c>
      <c r="S295" s="273" t="e">
        <f>S301/$P$293</f>
        <v>#REF!</v>
      </c>
      <c r="T295" s="273" t="e">
        <f>T301/$P$293</f>
        <v>#REF!</v>
      </c>
      <c r="U295" s="273" t="e">
        <f>U301/$P$293</f>
        <v>#REF!</v>
      </c>
      <c r="V295" s="273" t="e">
        <f>SUM(R295:U295)</f>
        <v>#REF!</v>
      </c>
    </row>
    <row r="296" spans="1:22" ht="17.5" hidden="1" x14ac:dyDescent="0.35">
      <c r="A296" s="222"/>
      <c r="B296" s="239"/>
      <c r="C296" s="239"/>
      <c r="D296" s="239"/>
      <c r="E296" s="222"/>
      <c r="F296" s="222"/>
      <c r="G296" s="222"/>
      <c r="H296" s="222"/>
      <c r="I296" s="222"/>
      <c r="J296" s="222"/>
      <c r="K296" s="257"/>
      <c r="L296" s="222"/>
      <c r="M296" s="222"/>
      <c r="N296" s="222"/>
      <c r="O296" s="222"/>
      <c r="P296" s="271" t="s">
        <v>144</v>
      </c>
      <c r="Q296" s="272"/>
      <c r="R296" s="273"/>
      <c r="S296" s="273" t="e">
        <f>S302/$P$293</f>
        <v>#REF!</v>
      </c>
      <c r="T296" s="273" t="e">
        <f>T302/$P$293</f>
        <v>#REF!</v>
      </c>
      <c r="U296" s="273" t="e">
        <f>U302/$P$293</f>
        <v>#REF!</v>
      </c>
      <c r="V296" s="273" t="e">
        <f>SUM(R296:U296)</f>
        <v>#REF!</v>
      </c>
    </row>
    <row r="297" spans="1:22" ht="17.5" hidden="1" x14ac:dyDescent="0.35">
      <c r="A297" s="222"/>
      <c r="B297" s="239"/>
      <c r="C297" s="239"/>
      <c r="D297" s="239"/>
      <c r="E297" s="222"/>
      <c r="F297" s="222"/>
      <c r="G297" s="222"/>
      <c r="H297" s="222"/>
      <c r="I297" s="222"/>
      <c r="J297" s="222"/>
      <c r="K297" s="257"/>
      <c r="L297" s="222"/>
      <c r="M297" s="222"/>
      <c r="N297" s="222"/>
      <c r="O297" s="222"/>
      <c r="P297" s="271" t="s">
        <v>145</v>
      </c>
      <c r="Q297" s="272"/>
      <c r="R297" s="273"/>
      <c r="S297" s="273"/>
      <c r="T297" s="273" t="e">
        <f>T303/$P$293</f>
        <v>#REF!</v>
      </c>
      <c r="U297" s="273" t="e">
        <f>U303/$P$293</f>
        <v>#REF!</v>
      </c>
      <c r="V297" s="273" t="e">
        <f>SUM(R297:U297)</f>
        <v>#REF!</v>
      </c>
    </row>
    <row r="298" spans="1:22" ht="17.5" hidden="1" x14ac:dyDescent="0.35">
      <c r="A298" s="222"/>
      <c r="B298" s="239"/>
      <c r="C298" s="239" t="s">
        <v>183</v>
      </c>
      <c r="D298" s="239"/>
      <c r="E298" s="222"/>
      <c r="F298" s="222"/>
      <c r="G298" s="222"/>
      <c r="H298" s="222"/>
      <c r="I298" s="222"/>
      <c r="J298" s="222"/>
      <c r="K298" s="257"/>
      <c r="L298" s="222"/>
      <c r="M298" s="222"/>
      <c r="N298" s="222"/>
      <c r="O298" s="222"/>
      <c r="P298" s="271" t="s">
        <v>146</v>
      </c>
      <c r="Q298" s="272"/>
      <c r="R298" s="273"/>
      <c r="S298" s="273"/>
      <c r="T298" s="273"/>
      <c r="U298" s="273" t="e">
        <f>U304/$P$293</f>
        <v>#REF!</v>
      </c>
      <c r="V298" s="273" t="e">
        <f>SUM(R298:U298)</f>
        <v>#REF!</v>
      </c>
    </row>
    <row r="299" spans="1:22" ht="17.5" hidden="1" x14ac:dyDescent="0.35">
      <c r="A299" s="222"/>
      <c r="B299" s="239"/>
      <c r="C299" s="239"/>
      <c r="D299" s="239"/>
      <c r="E299" s="222"/>
      <c r="F299" s="222"/>
      <c r="G299" s="222"/>
      <c r="H299" s="222"/>
      <c r="I299" s="222"/>
      <c r="J299" s="222"/>
      <c r="K299" s="257"/>
      <c r="L299" s="222"/>
      <c r="M299" s="222"/>
      <c r="N299" s="222"/>
      <c r="O299" s="222"/>
      <c r="P299" s="784" t="s">
        <v>147</v>
      </c>
      <c r="Q299" s="785"/>
      <c r="R299" s="273" t="e">
        <f>SUM(R295:R298)</f>
        <v>#REF!</v>
      </c>
      <c r="S299" s="273" t="e">
        <f t="shared" ref="S299:V299" si="45">SUM(S295:S298)</f>
        <v>#REF!</v>
      </c>
      <c r="T299" s="273" t="e">
        <f t="shared" si="45"/>
        <v>#REF!</v>
      </c>
      <c r="U299" s="273" t="e">
        <f t="shared" si="45"/>
        <v>#REF!</v>
      </c>
      <c r="V299" s="273" t="e">
        <f t="shared" si="45"/>
        <v>#REF!</v>
      </c>
    </row>
    <row r="300" spans="1:22" ht="18" hidden="1" x14ac:dyDescent="0.35">
      <c r="A300" s="222"/>
      <c r="B300" s="239"/>
      <c r="C300" s="239"/>
      <c r="D300" s="239"/>
      <c r="E300" s="222"/>
      <c r="F300" s="222"/>
      <c r="G300" s="222"/>
      <c r="H300" s="222"/>
      <c r="I300" s="222"/>
      <c r="J300" s="222"/>
      <c r="K300" s="257"/>
      <c r="L300" s="222"/>
      <c r="M300" s="222"/>
      <c r="N300" s="222"/>
      <c r="O300" s="222"/>
      <c r="P300" s="794" t="s">
        <v>50</v>
      </c>
      <c r="Q300" s="794"/>
      <c r="R300" s="794"/>
      <c r="S300" s="794"/>
      <c r="T300" s="794"/>
      <c r="U300" s="794"/>
      <c r="V300" s="794"/>
    </row>
    <row r="301" spans="1:22" ht="17.5" hidden="1" x14ac:dyDescent="0.35">
      <c r="A301" s="222"/>
      <c r="B301" s="239"/>
      <c r="C301" s="239"/>
      <c r="D301" s="239"/>
      <c r="E301" s="222"/>
      <c r="F301" s="222"/>
      <c r="G301" s="222"/>
      <c r="H301" s="222"/>
      <c r="I301" s="222"/>
      <c r="J301" s="222"/>
      <c r="K301" s="257"/>
      <c r="L301" s="222"/>
      <c r="M301" s="222"/>
      <c r="N301" s="222"/>
      <c r="O301" s="222"/>
      <c r="P301" s="271" t="s">
        <v>143</v>
      </c>
      <c r="Q301" s="272"/>
      <c r="R301" s="274" t="e">
        <f>+#REF!</f>
        <v>#REF!</v>
      </c>
      <c r="S301" s="274" t="e">
        <f>#REF!</f>
        <v>#REF!</v>
      </c>
      <c r="T301" s="274" t="e">
        <f>#REF!</f>
        <v>#REF!</v>
      </c>
      <c r="U301" s="274" t="e">
        <f>#REF!</f>
        <v>#REF!</v>
      </c>
      <c r="V301" s="274" t="e">
        <f>SUM(R301:U301)</f>
        <v>#REF!</v>
      </c>
    </row>
    <row r="302" spans="1:22" ht="17.5" hidden="1" x14ac:dyDescent="0.35">
      <c r="A302" s="222"/>
      <c r="B302" s="239"/>
      <c r="C302" s="239"/>
      <c r="D302" s="239"/>
      <c r="E302" s="222"/>
      <c r="F302" s="222"/>
      <c r="G302" s="222"/>
      <c r="H302" s="222"/>
      <c r="I302" s="222"/>
      <c r="J302" s="222"/>
      <c r="K302" s="257"/>
      <c r="L302" s="222"/>
      <c r="M302" s="222"/>
      <c r="N302" s="222"/>
      <c r="O302" s="222"/>
      <c r="P302" s="271" t="s">
        <v>144</v>
      </c>
      <c r="Q302" s="272"/>
      <c r="R302" s="274"/>
      <c r="S302" s="274" t="e">
        <f>#REF!</f>
        <v>#REF!</v>
      </c>
      <c r="T302" s="274" t="e">
        <f>#REF!</f>
        <v>#REF!</v>
      </c>
      <c r="U302" s="274" t="e">
        <f>#REF!</f>
        <v>#REF!</v>
      </c>
      <c r="V302" s="274" t="e">
        <f>SUM(R302:U302)</f>
        <v>#REF!</v>
      </c>
    </row>
    <row r="303" spans="1:22" ht="17.5" hidden="1" x14ac:dyDescent="0.35">
      <c r="A303" s="222"/>
      <c r="B303" s="239"/>
      <c r="C303" s="239"/>
      <c r="D303" s="239"/>
      <c r="E303" s="222"/>
      <c r="F303" s="222"/>
      <c r="G303" s="222"/>
      <c r="H303" s="222"/>
      <c r="I303" s="222"/>
      <c r="J303" s="222"/>
      <c r="K303" s="257"/>
      <c r="L303" s="222"/>
      <c r="M303" s="246"/>
      <c r="N303" s="222"/>
      <c r="O303" s="222"/>
      <c r="P303" s="271" t="s">
        <v>145</v>
      </c>
      <c r="Q303" s="272"/>
      <c r="R303" s="274"/>
      <c r="S303" s="274"/>
      <c r="T303" s="274" t="e">
        <f>#REF!</f>
        <v>#REF!</v>
      </c>
      <c r="U303" s="274" t="e">
        <f>#REF!</f>
        <v>#REF!</v>
      </c>
      <c r="V303" s="274" t="e">
        <f>SUM(R303:U303)</f>
        <v>#REF!</v>
      </c>
    </row>
    <row r="304" spans="1:22" ht="17.5" hidden="1" x14ac:dyDescent="0.35">
      <c r="A304" s="222"/>
      <c r="B304" s="239"/>
      <c r="C304" s="239"/>
      <c r="D304" s="239"/>
      <c r="E304" s="222"/>
      <c r="F304" s="222"/>
      <c r="G304" s="222"/>
      <c r="H304" s="222"/>
      <c r="I304" s="222"/>
      <c r="J304" s="222"/>
      <c r="K304" s="257"/>
      <c r="L304" s="222"/>
      <c r="M304" s="222"/>
      <c r="N304" s="222"/>
      <c r="O304" s="222"/>
      <c r="P304" s="271" t="s">
        <v>146</v>
      </c>
      <c r="Q304" s="272"/>
      <c r="R304" s="274"/>
      <c r="S304" s="274"/>
      <c r="T304" s="274"/>
      <c r="U304" s="274" t="e">
        <f>#REF!</f>
        <v>#REF!</v>
      </c>
      <c r="V304" s="274" t="e">
        <f>SUM(R304:U304)</f>
        <v>#REF!</v>
      </c>
    </row>
    <row r="305" spans="1:23" ht="17.5" hidden="1" x14ac:dyDescent="0.35">
      <c r="A305" s="222"/>
      <c r="B305" s="239"/>
      <c r="C305" s="239"/>
      <c r="D305" s="239"/>
      <c r="E305" s="222"/>
      <c r="F305" s="222"/>
      <c r="G305" s="222"/>
      <c r="H305" s="222"/>
      <c r="I305" s="222"/>
      <c r="J305" s="222"/>
      <c r="K305" s="257"/>
      <c r="L305" s="222"/>
      <c r="M305" s="222"/>
      <c r="N305" s="222"/>
      <c r="O305" s="222"/>
      <c r="P305" s="784" t="s">
        <v>147</v>
      </c>
      <c r="Q305" s="785"/>
      <c r="R305" s="274" t="e">
        <f>SUM(R301:R304)</f>
        <v>#REF!</v>
      </c>
      <c r="S305" s="274" t="e">
        <f t="shared" ref="S305:V305" si="46">SUM(S301:S304)</f>
        <v>#REF!</v>
      </c>
      <c r="T305" s="274" t="e">
        <f t="shared" si="46"/>
        <v>#REF!</v>
      </c>
      <c r="U305" s="274" t="e">
        <f t="shared" si="46"/>
        <v>#REF!</v>
      </c>
      <c r="V305" s="274" t="e">
        <f t="shared" si="46"/>
        <v>#REF!</v>
      </c>
    </row>
    <row r="306" spans="1:23" ht="17.5" hidden="1" x14ac:dyDescent="0.35">
      <c r="A306" s="222"/>
      <c r="B306" s="239"/>
      <c r="C306" s="239"/>
      <c r="D306" s="239"/>
      <c r="E306" s="222"/>
      <c r="F306" s="222"/>
      <c r="G306" s="222"/>
      <c r="H306" s="222"/>
      <c r="I306" s="222"/>
      <c r="J306" s="222"/>
      <c r="K306" s="257"/>
      <c r="L306" s="222"/>
      <c r="M306" s="222"/>
      <c r="N306" s="222"/>
      <c r="O306" s="222"/>
      <c r="P306" s="222"/>
      <c r="Q306" s="222"/>
      <c r="R306" s="222"/>
      <c r="S306" s="222"/>
      <c r="T306" s="222"/>
      <c r="U306" s="222"/>
      <c r="V306" s="222"/>
    </row>
    <row r="307" spans="1:23" ht="18" hidden="1" x14ac:dyDescent="0.35">
      <c r="A307" s="222"/>
      <c r="B307" s="239"/>
      <c r="C307" s="239"/>
      <c r="D307" s="239"/>
      <c r="E307" s="257"/>
      <c r="F307" s="257"/>
      <c r="G307" s="257"/>
      <c r="H307" s="257"/>
      <c r="I307" s="257"/>
      <c r="J307" s="257"/>
      <c r="K307" s="257"/>
      <c r="L307" s="222"/>
      <c r="M307" s="222"/>
      <c r="N307" s="222"/>
      <c r="O307" s="222"/>
      <c r="P307" s="379" t="s">
        <v>223</v>
      </c>
      <c r="Q307" s="222"/>
      <c r="R307" s="222"/>
      <c r="S307" s="222"/>
      <c r="T307" s="222"/>
      <c r="U307" s="222"/>
      <c r="V307" s="222"/>
    </row>
    <row r="308" spans="1:23" ht="18" hidden="1" x14ac:dyDescent="0.4">
      <c r="A308" s="222"/>
      <c r="B308" s="239"/>
      <c r="C308" s="239" t="s">
        <v>184</v>
      </c>
      <c r="D308" s="239"/>
      <c r="E308" s="257"/>
      <c r="F308" s="257"/>
      <c r="G308" s="257"/>
      <c r="H308" s="257"/>
      <c r="I308" s="257"/>
      <c r="J308" s="257"/>
      <c r="K308" s="257"/>
      <c r="L308" s="222"/>
      <c r="M308" s="222"/>
      <c r="N308" s="222"/>
      <c r="O308" s="222"/>
      <c r="P308" s="796" t="s">
        <v>50</v>
      </c>
      <c r="Q308" s="797"/>
      <c r="R308" s="275">
        <v>2011</v>
      </c>
      <c r="S308" s="275">
        <v>2012</v>
      </c>
      <c r="T308" s="275">
        <v>2013</v>
      </c>
      <c r="U308" s="275">
        <v>2014</v>
      </c>
      <c r="V308" s="275">
        <v>2015</v>
      </c>
      <c r="W308" s="370">
        <v>2016</v>
      </c>
    </row>
    <row r="309" spans="1:23" ht="17.5" hidden="1" x14ac:dyDescent="0.35">
      <c r="A309" s="222"/>
      <c r="B309" s="239"/>
      <c r="C309" s="239"/>
      <c r="D309" s="239"/>
      <c r="E309" s="257"/>
      <c r="F309" s="257"/>
      <c r="G309" s="257"/>
      <c r="H309" s="257"/>
      <c r="I309" s="257"/>
      <c r="J309" s="257"/>
      <c r="K309" s="257"/>
      <c r="L309" s="222"/>
      <c r="M309" s="222"/>
      <c r="N309" s="222"/>
      <c r="O309" s="222"/>
      <c r="P309" s="276" t="s">
        <v>143</v>
      </c>
      <c r="Q309" s="276"/>
      <c r="R309" s="274" t="e">
        <f>R301</f>
        <v>#REF!</v>
      </c>
      <c r="S309" s="274" t="e">
        <f t="shared" ref="S309:U309" si="47">S301</f>
        <v>#REF!</v>
      </c>
      <c r="T309" s="274" t="e">
        <f t="shared" si="47"/>
        <v>#REF!</v>
      </c>
      <c r="U309" s="274" t="e">
        <f t="shared" si="47"/>
        <v>#REF!</v>
      </c>
      <c r="V309" s="274" t="e">
        <f>#REF!</f>
        <v>#REF!</v>
      </c>
      <c r="W309" s="371" t="e">
        <f>#REF!</f>
        <v>#REF!</v>
      </c>
    </row>
    <row r="310" spans="1:23" ht="17.5" hidden="1" x14ac:dyDescent="0.35">
      <c r="A310" s="222"/>
      <c r="B310" s="239"/>
      <c r="C310" s="239"/>
      <c r="D310" s="239"/>
      <c r="E310" s="257"/>
      <c r="F310" s="257"/>
      <c r="G310" s="257"/>
      <c r="H310" s="257"/>
      <c r="I310" s="257"/>
      <c r="J310" s="257"/>
      <c r="K310" s="257"/>
      <c r="L310" s="222"/>
      <c r="M310" s="222"/>
      <c r="N310" s="222"/>
      <c r="O310" s="222"/>
      <c r="P310" s="276" t="s">
        <v>144</v>
      </c>
      <c r="Q310" s="276"/>
      <c r="R310" s="274"/>
      <c r="S310" s="274" t="e">
        <f>S302</f>
        <v>#REF!</v>
      </c>
      <c r="T310" s="274" t="e">
        <f t="shared" ref="T310:U310" si="48">T302</f>
        <v>#REF!</v>
      </c>
      <c r="U310" s="274" t="e">
        <f t="shared" si="48"/>
        <v>#REF!</v>
      </c>
      <c r="V310" s="274" t="e">
        <f>#REF!</f>
        <v>#REF!</v>
      </c>
      <c r="W310" s="371" t="e">
        <f>#REF!</f>
        <v>#REF!</v>
      </c>
    </row>
    <row r="311" spans="1:23" ht="17.5" hidden="1" x14ac:dyDescent="0.35">
      <c r="A311" s="222"/>
      <c r="B311" s="239"/>
      <c r="C311" s="239"/>
      <c r="D311" s="239"/>
      <c r="E311" s="257"/>
      <c r="F311" s="257"/>
      <c r="G311" s="257"/>
      <c r="H311" s="257"/>
      <c r="I311" s="257"/>
      <c r="J311" s="257"/>
      <c r="K311" s="257"/>
      <c r="L311" s="222"/>
      <c r="M311" s="222"/>
      <c r="N311" s="222"/>
      <c r="O311" s="222"/>
      <c r="P311" s="276" t="s">
        <v>145</v>
      </c>
      <c r="Q311" s="276"/>
      <c r="R311" s="274"/>
      <c r="S311" s="274"/>
      <c r="T311" s="274" t="e">
        <f>T303</f>
        <v>#REF!</v>
      </c>
      <c r="U311" s="274" t="e">
        <f>U303</f>
        <v>#REF!</v>
      </c>
      <c r="V311" s="274" t="e">
        <f>#REF!</f>
        <v>#REF!</v>
      </c>
      <c r="W311" s="371" t="e">
        <f>#REF!</f>
        <v>#REF!</v>
      </c>
    </row>
    <row r="312" spans="1:23" ht="17.5" hidden="1" x14ac:dyDescent="0.35">
      <c r="A312" s="222"/>
      <c r="B312" s="239"/>
      <c r="C312" s="239"/>
      <c r="D312" s="239"/>
      <c r="E312" s="257"/>
      <c r="F312" s="257"/>
      <c r="G312" s="257"/>
      <c r="H312" s="257"/>
      <c r="I312" s="257"/>
      <c r="J312" s="257"/>
      <c r="K312" s="257"/>
      <c r="L312" s="222"/>
      <c r="M312" s="222"/>
      <c r="N312" s="222"/>
      <c r="O312" s="222"/>
      <c r="P312" s="276" t="s">
        <v>146</v>
      </c>
      <c r="Q312" s="276"/>
      <c r="R312" s="274"/>
      <c r="S312" s="274"/>
      <c r="T312" s="274"/>
      <c r="U312" s="274" t="e">
        <f>U304</f>
        <v>#REF!</v>
      </c>
      <c r="V312" s="274" t="e">
        <f>#REF!</f>
        <v>#REF!</v>
      </c>
      <c r="W312" s="371" t="e">
        <f>#REF!</f>
        <v>#REF!</v>
      </c>
    </row>
    <row r="313" spans="1:23" ht="17.5" hidden="1" x14ac:dyDescent="0.35">
      <c r="A313" s="222"/>
      <c r="B313" s="239"/>
      <c r="C313" s="239"/>
      <c r="D313" s="239"/>
      <c r="E313" s="257"/>
      <c r="F313" s="257"/>
      <c r="G313" s="257"/>
      <c r="H313" s="257"/>
      <c r="I313" s="257"/>
      <c r="J313" s="257"/>
      <c r="K313" s="257"/>
      <c r="L313" s="222"/>
      <c r="M313" s="222"/>
      <c r="N313" s="222"/>
      <c r="O313" s="222"/>
      <c r="P313" s="276" t="s">
        <v>148</v>
      </c>
      <c r="Q313" s="276"/>
      <c r="R313" s="274"/>
      <c r="S313" s="274"/>
      <c r="T313" s="274"/>
      <c r="U313" s="274"/>
      <c r="V313" s="274" t="e">
        <f>#REF!</f>
        <v>#REF!</v>
      </c>
      <c r="W313" s="371" t="e">
        <f>#REF!</f>
        <v>#REF!</v>
      </c>
    </row>
    <row r="314" spans="1:23" ht="17.5" hidden="1" x14ac:dyDescent="0.35">
      <c r="A314" s="222"/>
      <c r="B314" s="239"/>
      <c r="C314" s="239"/>
      <c r="D314" s="239"/>
      <c r="E314" s="257"/>
      <c r="F314" s="257"/>
      <c r="G314" s="257"/>
      <c r="H314" s="257"/>
      <c r="I314" s="257"/>
      <c r="J314" s="257"/>
      <c r="K314" s="257"/>
      <c r="L314" s="222"/>
      <c r="M314" s="222"/>
      <c r="N314" s="222"/>
      <c r="O314" s="222"/>
      <c r="P314" s="400" t="s">
        <v>222</v>
      </c>
      <c r="Q314" s="372"/>
      <c r="R314" s="371"/>
      <c r="S314" s="371"/>
      <c r="T314" s="371"/>
      <c r="U314" s="371"/>
      <c r="V314" s="371" t="e">
        <f>#REF!</f>
        <v>#REF!</v>
      </c>
      <c r="W314" s="371">
        <f>'Rate Class Energy Model'!H105</f>
        <v>0</v>
      </c>
    </row>
    <row r="315" spans="1:23" ht="17.5" hidden="1" x14ac:dyDescent="0.35">
      <c r="A315" s="222"/>
      <c r="B315" s="239"/>
      <c r="C315" s="239"/>
      <c r="D315" s="239"/>
      <c r="E315" s="257"/>
      <c r="F315" s="257"/>
      <c r="G315" s="257"/>
      <c r="H315" s="257"/>
      <c r="I315" s="257"/>
      <c r="J315" s="257"/>
      <c r="K315" s="257"/>
      <c r="L315" s="222"/>
      <c r="M315" s="222"/>
      <c r="N315" s="222"/>
      <c r="O315" s="222"/>
      <c r="P315" s="795" t="s">
        <v>147</v>
      </c>
      <c r="Q315" s="795"/>
      <c r="R315" s="371" t="e">
        <f t="shared" ref="R315:V315" si="49">SUM(R309:R314)</f>
        <v>#REF!</v>
      </c>
      <c r="S315" s="371" t="e">
        <f t="shared" si="49"/>
        <v>#REF!</v>
      </c>
      <c r="T315" s="371" t="e">
        <f t="shared" si="49"/>
        <v>#REF!</v>
      </c>
      <c r="U315" s="371" t="e">
        <f t="shared" si="49"/>
        <v>#REF!</v>
      </c>
      <c r="V315" s="371" t="e">
        <f t="shared" si="49"/>
        <v>#REF!</v>
      </c>
      <c r="W315" s="371" t="e">
        <f>SUM(W309:W314)</f>
        <v>#REF!</v>
      </c>
    </row>
    <row r="316" spans="1:23" ht="17.5" hidden="1" x14ac:dyDescent="0.35">
      <c r="A316" s="222"/>
      <c r="B316" s="239"/>
      <c r="C316" s="239"/>
      <c r="D316" s="239"/>
      <c r="E316" s="257"/>
      <c r="F316" s="257"/>
      <c r="G316" s="257"/>
      <c r="H316" s="257"/>
      <c r="I316" s="257"/>
      <c r="J316" s="257"/>
      <c r="K316" s="257"/>
      <c r="L316" s="222"/>
      <c r="M316" s="222"/>
      <c r="N316" s="222"/>
      <c r="O316" s="222"/>
      <c r="P316" s="277"/>
      <c r="Q316" s="277"/>
      <c r="R316" s="278"/>
      <c r="S316" s="278"/>
      <c r="T316" s="278"/>
      <c r="U316" s="278"/>
      <c r="V316" s="278"/>
    </row>
    <row r="317" spans="1:23" ht="17.5" hidden="1" x14ac:dyDescent="0.35">
      <c r="A317" s="222"/>
      <c r="B317" s="239"/>
      <c r="C317" s="239"/>
      <c r="D317" s="239"/>
      <c r="E317" s="257"/>
      <c r="F317" s="257"/>
      <c r="G317" s="257"/>
      <c r="H317" s="257"/>
      <c r="I317" s="257"/>
      <c r="J317" s="257"/>
      <c r="K317" s="257"/>
      <c r="L317" s="222"/>
      <c r="M317" s="222"/>
      <c r="N317" s="222"/>
      <c r="O317" s="222"/>
      <c r="P317" s="277"/>
      <c r="Q317" s="277"/>
      <c r="R317" s="278"/>
      <c r="S317" s="278"/>
      <c r="T317" s="278"/>
      <c r="U317" s="278"/>
      <c r="V317" s="278"/>
    </row>
    <row r="318" spans="1:23" ht="18" hidden="1" x14ac:dyDescent="0.35">
      <c r="A318" s="212" t="s">
        <v>354</v>
      </c>
      <c r="B318" s="212"/>
      <c r="C318" s="212"/>
      <c r="D318" s="213"/>
      <c r="E318" s="213"/>
      <c r="F318" s="213"/>
      <c r="G318" s="213"/>
      <c r="H318" s="213"/>
      <c r="I318" s="222"/>
      <c r="J318" s="222"/>
      <c r="K318" s="222"/>
      <c r="L318" s="222"/>
      <c r="M318" s="222"/>
      <c r="N318" s="222"/>
      <c r="O318" s="222"/>
      <c r="P318" s="277"/>
      <c r="Q318" s="277"/>
      <c r="R318" s="278"/>
      <c r="S318" s="278"/>
      <c r="T318" s="278"/>
      <c r="U318" s="278"/>
      <c r="V318" s="278"/>
    </row>
    <row r="319" spans="1:23" ht="54" hidden="1" x14ac:dyDescent="0.35">
      <c r="A319" s="798" t="s">
        <v>110</v>
      </c>
      <c r="B319" s="799"/>
      <c r="C319" s="799"/>
      <c r="D319" s="800"/>
      <c r="E319" s="193" t="s">
        <v>1</v>
      </c>
      <c r="F319" s="193" t="s">
        <v>97</v>
      </c>
      <c r="G319" s="193" t="s">
        <v>201</v>
      </c>
      <c r="H319" s="193" t="s">
        <v>120</v>
      </c>
      <c r="I319" s="193" t="s">
        <v>47</v>
      </c>
      <c r="J319" s="193"/>
      <c r="K319" s="193" t="s">
        <v>121</v>
      </c>
      <c r="L319" s="193" t="s">
        <v>52</v>
      </c>
      <c r="M319" s="222"/>
      <c r="N319" s="222"/>
      <c r="O319" s="277"/>
      <c r="P319" s="277"/>
      <c r="Q319" s="278"/>
      <c r="R319" s="278"/>
      <c r="S319" s="278"/>
      <c r="T319" s="278"/>
      <c r="U319" s="278"/>
      <c r="V319" s="222"/>
    </row>
    <row r="320" spans="1:23" ht="17.5" hidden="1" x14ac:dyDescent="0.35">
      <c r="A320" s="772" t="s">
        <v>224</v>
      </c>
      <c r="B320" s="773"/>
      <c r="C320" s="773"/>
      <c r="D320" s="774"/>
      <c r="E320" s="241">
        <f>+'Rate Class Energy Model'!H84</f>
        <v>0</v>
      </c>
      <c r="F320" s="241">
        <f>+'Rate Class Energy Model'!I84</f>
        <v>0</v>
      </c>
      <c r="G320" s="241">
        <f>+'Rate Class Energy Model'!J84</f>
        <v>0</v>
      </c>
      <c r="H320" s="241">
        <f>+'Rate Class Energy Model'!K84</f>
        <v>0</v>
      </c>
      <c r="I320" s="241">
        <f>+'Rate Class Energy Model'!L84</f>
        <v>0</v>
      </c>
      <c r="J320" s="241"/>
      <c r="K320" s="241">
        <f>+'Rate Class Energy Model'!M84</f>
        <v>0</v>
      </c>
      <c r="L320" s="241">
        <f>SUM(E320:K320)</f>
        <v>0</v>
      </c>
      <c r="M320" s="222"/>
      <c r="N320" s="222"/>
      <c r="O320" s="277"/>
      <c r="P320" s="277"/>
      <c r="Q320" s="278"/>
      <c r="R320" s="278"/>
      <c r="S320" s="278"/>
      <c r="T320" s="278"/>
      <c r="U320" s="278"/>
      <c r="V320" s="222"/>
    </row>
    <row r="321" spans="1:22" ht="17.5" hidden="1" x14ac:dyDescent="0.35">
      <c r="A321" s="772" t="s">
        <v>225</v>
      </c>
      <c r="B321" s="773"/>
      <c r="C321" s="773"/>
      <c r="D321" s="774"/>
      <c r="E321" s="241">
        <v>0</v>
      </c>
      <c r="F321" s="241">
        <v>0</v>
      </c>
      <c r="G321" s="241">
        <v>0</v>
      </c>
      <c r="H321" s="241">
        <v>0</v>
      </c>
      <c r="I321" s="241">
        <v>0</v>
      </c>
      <c r="J321" s="241"/>
      <c r="K321" s="241">
        <v>0</v>
      </c>
      <c r="L321" s="241">
        <v>0</v>
      </c>
      <c r="M321" s="222"/>
      <c r="N321" s="222"/>
      <c r="O321" s="222"/>
      <c r="P321" s="222"/>
      <c r="Q321" s="222"/>
      <c r="R321" s="222"/>
      <c r="S321" s="222"/>
      <c r="T321" s="222"/>
      <c r="U321" s="222"/>
      <c r="V321" s="222"/>
    </row>
    <row r="322" spans="1:22" ht="17.5" hidden="1" x14ac:dyDescent="0.35">
      <c r="A322" s="222"/>
      <c r="B322" s="239"/>
      <c r="C322" s="239"/>
      <c r="D322" s="239"/>
      <c r="E322" s="257"/>
      <c r="F322" s="257"/>
      <c r="G322" s="257"/>
      <c r="H322" s="257"/>
      <c r="I322" s="257"/>
      <c r="J322" s="257"/>
      <c r="K322" s="257"/>
      <c r="L322" s="222"/>
      <c r="M322" s="222"/>
      <c r="N322" s="222"/>
      <c r="O322" s="222"/>
      <c r="P322" s="222"/>
      <c r="Q322" s="222"/>
      <c r="R322" s="222"/>
      <c r="S322" s="222"/>
      <c r="T322" s="222"/>
      <c r="U322" s="222"/>
      <c r="V322" s="222"/>
    </row>
    <row r="323" spans="1:22" ht="17.5" hidden="1" x14ac:dyDescent="0.35">
      <c r="A323" s="222"/>
      <c r="B323" s="239"/>
      <c r="C323" s="239"/>
      <c r="D323" s="239"/>
      <c r="E323" s="257"/>
      <c r="F323" s="257"/>
      <c r="G323" s="257"/>
      <c r="H323" s="257"/>
      <c r="I323" s="257"/>
      <c r="J323" s="257"/>
      <c r="K323" s="257"/>
      <c r="L323" s="222"/>
      <c r="M323" s="222"/>
      <c r="N323" s="222"/>
      <c r="O323" s="222"/>
      <c r="P323" s="222"/>
      <c r="Q323" s="222"/>
      <c r="R323" s="222"/>
      <c r="S323" s="222"/>
      <c r="T323" s="222"/>
      <c r="U323" s="222"/>
      <c r="V323" s="222"/>
    </row>
    <row r="324" spans="1:22" ht="17.5" hidden="1" x14ac:dyDescent="0.35">
      <c r="A324" s="222"/>
      <c r="B324" s="239"/>
      <c r="C324" s="239"/>
      <c r="D324" s="239"/>
      <c r="E324" s="257"/>
      <c r="F324" s="257"/>
      <c r="G324" s="257"/>
      <c r="H324" s="257"/>
      <c r="I324" s="257"/>
      <c r="J324" s="257"/>
      <c r="K324" s="257"/>
      <c r="L324" s="222"/>
      <c r="M324" s="222"/>
      <c r="N324" s="222"/>
      <c r="O324" s="222"/>
      <c r="P324" s="222"/>
      <c r="Q324" s="222"/>
      <c r="R324" s="222"/>
      <c r="S324" s="222"/>
      <c r="T324" s="222"/>
      <c r="U324" s="222"/>
      <c r="V324" s="222"/>
    </row>
    <row r="325" spans="1:22" ht="17.5" hidden="1" x14ac:dyDescent="0.35">
      <c r="A325" s="222"/>
      <c r="B325" s="239"/>
      <c r="C325" s="239"/>
      <c r="D325" s="239"/>
      <c r="E325" s="257"/>
      <c r="F325" s="257"/>
      <c r="G325" s="257"/>
      <c r="H325" s="257"/>
      <c r="I325" s="257"/>
      <c r="J325" s="257"/>
      <c r="K325" s="257"/>
      <c r="L325" s="222"/>
      <c r="M325" s="222"/>
      <c r="N325" s="222"/>
      <c r="O325" s="222"/>
      <c r="P325" s="222"/>
      <c r="Q325" s="222"/>
      <c r="R325" s="222"/>
      <c r="S325" s="222"/>
      <c r="T325" s="222"/>
      <c r="U325" s="222"/>
      <c r="V325" s="222"/>
    </row>
    <row r="326" spans="1:22" ht="18" hidden="1" x14ac:dyDescent="0.35">
      <c r="A326" s="222"/>
      <c r="B326" s="212" t="s">
        <v>355</v>
      </c>
      <c r="C326" s="212"/>
      <c r="D326" s="212"/>
      <c r="E326" s="213"/>
      <c r="F326" s="213"/>
      <c r="G326" s="213"/>
      <c r="H326" s="213"/>
      <c r="I326" s="213"/>
      <c r="J326" s="213"/>
      <c r="K326" s="213"/>
      <c r="L326" s="222"/>
      <c r="M326" s="222"/>
      <c r="N326" s="222"/>
      <c r="O326" s="222"/>
      <c r="P326" s="222"/>
      <c r="Q326" s="222"/>
      <c r="R326" s="222"/>
      <c r="S326" s="222"/>
      <c r="T326" s="222"/>
      <c r="U326" s="222"/>
      <c r="V326" s="222"/>
    </row>
    <row r="327" spans="1:22" ht="54" hidden="1" x14ac:dyDescent="0.35">
      <c r="A327" s="222"/>
      <c r="B327" s="279" t="s">
        <v>110</v>
      </c>
      <c r="C327" s="280"/>
      <c r="D327" s="280"/>
      <c r="E327" s="281" t="s">
        <v>1</v>
      </c>
      <c r="F327" s="281" t="s">
        <v>97</v>
      </c>
      <c r="G327" s="281" t="s">
        <v>118</v>
      </c>
      <c r="H327" s="281" t="s">
        <v>120</v>
      </c>
      <c r="I327" s="281" t="s">
        <v>47</v>
      </c>
      <c r="J327" s="281"/>
      <c r="K327" s="281" t="s">
        <v>121</v>
      </c>
      <c r="L327" s="281" t="s">
        <v>52</v>
      </c>
      <c r="M327" s="222"/>
      <c r="N327" s="222"/>
      <c r="O327" s="222"/>
      <c r="P327" s="222"/>
      <c r="Q327" s="222"/>
      <c r="R327" s="222"/>
      <c r="S327" s="222"/>
      <c r="T327" s="222"/>
      <c r="U327" s="222"/>
      <c r="V327" s="222"/>
    </row>
    <row r="328" spans="1:22" ht="17.5" hidden="1" x14ac:dyDescent="0.35">
      <c r="A328" s="222"/>
      <c r="B328" s="282" t="s">
        <v>149</v>
      </c>
      <c r="C328" s="283"/>
      <c r="D328" s="283"/>
      <c r="E328" s="283"/>
      <c r="F328" s="283"/>
      <c r="G328" s="283"/>
      <c r="H328" s="283"/>
      <c r="I328" s="283"/>
      <c r="J328" s="283"/>
      <c r="K328" s="283"/>
      <c r="L328" s="284"/>
      <c r="M328" s="222"/>
      <c r="N328" s="222"/>
      <c r="O328" s="222"/>
      <c r="P328" s="222"/>
      <c r="Q328" s="222"/>
      <c r="R328" s="222"/>
      <c r="S328" s="222"/>
      <c r="T328" s="222"/>
      <c r="U328" s="222"/>
      <c r="V328" s="222"/>
    </row>
    <row r="329" spans="1:22" ht="17.5" hidden="1" x14ac:dyDescent="0.35">
      <c r="A329" s="222"/>
      <c r="B329" s="383" t="s">
        <v>221</v>
      </c>
      <c r="C329" s="285"/>
      <c r="D329" s="285"/>
      <c r="E329" s="287">
        <f>+E262</f>
        <v>31.824221530035988</v>
      </c>
      <c r="F329" s="287">
        <f t="shared" ref="F329:K329" si="50">+F262</f>
        <v>10.110890559439571</v>
      </c>
      <c r="G329" s="287">
        <f t="shared" si="50"/>
        <v>15.035454537025593</v>
      </c>
      <c r="H329" s="287">
        <f t="shared" si="50"/>
        <v>2.4151492038982987E-2</v>
      </c>
      <c r="I329" s="287">
        <f t="shared" si="50"/>
        <v>0.22491849999999999</v>
      </c>
      <c r="J329" s="287"/>
      <c r="K329" s="287">
        <f t="shared" si="50"/>
        <v>0.11933439436616548</v>
      </c>
      <c r="L329" s="286">
        <f>SUM(E329:K329)</f>
        <v>57.338971012906299</v>
      </c>
      <c r="M329" s="222"/>
      <c r="N329" s="222"/>
      <c r="O329" s="222"/>
      <c r="P329" s="222"/>
      <c r="Q329" s="222"/>
      <c r="R329" s="222"/>
      <c r="S329" s="222"/>
      <c r="T329" s="222"/>
      <c r="U329" s="222"/>
      <c r="V329" s="222"/>
    </row>
    <row r="330" spans="1:22" ht="17.5" hidden="1" x14ac:dyDescent="0.35">
      <c r="A330" s="222"/>
      <c r="B330" s="282" t="s">
        <v>150</v>
      </c>
      <c r="C330" s="283"/>
      <c r="D330" s="283"/>
      <c r="E330" s="283"/>
      <c r="F330" s="283"/>
      <c r="G330" s="283"/>
      <c r="H330" s="283"/>
      <c r="I330" s="283"/>
      <c r="J330" s="283"/>
      <c r="K330" s="288"/>
      <c r="L330" s="284"/>
      <c r="M330" s="222"/>
      <c r="N330" s="222"/>
      <c r="O330" s="222"/>
      <c r="P330" s="222"/>
      <c r="Q330" s="222"/>
      <c r="R330" s="222"/>
      <c r="S330" s="222"/>
      <c r="T330" s="222"/>
      <c r="U330" s="222"/>
      <c r="V330" s="222"/>
    </row>
    <row r="331" spans="1:22" ht="17.5" hidden="1" x14ac:dyDescent="0.35">
      <c r="A331" s="222"/>
      <c r="B331" s="289">
        <v>2017</v>
      </c>
      <c r="C331" s="290"/>
      <c r="D331" s="290"/>
      <c r="E331" s="291">
        <f>'Rate Class Energy Model'!H81/1000000</f>
        <v>0.83157129313699985</v>
      </c>
      <c r="F331" s="291">
        <f>'Rate Class Energy Model'!I81/1000000</f>
        <v>0.25964402775564227</v>
      </c>
      <c r="G331" s="291">
        <f>'Rate Class Energy Model'!J81/1000000</f>
        <v>0.36383361836571704</v>
      </c>
      <c r="H331" s="291">
        <f>'Rate Class Energy Model'!K81/1000000</f>
        <v>0</v>
      </c>
      <c r="I331" s="291">
        <f>'Rate Class Energy Model'!L81/1000000</f>
        <v>0</v>
      </c>
      <c r="J331" s="291"/>
      <c r="K331" s="291">
        <f>'Rate Class Energy Model'!M81/1000000</f>
        <v>0</v>
      </c>
      <c r="L331" s="286">
        <f>SUM(E331:K331)</f>
        <v>1.4550489392583592</v>
      </c>
      <c r="M331" s="222"/>
      <c r="N331" s="222"/>
      <c r="O331" s="222"/>
      <c r="P331" s="222"/>
      <c r="Q331" s="222"/>
      <c r="R331" s="222"/>
      <c r="S331" s="222"/>
      <c r="T331" s="222"/>
      <c r="U331" s="222"/>
      <c r="V331" s="222"/>
    </row>
    <row r="332" spans="1:22" ht="17.5" hidden="1" x14ac:dyDescent="0.35">
      <c r="A332" s="222"/>
      <c r="B332" s="282" t="s">
        <v>151</v>
      </c>
      <c r="C332" s="283"/>
      <c r="D332" s="283"/>
      <c r="E332" s="283"/>
      <c r="F332" s="283"/>
      <c r="G332" s="283"/>
      <c r="H332" s="283"/>
      <c r="I332" s="283"/>
      <c r="J332" s="283"/>
      <c r="K332" s="288"/>
      <c r="L332" s="284"/>
      <c r="M332" s="222"/>
      <c r="N332" s="222"/>
      <c r="O332" s="222"/>
      <c r="P332" s="222"/>
      <c r="Q332" s="222"/>
      <c r="R332" s="222"/>
      <c r="S332" s="222"/>
      <c r="T332" s="222"/>
      <c r="U332" s="222"/>
      <c r="V332" s="222"/>
    </row>
    <row r="333" spans="1:22" ht="17.5" hidden="1" x14ac:dyDescent="0.35">
      <c r="A333" s="222"/>
      <c r="B333" s="289">
        <v>2017</v>
      </c>
      <c r="C333" s="290"/>
      <c r="D333" s="290"/>
      <c r="E333" s="293">
        <f>'Rate Class Energy Model'!H84/1000000</f>
        <v>0</v>
      </c>
      <c r="F333" s="293">
        <f>'Rate Class Energy Model'!I84/1000000</f>
        <v>0</v>
      </c>
      <c r="G333" s="293">
        <f>'Rate Class Energy Model'!J84/1000000</f>
        <v>0</v>
      </c>
      <c r="H333" s="293">
        <f>'Rate Class Energy Model'!K84/1000000</f>
        <v>0</v>
      </c>
      <c r="I333" s="293">
        <f>'Rate Class Energy Model'!L84/1000000</f>
        <v>0</v>
      </c>
      <c r="J333" s="293"/>
      <c r="K333" s="293">
        <f>'Rate Class Energy Model'!M84/1000000</f>
        <v>0</v>
      </c>
      <c r="L333" s="292">
        <f>SUM(E333:K333)</f>
        <v>0</v>
      </c>
      <c r="M333" s="222"/>
      <c r="N333" s="222"/>
      <c r="O333" s="222"/>
      <c r="P333" s="222"/>
      <c r="Q333" s="222"/>
      <c r="R333" s="222"/>
      <c r="S333" s="222"/>
      <c r="T333" s="222"/>
      <c r="U333" s="222"/>
      <c r="V333" s="222"/>
    </row>
    <row r="334" spans="1:22" ht="17.5" hidden="1" x14ac:dyDescent="0.35">
      <c r="A334" s="222"/>
      <c r="B334" s="282" t="s">
        <v>152</v>
      </c>
      <c r="C334" s="283"/>
      <c r="D334" s="283"/>
      <c r="E334" s="283"/>
      <c r="F334" s="283"/>
      <c r="G334" s="283"/>
      <c r="H334" s="283"/>
      <c r="I334" s="283"/>
      <c r="J334" s="283"/>
      <c r="K334" s="288"/>
      <c r="L334" s="284"/>
      <c r="M334" s="222"/>
      <c r="N334" s="222"/>
      <c r="O334" s="222"/>
      <c r="P334" s="222"/>
      <c r="Q334" s="222"/>
      <c r="R334" s="222"/>
      <c r="S334" s="222"/>
      <c r="T334" s="222"/>
      <c r="U334" s="222"/>
      <c r="V334" s="222"/>
    </row>
    <row r="335" spans="1:22" ht="17.5" hidden="1" x14ac:dyDescent="0.35">
      <c r="A335" s="222"/>
      <c r="B335" s="289">
        <v>2017</v>
      </c>
      <c r="C335" s="290"/>
      <c r="D335" s="290"/>
      <c r="E335" s="295">
        <v>0</v>
      </c>
      <c r="F335" s="295">
        <v>0</v>
      </c>
      <c r="G335" s="295">
        <v>0</v>
      </c>
      <c r="H335" s="295">
        <v>0</v>
      </c>
      <c r="I335" s="295">
        <v>0</v>
      </c>
      <c r="J335" s="295"/>
      <c r="K335" s="296">
        <v>0</v>
      </c>
      <c r="L335" s="291">
        <v>0</v>
      </c>
      <c r="M335" s="222"/>
      <c r="N335" s="222"/>
      <c r="O335" s="222"/>
      <c r="P335" s="222"/>
      <c r="Q335" s="222"/>
      <c r="R335" s="222"/>
      <c r="S335" s="222"/>
      <c r="T335" s="222"/>
      <c r="U335" s="222"/>
      <c r="V335" s="222"/>
    </row>
    <row r="336" spans="1:22" ht="17.5" hidden="1" x14ac:dyDescent="0.35">
      <c r="A336" s="222"/>
      <c r="B336" s="282" t="s">
        <v>153</v>
      </c>
      <c r="C336" s="283"/>
      <c r="D336" s="283"/>
      <c r="E336" s="283"/>
      <c r="F336" s="283"/>
      <c r="G336" s="283"/>
      <c r="H336" s="283"/>
      <c r="I336" s="283"/>
      <c r="J336" s="283"/>
      <c r="K336" s="283"/>
      <c r="L336" s="284"/>
      <c r="M336" s="222"/>
      <c r="N336" s="222"/>
      <c r="O336" s="222"/>
      <c r="P336" s="222"/>
      <c r="Q336" s="222"/>
      <c r="R336" s="222"/>
      <c r="S336" s="222"/>
      <c r="T336" s="222"/>
      <c r="U336" s="222"/>
      <c r="V336" s="222"/>
    </row>
    <row r="337" spans="1:22" ht="17.5" hidden="1" x14ac:dyDescent="0.35">
      <c r="A337" s="222"/>
      <c r="B337" s="781" t="s">
        <v>219</v>
      </c>
      <c r="C337" s="782"/>
      <c r="D337" s="783"/>
      <c r="E337" s="294">
        <f t="shared" ref="E337:L337" si="51">E329+E331+E333+E335</f>
        <v>32.655792823172987</v>
      </c>
      <c r="F337" s="294">
        <f t="shared" si="51"/>
        <v>10.370534587195214</v>
      </c>
      <c r="G337" s="294">
        <f t="shared" si="51"/>
        <v>15.399288155391311</v>
      </c>
      <c r="H337" s="294">
        <f t="shared" si="51"/>
        <v>2.4151492038982987E-2</v>
      </c>
      <c r="I337" s="294">
        <f t="shared" si="51"/>
        <v>0.22491849999999999</v>
      </c>
      <c r="J337" s="294"/>
      <c r="K337" s="294">
        <f t="shared" si="51"/>
        <v>0.11933439436616548</v>
      </c>
      <c r="L337" s="294">
        <f t="shared" si="51"/>
        <v>58.79401995216466</v>
      </c>
      <c r="M337" s="222"/>
      <c r="N337" s="297"/>
      <c r="O337" s="222"/>
      <c r="P337" s="222"/>
      <c r="Q337" s="222"/>
      <c r="R337" s="222"/>
      <c r="S337" s="222"/>
      <c r="T337" s="222"/>
      <c r="U337" s="222"/>
      <c r="V337" s="222"/>
    </row>
    <row r="338" spans="1:22" ht="17.5" hidden="1" x14ac:dyDescent="0.35">
      <c r="A338" s="222"/>
      <c r="B338" s="253"/>
      <c r="C338" s="253"/>
      <c r="D338" s="253"/>
      <c r="E338" s="298"/>
      <c r="F338" s="298"/>
      <c r="G338" s="298"/>
      <c r="H338" s="298"/>
      <c r="I338" s="298"/>
      <c r="J338" s="298"/>
      <c r="K338" s="298"/>
      <c r="L338" s="256"/>
      <c r="M338" s="222"/>
      <c r="N338" s="222"/>
      <c r="O338" s="222"/>
      <c r="P338" s="222"/>
      <c r="Q338" s="222"/>
      <c r="R338" s="222"/>
      <c r="S338" s="222"/>
      <c r="T338" s="222"/>
      <c r="U338" s="222"/>
      <c r="V338" s="222"/>
    </row>
    <row r="339" spans="1:22" ht="18" x14ac:dyDescent="0.35">
      <c r="A339" s="222"/>
      <c r="B339" s="212" t="s">
        <v>386</v>
      </c>
      <c r="C339" s="212"/>
      <c r="D339" s="212"/>
      <c r="E339" s="213"/>
      <c r="F339" s="213"/>
      <c r="G339" s="213"/>
      <c r="H339" s="213"/>
      <c r="I339" s="213"/>
      <c r="J339" s="213"/>
      <c r="K339" s="213"/>
      <c r="L339" s="222"/>
      <c r="M339" s="222"/>
      <c r="N339" s="222"/>
      <c r="O339" s="222"/>
      <c r="P339" s="222"/>
      <c r="Q339" s="222"/>
      <c r="R339" s="222"/>
      <c r="S339" s="222"/>
      <c r="T339" s="222"/>
      <c r="U339" s="222"/>
      <c r="V339" s="222"/>
    </row>
    <row r="340" spans="1:22" ht="54" x14ac:dyDescent="0.35">
      <c r="A340" s="222"/>
      <c r="B340" s="250" t="s">
        <v>110</v>
      </c>
      <c r="C340" s="251"/>
      <c r="D340" s="251"/>
      <c r="E340" s="252" t="s">
        <v>201</v>
      </c>
      <c r="F340" s="193" t="s">
        <v>120</v>
      </c>
      <c r="G340" s="193" t="s">
        <v>47</v>
      </c>
      <c r="H340" s="193" t="s">
        <v>52</v>
      </c>
      <c r="I340" s="252" t="s">
        <v>201</v>
      </c>
      <c r="J340" s="252"/>
      <c r="K340" s="193" t="s">
        <v>120</v>
      </c>
      <c r="L340" s="193" t="s">
        <v>47</v>
      </c>
      <c r="M340" s="193" t="s">
        <v>52</v>
      </c>
      <c r="N340" s="222"/>
      <c r="O340" s="222"/>
      <c r="P340" s="222"/>
      <c r="Q340" s="222"/>
      <c r="R340" s="222"/>
      <c r="S340" s="222"/>
      <c r="T340" s="222"/>
      <c r="U340" s="222"/>
      <c r="V340" s="222"/>
    </row>
    <row r="341" spans="1:22" ht="18" x14ac:dyDescent="0.35">
      <c r="A341" s="222"/>
      <c r="B341" s="215" t="s">
        <v>154</v>
      </c>
      <c r="C341" s="216"/>
      <c r="D341" s="216"/>
      <c r="E341" s="216"/>
      <c r="F341" s="216"/>
      <c r="G341" s="216"/>
      <c r="H341" s="217"/>
      <c r="I341" s="215"/>
      <c r="J341" s="216"/>
      <c r="K341" s="216"/>
      <c r="L341" s="216"/>
      <c r="M341" s="217"/>
      <c r="N341" s="222"/>
      <c r="O341" s="222"/>
      <c r="P341" s="222"/>
      <c r="Q341" s="222"/>
      <c r="R341" s="222"/>
      <c r="S341" s="222"/>
      <c r="T341" s="222"/>
      <c r="U341" s="222"/>
      <c r="V341" s="222"/>
    </row>
    <row r="342" spans="1:22" ht="18" x14ac:dyDescent="0.35">
      <c r="A342" s="222"/>
      <c r="B342" s="635"/>
      <c r="C342" s="216"/>
      <c r="D342" s="216"/>
      <c r="E342" s="637"/>
      <c r="F342" s="637"/>
      <c r="G342" s="637"/>
      <c r="H342" s="638"/>
      <c r="I342" s="635"/>
      <c r="J342" s="636"/>
      <c r="K342" s="636"/>
      <c r="L342" s="636"/>
      <c r="M342" s="217"/>
      <c r="N342" s="222"/>
      <c r="O342" s="222"/>
      <c r="P342" s="222"/>
      <c r="Q342" s="222"/>
      <c r="R342" s="222"/>
      <c r="S342" s="222"/>
      <c r="T342" s="222"/>
      <c r="U342" s="222"/>
      <c r="V342" s="222"/>
    </row>
    <row r="343" spans="1:22" ht="17.5" x14ac:dyDescent="0.35">
      <c r="A343" s="222"/>
      <c r="B343" s="248">
        <v>2010</v>
      </c>
      <c r="C343" s="199"/>
      <c r="D343" s="199"/>
      <c r="E343" s="241">
        <f>'Rate Class Load Model'!B5</f>
        <v>43226</v>
      </c>
      <c r="F343" s="241">
        <f>'Rate Class Load Model'!C5</f>
        <v>72</v>
      </c>
      <c r="G343" s="241">
        <f>'Rate Class Load Model'!D5</f>
        <v>1728</v>
      </c>
      <c r="H343" s="207">
        <f t="shared" ref="H343:H351" si="52">SUM(E343:G343)</f>
        <v>45026</v>
      </c>
      <c r="I343" s="241">
        <f>E343*'Purchased Power Model'!$P$149</f>
        <v>44046.896624918518</v>
      </c>
      <c r="J343" s="241"/>
      <c r="K343" s="241">
        <f>F343*'Purchased Power Model'!$P$149</f>
        <v>73.36733810655933</v>
      </c>
      <c r="L343" s="241">
        <f>G343*'Purchased Power Model'!$P$149</f>
        <v>1760.8161145574238</v>
      </c>
      <c r="M343" s="207">
        <f t="shared" ref="M343:M352" si="53">SUM(I343:L343)</f>
        <v>45881.080077582505</v>
      </c>
      <c r="N343" s="222"/>
      <c r="O343" s="222"/>
      <c r="P343" s="222"/>
      <c r="Q343" s="222"/>
      <c r="R343" s="222"/>
      <c r="S343" s="222"/>
      <c r="T343" s="222"/>
      <c r="U343" s="222"/>
      <c r="V343" s="222"/>
    </row>
    <row r="344" spans="1:22" ht="17.5" x14ac:dyDescent="0.35">
      <c r="A344" s="222"/>
      <c r="B344" s="248">
        <v>2011</v>
      </c>
      <c r="C344" s="199"/>
      <c r="D344" s="199"/>
      <c r="E344" s="241">
        <f>'Rate Class Load Model'!B6</f>
        <v>40289</v>
      </c>
      <c r="F344" s="241">
        <f>'Rate Class Load Model'!C6</f>
        <v>72</v>
      </c>
      <c r="G344" s="241">
        <f>'Rate Class Load Model'!D6</f>
        <v>1728</v>
      </c>
      <c r="H344" s="207">
        <f t="shared" si="52"/>
        <v>42089</v>
      </c>
      <c r="I344" s="241">
        <f>E344*'Purchased Power Model'!$P$149</f>
        <v>41054.120624655123</v>
      </c>
      <c r="J344" s="241"/>
      <c r="K344" s="241">
        <f>F344*'Purchased Power Model'!$P$149</f>
        <v>73.36733810655933</v>
      </c>
      <c r="L344" s="241">
        <f>G344*'Purchased Power Model'!$P$149</f>
        <v>1760.8161145574238</v>
      </c>
      <c r="M344" s="207">
        <f t="shared" si="53"/>
        <v>42888.30407731911</v>
      </c>
      <c r="N344" s="222"/>
      <c r="O344" s="222"/>
      <c r="P344" s="222"/>
      <c r="Q344" s="222"/>
      <c r="R344" s="222"/>
      <c r="S344" s="222"/>
      <c r="T344" s="222"/>
      <c r="U344" s="222"/>
      <c r="V344" s="222"/>
    </row>
    <row r="345" spans="1:22" ht="17.5" x14ac:dyDescent="0.35">
      <c r="A345" s="222"/>
      <c r="B345" s="248">
        <v>2012</v>
      </c>
      <c r="C345" s="199"/>
      <c r="D345" s="199"/>
      <c r="E345" s="241">
        <f>'Rate Class Load Model'!B7</f>
        <v>42772</v>
      </c>
      <c r="F345" s="241">
        <f>'Rate Class Load Model'!C7</f>
        <v>72</v>
      </c>
      <c r="G345" s="241">
        <f>'Rate Class Load Model'!D7</f>
        <v>1728</v>
      </c>
      <c r="H345" s="207">
        <f t="shared" si="52"/>
        <v>44572</v>
      </c>
      <c r="I345" s="241">
        <f>E345*'Purchased Power Model'!$P$149</f>
        <v>43584.274798524384</v>
      </c>
      <c r="J345" s="241"/>
      <c r="K345" s="241">
        <f>F345*'Purchased Power Model'!$P$149</f>
        <v>73.36733810655933</v>
      </c>
      <c r="L345" s="241">
        <f>G345*'Purchased Power Model'!$P$149</f>
        <v>1760.8161145574238</v>
      </c>
      <c r="M345" s="207">
        <f t="shared" si="53"/>
        <v>45418.458251188371</v>
      </c>
      <c r="N345" s="222"/>
      <c r="O345" s="222"/>
      <c r="P345" s="222"/>
      <c r="Q345" s="222"/>
      <c r="R345" s="222"/>
      <c r="S345" s="222"/>
      <c r="T345" s="222"/>
      <c r="U345" s="222"/>
      <c r="V345" s="222"/>
    </row>
    <row r="346" spans="1:22" ht="17.5" x14ac:dyDescent="0.35">
      <c r="A346" s="222"/>
      <c r="B346" s="248">
        <v>2013</v>
      </c>
      <c r="C346" s="199"/>
      <c r="D346" s="199"/>
      <c r="E346" s="241">
        <f>'Rate Class Load Model'!B8</f>
        <v>42806</v>
      </c>
      <c r="F346" s="241">
        <f>'Rate Class Load Model'!C8</f>
        <v>72</v>
      </c>
      <c r="G346" s="241">
        <f>'Rate Class Load Model'!D8</f>
        <v>1728</v>
      </c>
      <c r="H346" s="207">
        <f t="shared" si="52"/>
        <v>44606</v>
      </c>
      <c r="I346" s="241">
        <f>E346*'Purchased Power Model'!$P$149</f>
        <v>43618.920485963594</v>
      </c>
      <c r="J346" s="241"/>
      <c r="K346" s="241">
        <f>F346*'Purchased Power Model'!$P$149</f>
        <v>73.36733810655933</v>
      </c>
      <c r="L346" s="241">
        <f>G346*'Purchased Power Model'!$P$149</f>
        <v>1760.8161145574238</v>
      </c>
      <c r="M346" s="207">
        <f t="shared" si="53"/>
        <v>45453.103938627581</v>
      </c>
      <c r="N346" s="222"/>
      <c r="O346" s="222"/>
      <c r="P346" s="222"/>
      <c r="Q346" s="222"/>
      <c r="R346" s="222"/>
      <c r="S346" s="222"/>
      <c r="T346" s="222"/>
      <c r="U346" s="222"/>
      <c r="V346" s="222"/>
    </row>
    <row r="347" spans="1:22" ht="17.5" x14ac:dyDescent="0.35">
      <c r="A347" s="222"/>
      <c r="B347" s="248">
        <v>2014</v>
      </c>
      <c r="C347" s="249"/>
      <c r="D347" s="249"/>
      <c r="E347" s="241">
        <f>'Rate Class Load Model'!B9</f>
        <v>40172</v>
      </c>
      <c r="F347" s="241">
        <f>'Rate Class Load Model'!C9</f>
        <v>72</v>
      </c>
      <c r="G347" s="241">
        <f>'Rate Class Load Model'!D9</f>
        <v>1070</v>
      </c>
      <c r="H347" s="207">
        <f t="shared" si="52"/>
        <v>41314</v>
      </c>
      <c r="I347" s="241">
        <f>E347*'Purchased Power Model'!$P$149</f>
        <v>40934.898700231963</v>
      </c>
      <c r="J347" s="241"/>
      <c r="K347" s="241">
        <f>F347*'Purchased Power Model'!$P$149</f>
        <v>73.36733810655933</v>
      </c>
      <c r="L347" s="241">
        <f>G347*'Purchased Power Model'!$P$149</f>
        <v>1090.3201635280345</v>
      </c>
      <c r="M347" s="207">
        <f t="shared" si="53"/>
        <v>42098.586201866558</v>
      </c>
      <c r="N347" s="222"/>
      <c r="O347" s="222"/>
      <c r="P347" s="222"/>
      <c r="Q347" s="222"/>
      <c r="R347" s="222"/>
      <c r="S347" s="222"/>
      <c r="T347" s="222"/>
      <c r="U347" s="222"/>
      <c r="V347" s="222"/>
    </row>
    <row r="348" spans="1:22" ht="17.5" x14ac:dyDescent="0.35">
      <c r="A348" s="222"/>
      <c r="B348" s="248">
        <v>2015</v>
      </c>
      <c r="C348" s="249"/>
      <c r="D348" s="249"/>
      <c r="E348" s="241">
        <f>'Rate Class Load Model'!B10</f>
        <v>41215</v>
      </c>
      <c r="F348" s="241">
        <f>'Rate Class Load Model'!C10</f>
        <v>72</v>
      </c>
      <c r="G348" s="241">
        <f>'Rate Class Load Model'!D10</f>
        <v>1040</v>
      </c>
      <c r="H348" s="207">
        <f t="shared" si="52"/>
        <v>42327</v>
      </c>
      <c r="I348" s="241">
        <f>E348*'Purchased Power Model'!$P$149</f>
        <v>41997.706111970037</v>
      </c>
      <c r="J348" s="241"/>
      <c r="K348" s="241">
        <f>F348*'Purchased Power Model'!$P$149</f>
        <v>73.36733810655933</v>
      </c>
      <c r="L348" s="241">
        <f>G348*'Purchased Power Model'!$P$149</f>
        <v>1059.7504393169681</v>
      </c>
      <c r="M348" s="207">
        <f t="shared" si="53"/>
        <v>43130.823889393563</v>
      </c>
      <c r="N348" s="222"/>
      <c r="O348" s="222"/>
      <c r="P348" s="222"/>
      <c r="Q348" s="222"/>
      <c r="R348" s="222"/>
      <c r="S348" s="222"/>
      <c r="T348" s="222"/>
      <c r="U348" s="222"/>
      <c r="V348" s="222"/>
    </row>
    <row r="349" spans="1:22" ht="17.5" x14ac:dyDescent="0.35">
      <c r="A349" s="222"/>
      <c r="B349" s="248">
        <v>2016</v>
      </c>
      <c r="C349" s="249"/>
      <c r="D349" s="249"/>
      <c r="E349" s="241">
        <f>'Rate Class Load Model'!B11</f>
        <v>41066.9</v>
      </c>
      <c r="F349" s="241">
        <f>'Rate Class Load Model'!C11</f>
        <v>72</v>
      </c>
      <c r="G349" s="241">
        <f>'Rate Class Load Model'!D11</f>
        <v>1081.5999999999999</v>
      </c>
      <c r="H349" s="207">
        <f t="shared" si="52"/>
        <v>42220.5</v>
      </c>
      <c r="I349" s="241">
        <f>E349*'Purchased Power Model'!$P$149</f>
        <v>41846.793573448078</v>
      </c>
      <c r="J349" s="241"/>
      <c r="K349" s="241">
        <f>F349*'Purchased Power Model'!$P$149</f>
        <v>73.36733810655933</v>
      </c>
      <c r="L349" s="241">
        <f>G349*'Purchased Power Model'!$P$149</f>
        <v>1102.1404568896467</v>
      </c>
      <c r="M349" s="207">
        <f t="shared" si="53"/>
        <v>43022.301368444285</v>
      </c>
      <c r="N349" s="222"/>
      <c r="O349" s="222"/>
      <c r="P349" s="222"/>
      <c r="Q349" s="222"/>
      <c r="R349" s="222"/>
      <c r="S349" s="222"/>
      <c r="T349" s="222"/>
      <c r="U349" s="222"/>
      <c r="V349" s="222"/>
    </row>
    <row r="350" spans="1:22" ht="17.5" x14ac:dyDescent="0.35">
      <c r="A350" s="222"/>
      <c r="B350" s="248">
        <v>2017</v>
      </c>
      <c r="C350" s="249"/>
      <c r="D350" s="249"/>
      <c r="E350" s="241">
        <f>'Rate Class Load Model'!B12</f>
        <v>39273</v>
      </c>
      <c r="F350" s="241">
        <f>'Rate Class Load Model'!C12</f>
        <v>67.319999999999993</v>
      </c>
      <c r="G350" s="241">
        <f>'Rate Class Load Model'!D12</f>
        <v>1081.5999999999999</v>
      </c>
      <c r="H350" s="207">
        <f t="shared" si="52"/>
        <v>40421.919999999998</v>
      </c>
      <c r="I350" s="241">
        <f>E350*'Purchased Power Model'!$P$149</f>
        <v>40018.825964707008</v>
      </c>
      <c r="J350" s="241"/>
      <c r="K350" s="241">
        <f>F350*'Purchased Power Model'!$P$149</f>
        <v>68.598461129632966</v>
      </c>
      <c r="L350" s="241">
        <f>G350*'Purchased Power Model'!$P$149</f>
        <v>1102.1404568896467</v>
      </c>
      <c r="M350" s="207">
        <f t="shared" si="53"/>
        <v>41189.564882726285</v>
      </c>
      <c r="N350" s="222"/>
      <c r="O350" s="222"/>
      <c r="P350" s="222"/>
      <c r="Q350" s="222"/>
      <c r="R350" s="222"/>
      <c r="S350" s="222"/>
      <c r="T350" s="222"/>
      <c r="U350" s="222"/>
      <c r="V350" s="222"/>
    </row>
    <row r="351" spans="1:22" ht="17.5" x14ac:dyDescent="0.35">
      <c r="A351" s="222"/>
      <c r="B351" s="248">
        <v>2018</v>
      </c>
      <c r="C351" s="249"/>
      <c r="D351" s="249"/>
      <c r="E351" s="241">
        <f>'Rate Class Load Model'!B13</f>
        <v>38316.800000000003</v>
      </c>
      <c r="F351" s="241">
        <f>'Rate Class Load Model'!C13</f>
        <v>67.319999999999993</v>
      </c>
      <c r="G351" s="241">
        <f>'Rate Class Load Model'!D13</f>
        <v>1081.5999999999999</v>
      </c>
      <c r="H351" s="207">
        <f t="shared" si="52"/>
        <v>39465.72</v>
      </c>
      <c r="I351" s="241">
        <f>E351*'Purchased Power Model'!$P$149</f>
        <v>39044.466955019619</v>
      </c>
      <c r="J351" s="241"/>
      <c r="K351" s="241">
        <f>F351*'Purchased Power Model'!$P$149</f>
        <v>68.598461129632966</v>
      </c>
      <c r="L351" s="241">
        <f>G351*'Purchased Power Model'!$P$149</f>
        <v>1102.1404568896467</v>
      </c>
      <c r="M351" s="207">
        <f t="shared" si="53"/>
        <v>40215.205873038896</v>
      </c>
      <c r="N351" s="222"/>
      <c r="O351" s="222"/>
      <c r="P351" s="222"/>
      <c r="Q351" s="222"/>
      <c r="R351" s="222"/>
      <c r="S351" s="222"/>
      <c r="T351" s="222"/>
      <c r="U351" s="222"/>
      <c r="V351" s="222"/>
    </row>
    <row r="352" spans="1:22" ht="17.5" x14ac:dyDescent="0.35">
      <c r="A352" s="222"/>
      <c r="B352" s="248">
        <v>2019</v>
      </c>
      <c r="C352" s="249"/>
      <c r="D352" s="249"/>
      <c r="E352" s="241">
        <f>'Rate Class Load Model'!B14</f>
        <v>37231.699999999997</v>
      </c>
      <c r="F352" s="241">
        <f>'Rate Class Load Model'!C14</f>
        <v>67.319999999999993</v>
      </c>
      <c r="G352" s="241">
        <f>'Rate Class Load Model'!D14</f>
        <v>1081.5999999999999</v>
      </c>
      <c r="H352" s="207">
        <f t="shared" ref="H352" si="54">SUM(E352:G352)</f>
        <v>38380.619999999995</v>
      </c>
      <c r="I352" s="241">
        <f>E352*'Purchased Power Model'!$P$149</f>
        <v>37938.76003030534</v>
      </c>
      <c r="J352" s="241"/>
      <c r="K352" s="241">
        <f>F352*'Purchased Power Model'!$P$149</f>
        <v>68.598461129632966</v>
      </c>
      <c r="L352" s="241">
        <f>G352*'Purchased Power Model'!$P$149</f>
        <v>1102.1404568896467</v>
      </c>
      <c r="M352" s="207">
        <f t="shared" si="53"/>
        <v>39109.498948324617</v>
      </c>
      <c r="N352" s="222"/>
      <c r="O352" s="222"/>
      <c r="P352" s="222"/>
      <c r="Q352" s="222"/>
      <c r="R352" s="222"/>
      <c r="S352" s="222"/>
      <c r="T352" s="222"/>
      <c r="U352" s="222"/>
      <c r="V352" s="222"/>
    </row>
    <row r="353" spans="1:22" ht="17.5" x14ac:dyDescent="0.35">
      <c r="A353" s="222"/>
      <c r="B353" s="253"/>
      <c r="C353" s="253"/>
      <c r="D353" s="253"/>
      <c r="E353" s="254"/>
      <c r="F353" s="254"/>
      <c r="G353" s="254"/>
      <c r="H353" s="254"/>
      <c r="I353" s="222"/>
      <c r="J353" s="222"/>
      <c r="K353" s="222"/>
      <c r="L353" s="222"/>
      <c r="M353" s="222"/>
      <c r="N353" s="222"/>
      <c r="O353" s="222"/>
      <c r="P353" s="222"/>
      <c r="Q353" s="222"/>
      <c r="R353" s="222"/>
      <c r="S353" s="222"/>
      <c r="T353" s="222"/>
      <c r="U353" s="222"/>
      <c r="V353" s="222"/>
    </row>
    <row r="354" spans="1:22" ht="18" x14ac:dyDescent="0.35">
      <c r="A354" s="222"/>
      <c r="B354" s="212" t="s">
        <v>387</v>
      </c>
      <c r="C354" s="212"/>
      <c r="D354" s="212"/>
      <c r="E354" s="213"/>
      <c r="F354" s="213"/>
      <c r="G354" s="213"/>
      <c r="H354" s="213"/>
      <c r="I354" s="222"/>
      <c r="J354" s="222"/>
      <c r="K354" s="222"/>
      <c r="L354" s="222"/>
      <c r="M354" s="222"/>
      <c r="N354" s="222"/>
      <c r="O354" s="222"/>
      <c r="P354" s="222"/>
      <c r="Q354" s="222"/>
      <c r="R354" s="222"/>
      <c r="S354" s="222"/>
      <c r="T354" s="222"/>
      <c r="U354" s="222"/>
      <c r="V354" s="222"/>
    </row>
    <row r="355" spans="1:22" ht="54" x14ac:dyDescent="0.35">
      <c r="A355" s="222"/>
      <c r="B355" s="191" t="s">
        <v>110</v>
      </c>
      <c r="C355" s="192"/>
      <c r="D355" s="192"/>
      <c r="E355" s="193" t="s">
        <v>201</v>
      </c>
      <c r="F355" s="193" t="s">
        <v>120</v>
      </c>
      <c r="G355" s="193" t="s">
        <v>47</v>
      </c>
      <c r="H355" s="222"/>
      <c r="I355" s="222"/>
      <c r="J355" s="222"/>
      <c r="K355" s="222"/>
      <c r="L355" s="222"/>
      <c r="M355" s="222"/>
      <c r="N355" s="222"/>
      <c r="O355" s="222"/>
      <c r="P355" s="222"/>
      <c r="Q355" s="222"/>
      <c r="R355" s="222"/>
      <c r="S355" s="222"/>
      <c r="T355" s="222"/>
      <c r="U355" s="222"/>
      <c r="V355" s="222"/>
    </row>
    <row r="356" spans="1:22" ht="18" x14ac:dyDescent="0.35">
      <c r="A356" s="222"/>
      <c r="B356" s="215" t="s">
        <v>155</v>
      </c>
      <c r="C356" s="216"/>
      <c r="D356" s="216"/>
      <c r="E356" s="216"/>
      <c r="F356" s="216"/>
      <c r="G356" s="217"/>
      <c r="H356" s="222"/>
      <c r="I356" s="222"/>
      <c r="J356" s="222"/>
      <c r="K356" s="222"/>
      <c r="L356" s="222"/>
      <c r="M356" s="222"/>
      <c r="N356" s="222"/>
      <c r="O356" s="222"/>
      <c r="P356" s="222"/>
      <c r="Q356" s="222"/>
      <c r="R356" s="222"/>
      <c r="S356" s="222"/>
      <c r="T356" s="222"/>
      <c r="U356" s="222"/>
      <c r="V356" s="222"/>
    </row>
    <row r="357" spans="1:22" ht="17.5" x14ac:dyDescent="0.35">
      <c r="A357" s="222"/>
      <c r="B357" s="248">
        <v>2010</v>
      </c>
      <c r="C357" s="249"/>
      <c r="D357" s="249"/>
      <c r="E357" s="299">
        <f>'Rate Class Load Model'!B21</f>
        <v>2.5189426221746318E-3</v>
      </c>
      <c r="F357" s="299">
        <f>'Rate Class Load Model'!C21</f>
        <v>2.8685258964143427E-3</v>
      </c>
      <c r="G357" s="299">
        <f>'Rate Class Load Model'!D21</f>
        <v>2.8059008354374883E-3</v>
      </c>
      <c r="H357" s="222"/>
      <c r="I357" s="222"/>
      <c r="J357" s="222"/>
      <c r="K357" s="222"/>
      <c r="L357" s="222"/>
      <c r="M357" s="222"/>
      <c r="N357" s="222"/>
      <c r="O357" s="222"/>
      <c r="P357" s="222"/>
      <c r="Q357" s="222"/>
      <c r="R357" s="222"/>
      <c r="S357" s="222"/>
      <c r="T357" s="222"/>
      <c r="U357" s="222"/>
      <c r="V357" s="222"/>
    </row>
    <row r="358" spans="1:22" ht="17.5" x14ac:dyDescent="0.35">
      <c r="A358" s="222"/>
      <c r="B358" s="248">
        <v>2011</v>
      </c>
      <c r="C358" s="249"/>
      <c r="D358" s="249"/>
      <c r="E358" s="299">
        <f>'Rate Class Load Model'!B22</f>
        <v>2.3771197242665257E-3</v>
      </c>
      <c r="F358" s="299">
        <f>'Rate Class Load Model'!C22</f>
        <v>2.7823936314101327E-3</v>
      </c>
      <c r="G358" s="299">
        <f>'Rate Class Load Model'!D22</f>
        <v>2.8162708418099204E-3</v>
      </c>
      <c r="H358" s="222"/>
      <c r="I358" s="222"/>
      <c r="J358" s="222"/>
      <c r="K358" s="222"/>
      <c r="L358" s="222"/>
      <c r="M358" s="222"/>
      <c r="N358" s="222"/>
      <c r="O358" s="222"/>
      <c r="P358" s="222"/>
      <c r="Q358" s="222"/>
      <c r="R358" s="222"/>
      <c r="S358" s="222"/>
      <c r="T358" s="222"/>
      <c r="U358" s="222"/>
      <c r="V358" s="222"/>
    </row>
    <row r="359" spans="1:22" ht="17.5" x14ac:dyDescent="0.35">
      <c r="A359" s="222"/>
      <c r="B359" s="248">
        <v>2012</v>
      </c>
      <c r="C359" s="199"/>
      <c r="D359" s="199"/>
      <c r="E359" s="299">
        <f>'Rate Class Load Model'!B23</f>
        <v>2.5098678024016029E-3</v>
      </c>
      <c r="F359" s="299">
        <f>'Rate Class Load Model'!C23</f>
        <v>2.7988338192419825E-3</v>
      </c>
      <c r="G359" s="299">
        <f>'Rate Class Load Model'!D23</f>
        <v>2.7951350415792511E-3</v>
      </c>
      <c r="H359" s="222"/>
      <c r="I359" s="222"/>
      <c r="J359" s="222"/>
      <c r="K359" s="222"/>
      <c r="L359" s="222"/>
      <c r="M359" s="222"/>
      <c r="N359" s="222"/>
      <c r="O359" s="222"/>
      <c r="P359" s="222"/>
      <c r="Q359" s="222"/>
      <c r="R359" s="222"/>
      <c r="S359" s="222"/>
      <c r="T359" s="222"/>
      <c r="U359" s="222"/>
      <c r="V359" s="222"/>
    </row>
    <row r="360" spans="1:22" ht="17.5" x14ac:dyDescent="0.35">
      <c r="A360" s="222"/>
      <c r="B360" s="248">
        <v>2013</v>
      </c>
      <c r="C360" s="199"/>
      <c r="D360" s="199"/>
      <c r="E360" s="299">
        <f>'Rate Class Load Model'!B24</f>
        <v>2.540407439667994E-3</v>
      </c>
      <c r="F360" s="299">
        <f>'Rate Class Load Model'!C24</f>
        <v>2.7938380350005822E-3</v>
      </c>
      <c r="G360" s="299">
        <f>'Rate Class Load Model'!D24</f>
        <v>2.8002489110143126E-3</v>
      </c>
      <c r="H360" s="222"/>
      <c r="I360" s="222"/>
      <c r="J360" s="222"/>
      <c r="K360" s="222"/>
      <c r="L360" s="222"/>
      <c r="M360" s="222"/>
      <c r="N360" s="222"/>
      <c r="O360" s="222"/>
      <c r="P360" s="222"/>
      <c r="Q360" s="222"/>
      <c r="R360" s="222"/>
      <c r="S360" s="222"/>
      <c r="T360" s="222"/>
      <c r="U360" s="222"/>
      <c r="V360" s="222"/>
    </row>
    <row r="361" spans="1:22" ht="17.5" x14ac:dyDescent="0.35">
      <c r="A361" s="222"/>
      <c r="B361" s="248">
        <v>2014</v>
      </c>
      <c r="C361" s="199"/>
      <c r="D361" s="199"/>
      <c r="E361" s="299">
        <f>'Rate Class Load Model'!B25</f>
        <v>2.3503521286419356E-3</v>
      </c>
      <c r="F361" s="299">
        <f>'Rate Class Load Model'!C25</f>
        <v>2.7938380350005822E-3</v>
      </c>
      <c r="G361" s="299">
        <f>'Rate Class Load Model'!D25</f>
        <v>2.9028284943815349E-3</v>
      </c>
      <c r="H361" s="222"/>
      <c r="I361" s="222"/>
      <c r="J361" s="222"/>
      <c r="K361" s="222"/>
      <c r="L361" s="222"/>
      <c r="M361" s="222"/>
      <c r="N361" s="222"/>
      <c r="O361" s="222"/>
      <c r="P361" s="222"/>
      <c r="Q361" s="222"/>
      <c r="R361" s="222"/>
      <c r="S361" s="222"/>
      <c r="T361" s="222"/>
      <c r="U361" s="222"/>
      <c r="V361" s="222"/>
    </row>
    <row r="362" spans="1:22" ht="17.5" x14ac:dyDescent="0.35">
      <c r="A362" s="222"/>
      <c r="B362" s="248">
        <v>2015</v>
      </c>
      <c r="C362" s="199"/>
      <c r="D362" s="199"/>
      <c r="E362" s="299">
        <f>'Rate Class Load Model'!B26</f>
        <v>2.4724563607268078E-3</v>
      </c>
      <c r="F362" s="299">
        <f>'Rate Class Load Model'!C26</f>
        <v>2.9187564151833714E-3</v>
      </c>
      <c r="G362" s="299">
        <f>'Rate Class Load Model'!D26</f>
        <v>2.8051116578741249E-3</v>
      </c>
      <c r="H362" s="222"/>
      <c r="I362" s="222"/>
      <c r="J362" s="222"/>
      <c r="K362" s="222"/>
      <c r="L362" s="222"/>
      <c r="M362" s="222"/>
      <c r="N362" s="222"/>
      <c r="O362" s="222"/>
      <c r="P362" s="222"/>
      <c r="Q362" s="222"/>
      <c r="R362" s="222"/>
      <c r="S362" s="222"/>
      <c r="T362" s="222"/>
      <c r="U362" s="222"/>
      <c r="V362" s="222"/>
    </row>
    <row r="363" spans="1:22" ht="17.5" x14ac:dyDescent="0.35">
      <c r="A363" s="222"/>
      <c r="B363" s="248">
        <v>2016</v>
      </c>
      <c r="C363" s="199"/>
      <c r="D363" s="199"/>
      <c r="E363" s="299">
        <f>'Rate Class Load Model'!B27</f>
        <v>2.507434121883445E-3</v>
      </c>
      <c r="F363" s="299">
        <f>'Rate Class Load Model'!C27</f>
        <v>2.9308323563892154E-3</v>
      </c>
      <c r="G363" s="299">
        <f>'Rate Class Load Model'!D27</f>
        <v>3.1599416626154593E-3</v>
      </c>
      <c r="H363" s="222"/>
      <c r="I363" s="222"/>
      <c r="J363" s="222"/>
      <c r="K363" s="222"/>
      <c r="L363" s="222"/>
      <c r="M363" s="222"/>
      <c r="N363" s="222"/>
      <c r="O363" s="222"/>
      <c r="P363" s="222"/>
      <c r="Q363" s="222"/>
      <c r="R363" s="222"/>
      <c r="S363" s="222"/>
      <c r="T363" s="222"/>
      <c r="U363" s="222"/>
      <c r="V363" s="222"/>
    </row>
    <row r="364" spans="1:22" ht="17.5" x14ac:dyDescent="0.35">
      <c r="A364" s="222"/>
      <c r="B364" s="248">
        <v>2017</v>
      </c>
      <c r="C364" s="249"/>
      <c r="D364" s="249"/>
      <c r="E364" s="299">
        <f>'Rate Class Load Model'!B28</f>
        <v>2.518967002784916E-3</v>
      </c>
      <c r="F364" s="299">
        <f>'Rate Class Load Model'!C28</f>
        <v>2.7778007014648233E-3</v>
      </c>
      <c r="G364" s="299">
        <f>'Rate Class Load Model'!D28</f>
        <v>3.1715052451817514E-3</v>
      </c>
      <c r="H364" s="222"/>
      <c r="I364" s="222"/>
      <c r="J364" s="222"/>
      <c r="K364" s="222"/>
      <c r="L364" s="222"/>
      <c r="M364" s="222"/>
      <c r="N364" s="222"/>
      <c r="O364" s="222"/>
      <c r="P364" s="222"/>
      <c r="Q364" s="222"/>
      <c r="R364" s="222"/>
      <c r="S364" s="222"/>
      <c r="T364" s="222"/>
      <c r="U364" s="222"/>
      <c r="V364" s="222"/>
    </row>
    <row r="365" spans="1:22" ht="17.5" x14ac:dyDescent="0.35">
      <c r="A365" s="222"/>
      <c r="B365" s="248">
        <v>2018</v>
      </c>
      <c r="C365" s="249"/>
      <c r="D365" s="249"/>
      <c r="E365" s="299">
        <f>'Rate Class Load Model'!B29</f>
        <v>2.4950570221831357E-3</v>
      </c>
      <c r="F365" s="299">
        <f>'Rate Class Load Model'!C29</f>
        <v>2.7777777777777779E-3</v>
      </c>
      <c r="G365" s="299">
        <f>'Rate Class Load Model'!D29</f>
        <v>3.1715052451817514E-3</v>
      </c>
      <c r="H365" s="222"/>
      <c r="I365" s="222"/>
      <c r="J365" s="222"/>
      <c r="K365" s="222"/>
      <c r="L365" s="222"/>
      <c r="M365" s="222"/>
      <c r="N365" s="222"/>
      <c r="O365" s="222"/>
      <c r="P365" s="222"/>
      <c r="Q365" s="222"/>
      <c r="R365" s="222"/>
      <c r="S365" s="222"/>
      <c r="T365" s="222"/>
      <c r="U365" s="222"/>
      <c r="V365" s="222"/>
    </row>
    <row r="366" spans="1:22" ht="17.5" x14ac:dyDescent="0.35">
      <c r="A366" s="222"/>
      <c r="B366" s="248">
        <v>2019</v>
      </c>
      <c r="C366" s="249"/>
      <c r="D366" s="249"/>
      <c r="E366" s="299">
        <f>'Rate Class Load Model'!B30</f>
        <v>2.4904911596376807E-3</v>
      </c>
      <c r="F366" s="299">
        <f>'Rate Class Load Model'!C30</f>
        <v>2.7777777777777779E-3</v>
      </c>
      <c r="G366" s="299">
        <f>'Rate Class Load Model'!D30</f>
        <v>3.1715052451817514E-3</v>
      </c>
      <c r="H366" s="222"/>
      <c r="I366" s="222"/>
      <c r="J366" s="222"/>
      <c r="K366" s="222"/>
      <c r="L366" s="222"/>
      <c r="M366" s="222"/>
      <c r="N366" s="222"/>
      <c r="O366" s="222"/>
      <c r="P366" s="222"/>
      <c r="Q366" s="222"/>
      <c r="R366" s="222"/>
      <c r="S366" s="222"/>
      <c r="T366" s="222"/>
      <c r="U366" s="222"/>
      <c r="V366" s="222"/>
    </row>
    <row r="367" spans="1:22" ht="17.5" x14ac:dyDescent="0.35">
      <c r="A367" s="222"/>
      <c r="B367" s="248"/>
      <c r="C367" s="249"/>
      <c r="D367" s="249"/>
      <c r="E367" s="299"/>
      <c r="F367" s="299"/>
      <c r="G367" s="299"/>
      <c r="H367" s="222"/>
      <c r="I367" s="222"/>
      <c r="J367" s="222"/>
      <c r="K367" s="222"/>
      <c r="L367" s="222"/>
      <c r="M367" s="222"/>
      <c r="N367" s="222"/>
      <c r="O367" s="222"/>
      <c r="P367" s="222"/>
      <c r="Q367" s="222"/>
      <c r="R367" s="222"/>
      <c r="S367" s="222"/>
      <c r="T367" s="222"/>
      <c r="U367" s="222"/>
      <c r="V367" s="222"/>
    </row>
    <row r="368" spans="1:22" ht="17.5" x14ac:dyDescent="0.35">
      <c r="A368" s="222"/>
      <c r="B368" s="248" t="s">
        <v>338</v>
      </c>
      <c r="C368" s="249"/>
      <c r="D368" s="249"/>
      <c r="E368" s="299">
        <f>'Rate Class Load Model'!B32</f>
        <v>2.4781095384368672E-3</v>
      </c>
      <c r="F368" s="299">
        <f>'Rate Class Load Model'!C32</f>
        <v>2.8220374445660588E-3</v>
      </c>
      <c r="G368" s="299">
        <f>'Rate Class Load Model'!D32</f>
        <v>2.9599953180257346E-3</v>
      </c>
      <c r="H368" s="222"/>
      <c r="I368" s="222"/>
      <c r="J368" s="222"/>
      <c r="K368" s="222"/>
      <c r="L368" s="222"/>
      <c r="M368" s="222"/>
      <c r="N368" s="222"/>
      <c r="O368" s="222"/>
      <c r="P368" s="222"/>
      <c r="Q368" s="222"/>
      <c r="R368" s="222"/>
      <c r="S368" s="222"/>
      <c r="T368" s="222"/>
      <c r="U368" s="222"/>
      <c r="V368" s="222"/>
    </row>
    <row r="369" spans="1:22" ht="17.5" x14ac:dyDescent="0.35">
      <c r="A369" s="222"/>
      <c r="B369" s="248"/>
      <c r="C369" s="249"/>
      <c r="D369" s="249"/>
      <c r="E369" s="299"/>
      <c r="F369" s="299"/>
      <c r="G369" s="299"/>
      <c r="H369" s="222"/>
      <c r="I369" s="222"/>
      <c r="J369" s="222"/>
      <c r="K369" s="222"/>
      <c r="L369" s="222"/>
      <c r="M369" s="222"/>
      <c r="N369" s="222"/>
      <c r="O369" s="222"/>
      <c r="P369" s="222"/>
      <c r="Q369" s="222"/>
      <c r="R369" s="222"/>
      <c r="S369" s="222"/>
      <c r="T369" s="222"/>
      <c r="U369" s="222"/>
      <c r="V369" s="222"/>
    </row>
    <row r="370" spans="1:22" ht="18" x14ac:dyDescent="0.35">
      <c r="A370" s="222"/>
      <c r="B370" s="640" t="s">
        <v>44</v>
      </c>
      <c r="C370" s="249"/>
      <c r="D370" s="249"/>
      <c r="E370" s="639">
        <f>'Rate Class Load Model'!B34</f>
        <v>2.4904911596376807E-3</v>
      </c>
      <c r="F370" s="639">
        <f>'Rate Class Load Model'!C34</f>
        <v>2.7777777777777779E-3</v>
      </c>
      <c r="G370" s="639">
        <f>'Rate Class Load Model'!D34</f>
        <v>2.9343962368591214E-3</v>
      </c>
      <c r="H370" s="222"/>
      <c r="I370" s="222"/>
      <c r="J370" s="222"/>
      <c r="K370" s="222"/>
      <c r="L370" s="222"/>
      <c r="M370" s="222"/>
      <c r="N370" s="222"/>
      <c r="O370" s="222"/>
      <c r="P370" s="222"/>
      <c r="Q370" s="222"/>
      <c r="R370" s="222"/>
      <c r="S370" s="222"/>
      <c r="T370" s="222"/>
      <c r="U370" s="222"/>
      <c r="V370" s="222"/>
    </row>
    <row r="371" spans="1:22" ht="17.5" x14ac:dyDescent="0.35">
      <c r="A371" s="222"/>
      <c r="B371" s="392"/>
      <c r="C371" s="199"/>
      <c r="D371" s="199"/>
      <c r="E371" s="300"/>
      <c r="F371" s="300"/>
      <c r="G371" s="300"/>
      <c r="H371" s="222"/>
      <c r="I371" s="222"/>
      <c r="J371" s="222"/>
      <c r="K371" s="222"/>
      <c r="L371" s="222"/>
      <c r="M371" s="222"/>
      <c r="N371" s="222"/>
      <c r="O371" s="222"/>
      <c r="P371" s="222"/>
      <c r="Q371" s="222"/>
      <c r="R371" s="222"/>
      <c r="S371" s="222"/>
      <c r="T371" s="222"/>
      <c r="U371" s="222"/>
      <c r="V371" s="222"/>
    </row>
    <row r="372" spans="1:22" ht="17.5" x14ac:dyDescent="0.35">
      <c r="A372" s="222"/>
      <c r="B372" s="253"/>
      <c r="C372" s="253"/>
      <c r="D372" s="253"/>
      <c r="E372" s="301"/>
      <c r="F372" s="301"/>
      <c r="G372" s="301"/>
      <c r="H372" s="222"/>
      <c r="I372" s="222"/>
      <c r="J372" s="222"/>
      <c r="K372" s="222"/>
      <c r="L372" s="222"/>
      <c r="M372" s="222"/>
      <c r="N372" s="222"/>
      <c r="O372" s="222"/>
      <c r="P372" s="222"/>
      <c r="Q372" s="222"/>
      <c r="R372" s="222"/>
      <c r="S372" s="222"/>
      <c r="T372" s="222"/>
      <c r="U372" s="222"/>
      <c r="V372" s="222"/>
    </row>
    <row r="373" spans="1:22" ht="18" x14ac:dyDescent="0.35">
      <c r="A373" s="222"/>
      <c r="B373" s="212" t="s">
        <v>388</v>
      </c>
      <c r="C373" s="212"/>
      <c r="D373" s="212"/>
      <c r="E373" s="213"/>
      <c r="F373" s="213"/>
      <c r="G373" s="213"/>
      <c r="H373" s="222"/>
      <c r="I373" s="222"/>
      <c r="J373" s="222"/>
      <c r="K373" s="222"/>
      <c r="L373" s="222"/>
      <c r="M373" s="222"/>
      <c r="N373" s="222"/>
      <c r="O373" s="222"/>
      <c r="P373" s="222"/>
      <c r="Q373" s="222"/>
      <c r="R373" s="222"/>
      <c r="S373" s="222"/>
      <c r="T373" s="222"/>
      <c r="U373" s="222"/>
      <c r="V373" s="222"/>
    </row>
    <row r="374" spans="1:22" ht="54" x14ac:dyDescent="0.35">
      <c r="A374" s="222"/>
      <c r="B374" s="386" t="s">
        <v>110</v>
      </c>
      <c r="C374" s="192"/>
      <c r="D374" s="192"/>
      <c r="E374" s="193" t="s">
        <v>201</v>
      </c>
      <c r="F374" s="193" t="s">
        <v>120</v>
      </c>
      <c r="G374" s="193" t="s">
        <v>47</v>
      </c>
      <c r="H374" s="193" t="s">
        <v>52</v>
      </c>
      <c r="I374" s="222"/>
      <c r="J374" s="222"/>
      <c r="K374" s="222"/>
      <c r="L374" s="222"/>
      <c r="M374" s="222"/>
      <c r="N374" s="222"/>
      <c r="O374" s="222"/>
      <c r="P374" s="222"/>
      <c r="Q374" s="222"/>
      <c r="R374" s="222"/>
      <c r="S374" s="222"/>
      <c r="T374" s="222"/>
      <c r="U374" s="222"/>
      <c r="V374" s="222"/>
    </row>
    <row r="375" spans="1:22" ht="18" x14ac:dyDescent="0.35">
      <c r="A375" s="222"/>
      <c r="B375" s="373" t="s">
        <v>156</v>
      </c>
      <c r="C375" s="199"/>
      <c r="D375" s="199"/>
      <c r="E375" s="199"/>
      <c r="F375" s="302"/>
      <c r="G375" s="210"/>
      <c r="H375" s="211"/>
      <c r="I375" s="222"/>
      <c r="J375" s="222"/>
      <c r="K375" s="222"/>
      <c r="L375" s="222"/>
      <c r="M375" s="222"/>
      <c r="N375" s="222"/>
      <c r="O375" s="222"/>
      <c r="P375" s="222"/>
      <c r="Q375" s="222"/>
      <c r="R375" s="222"/>
      <c r="S375" s="222"/>
      <c r="T375" s="222"/>
      <c r="U375" s="222"/>
      <c r="V375" s="222"/>
    </row>
    <row r="376" spans="1:22" ht="17.5" x14ac:dyDescent="0.35">
      <c r="A376" s="222"/>
      <c r="B376" s="392" t="s">
        <v>281</v>
      </c>
      <c r="C376" s="199"/>
      <c r="D376" s="199"/>
      <c r="E376" s="201">
        <f>'Rate Class Load Model'!B15</f>
        <v>38397.067436687881</v>
      </c>
      <c r="F376" s="201">
        <f>'Rate Class Load Model'!C15</f>
        <v>67.087477886063851</v>
      </c>
      <c r="G376" s="201">
        <f>'Rate Class Load Model'!D15</f>
        <v>659.99999999999829</v>
      </c>
      <c r="H376" s="207">
        <f>SUM(E376:G376)</f>
        <v>39124.154914573948</v>
      </c>
      <c r="I376" s="222"/>
      <c r="J376" s="222"/>
      <c r="K376" s="242"/>
      <c r="L376" s="222"/>
      <c r="M376" s="222"/>
      <c r="N376" s="222"/>
      <c r="O376" s="222"/>
      <c r="P376" s="222"/>
      <c r="Q376" s="222"/>
      <c r="R376" s="222"/>
      <c r="S376" s="222"/>
      <c r="T376" s="222"/>
      <c r="U376" s="222"/>
      <c r="V376" s="222"/>
    </row>
    <row r="377" spans="1:22" ht="17.5" x14ac:dyDescent="0.35">
      <c r="A377" s="222"/>
      <c r="B377" s="627" t="s">
        <v>284</v>
      </c>
      <c r="C377" s="628"/>
      <c r="D377" s="628"/>
      <c r="E377" s="201">
        <f>'Rate Class Load Model'!B16</f>
        <v>38558.693646466199</v>
      </c>
      <c r="F377" s="201">
        <f>'Rate Class Load Model'!C16</f>
        <v>67.382247233170062</v>
      </c>
      <c r="G377" s="201">
        <f>'Rate Class Load Model'!D16</f>
        <v>659.99999999999829</v>
      </c>
      <c r="H377" s="207">
        <f>SUM(E377:G377)</f>
        <v>39286.075893699366</v>
      </c>
      <c r="I377" s="222"/>
      <c r="J377" s="222"/>
      <c r="K377" s="242"/>
      <c r="L377" s="222"/>
      <c r="M377" s="222"/>
      <c r="N377" s="222"/>
      <c r="O377" s="222"/>
      <c r="P377" s="222"/>
      <c r="Q377" s="222"/>
      <c r="R377" s="222"/>
      <c r="S377" s="222"/>
      <c r="T377" s="222"/>
      <c r="U377" s="222"/>
      <c r="V377" s="222"/>
    </row>
    <row r="378" spans="1:22" ht="17.5" x14ac:dyDescent="0.35">
      <c r="A378" s="222"/>
      <c r="B378" s="239"/>
      <c r="C378" s="239"/>
      <c r="D378" s="239"/>
      <c r="E378" s="222"/>
      <c r="F378" s="222"/>
      <c r="G378" s="222"/>
      <c r="H378" s="222"/>
      <c r="I378" s="222"/>
      <c r="J378" s="222"/>
      <c r="K378" s="222"/>
      <c r="L378" s="222"/>
      <c r="M378" s="222"/>
      <c r="N378" s="222"/>
      <c r="O378" s="222"/>
      <c r="P378" s="222"/>
      <c r="Q378" s="222"/>
      <c r="R378" s="222"/>
      <c r="S378" s="222"/>
      <c r="T378" s="222"/>
      <c r="U378" s="222"/>
      <c r="V378" s="222"/>
    </row>
    <row r="379" spans="1:22" ht="18" x14ac:dyDescent="0.35">
      <c r="A379" s="222"/>
      <c r="B379" s="212" t="s">
        <v>389</v>
      </c>
      <c r="C379" s="212"/>
      <c r="D379" s="212"/>
      <c r="E379" s="213"/>
      <c r="F379" s="213"/>
      <c r="G379" s="213"/>
      <c r="H379" s="222"/>
      <c r="I379" s="222"/>
      <c r="J379" s="222"/>
      <c r="K379" s="222"/>
      <c r="L379" s="222"/>
      <c r="M379" s="222"/>
      <c r="N379" s="222"/>
      <c r="O379" s="222"/>
      <c r="P379" s="222"/>
      <c r="Q379" s="222"/>
      <c r="R379" s="222"/>
      <c r="S379" s="222"/>
      <c r="T379" s="222"/>
      <c r="U379" s="222"/>
      <c r="V379" s="222"/>
    </row>
    <row r="380" spans="1:22" ht="36" x14ac:dyDescent="0.35">
      <c r="A380" s="222"/>
      <c r="B380" s="798"/>
      <c r="C380" s="799"/>
      <c r="D380" s="799"/>
      <c r="E380" s="800"/>
      <c r="F380" s="214" t="s">
        <v>170</v>
      </c>
      <c r="G380" s="214" t="s">
        <v>100</v>
      </c>
      <c r="H380" s="214" t="s">
        <v>101</v>
      </c>
      <c r="I380" s="388" t="s">
        <v>206</v>
      </c>
      <c r="J380" s="388"/>
      <c r="K380" s="388" t="s">
        <v>207</v>
      </c>
      <c r="L380" s="388" t="s">
        <v>271</v>
      </c>
      <c r="M380" s="214" t="s">
        <v>272</v>
      </c>
      <c r="N380" s="214" t="s">
        <v>273</v>
      </c>
      <c r="O380" s="214" t="s">
        <v>281</v>
      </c>
      <c r="P380" s="214" t="s">
        <v>284</v>
      </c>
      <c r="Q380" s="222"/>
      <c r="R380" s="222"/>
      <c r="S380" s="222"/>
      <c r="T380" s="222"/>
      <c r="U380" s="222"/>
      <c r="V380" s="222"/>
    </row>
    <row r="381" spans="1:22" ht="17.5" x14ac:dyDescent="0.35">
      <c r="A381" s="222"/>
      <c r="B381" s="775" t="s">
        <v>41</v>
      </c>
      <c r="C381" s="773"/>
      <c r="D381" s="773"/>
      <c r="E381" s="774"/>
      <c r="F381" s="203">
        <f>Summary!D4</f>
        <v>63284544.89452</v>
      </c>
      <c r="G381" s="203">
        <f>Summary!E4</f>
        <v>63602962.210319996</v>
      </c>
      <c r="H381" s="203">
        <f>Summary!F4</f>
        <v>65352027.278520003</v>
      </c>
      <c r="I381" s="203">
        <f>Summary!G4</f>
        <v>61104721.271502577</v>
      </c>
      <c r="J381" s="203"/>
      <c r="K381" s="203">
        <f>Summary!H4</f>
        <v>59794103.869807422</v>
      </c>
      <c r="L381" s="203">
        <f>Summary!I4</f>
        <v>59491334.831652001</v>
      </c>
      <c r="M381" s="203">
        <f>Summary!J4</f>
        <v>61810132.542415701</v>
      </c>
      <c r="N381" s="203">
        <f>Summary!K4</f>
        <v>62050760.909142859</v>
      </c>
      <c r="O381" s="203"/>
      <c r="P381" s="203"/>
      <c r="Q381" s="222"/>
      <c r="R381" s="222"/>
      <c r="S381" s="222"/>
      <c r="T381" s="222"/>
      <c r="U381" s="222"/>
      <c r="V381" s="222"/>
    </row>
    <row r="382" spans="1:22" ht="17.5" x14ac:dyDescent="0.35">
      <c r="A382" s="222"/>
      <c r="B382" s="775" t="s">
        <v>42</v>
      </c>
      <c r="C382" s="773"/>
      <c r="D382" s="773"/>
      <c r="E382" s="774"/>
      <c r="F382" s="203">
        <f>Summary!D5</f>
        <v>61624254.163418382</v>
      </c>
      <c r="G382" s="203">
        <f>Summary!E5</f>
        <v>62892003.896134011</v>
      </c>
      <c r="H382" s="203">
        <f>Summary!F5</f>
        <v>64340113.997318804</v>
      </c>
      <c r="I382" s="203">
        <f>Summary!G5</f>
        <v>63174013.199874789</v>
      </c>
      <c r="J382" s="203"/>
      <c r="K382" s="203">
        <f>Summary!H5</f>
        <v>62605890.315318771</v>
      </c>
      <c r="L382" s="203">
        <f>Summary!I5</f>
        <v>62123262.01324112</v>
      </c>
      <c r="M382" s="203">
        <f>Summary!J5</f>
        <v>63845097.46661216</v>
      </c>
      <c r="N382" s="203">
        <f>Summary!K5</f>
        <v>62762062.157844543</v>
      </c>
      <c r="O382" s="203">
        <f>Summary!L5</f>
        <v>62840765.033346348</v>
      </c>
      <c r="P382" s="203">
        <f>Summary!M5</f>
        <v>62626608.32622347</v>
      </c>
      <c r="Q382" s="222"/>
      <c r="R382" s="222"/>
      <c r="S382" s="222"/>
      <c r="T382" s="222"/>
      <c r="U382" s="222"/>
      <c r="V382" s="222"/>
    </row>
    <row r="383" spans="1:22" ht="17.5" x14ac:dyDescent="0.35">
      <c r="A383" s="222"/>
      <c r="B383" s="776" t="s">
        <v>157</v>
      </c>
      <c r="C383" s="777"/>
      <c r="D383" s="777"/>
      <c r="E383" s="778"/>
      <c r="F383" s="240">
        <f>Summary!B6</f>
        <v>-4.9632211445003037E-2</v>
      </c>
      <c r="G383" s="240">
        <f>Summary!C6</f>
        <v>-5.51232932174264E-2</v>
      </c>
      <c r="H383" s="240">
        <f>Summary!D6</f>
        <v>-2.623532702761661E-2</v>
      </c>
      <c r="I383" s="240">
        <f>Summary!E6</f>
        <v>-1.1178069220031183E-2</v>
      </c>
      <c r="J383" s="240"/>
      <c r="K383" s="240">
        <f>Summary!F6</f>
        <v>-1.5484038113899427E-2</v>
      </c>
      <c r="L383" s="240">
        <f>Summary!G6</f>
        <v>3.3864681571459325E-2</v>
      </c>
      <c r="M383" s="240">
        <f>Summary!H6</f>
        <v>4.7024476721544091E-2</v>
      </c>
      <c r="N383" s="240">
        <f>Summary!I6</f>
        <v>4.4240513161066586E-2</v>
      </c>
      <c r="O383" s="646"/>
      <c r="P383" s="240"/>
      <c r="Q383" s="222"/>
      <c r="R383" s="222"/>
      <c r="S383" s="222"/>
      <c r="T383" s="222"/>
      <c r="U383" s="222"/>
      <c r="V383" s="222"/>
    </row>
    <row r="384" spans="1:22" ht="18" x14ac:dyDescent="0.35">
      <c r="A384" s="222"/>
      <c r="B384" s="303"/>
      <c r="C384" s="304"/>
      <c r="D384" s="304"/>
      <c r="E384" s="305"/>
      <c r="F384" s="306"/>
      <c r="G384" s="306"/>
      <c r="H384" s="306"/>
      <c r="I384" s="230"/>
      <c r="J384" s="230"/>
      <c r="K384" s="230"/>
      <c r="L384" s="230"/>
      <c r="M384" s="306"/>
      <c r="N384" s="306"/>
      <c r="O384" s="306"/>
      <c r="P384" s="306"/>
      <c r="Q384" s="222"/>
      <c r="R384" s="222"/>
      <c r="S384" s="222"/>
      <c r="T384" s="222"/>
      <c r="U384" s="222"/>
      <c r="V384" s="222"/>
    </row>
    <row r="385" spans="1:22" ht="18" x14ac:dyDescent="0.35">
      <c r="A385" s="222"/>
      <c r="B385" s="641" t="s">
        <v>0</v>
      </c>
      <c r="C385" s="642"/>
      <c r="D385" s="642"/>
      <c r="E385" s="643"/>
      <c r="F385" s="644"/>
      <c r="G385" s="644"/>
      <c r="H385" s="644"/>
      <c r="I385" s="645"/>
      <c r="J385" s="645"/>
      <c r="K385" s="645"/>
      <c r="L385" s="645"/>
      <c r="M385" s="644"/>
      <c r="N385" s="644"/>
      <c r="O385" s="645">
        <f>'Rate Class Energy Model'!F27</f>
        <v>1.0672999999999999</v>
      </c>
      <c r="P385" s="645">
        <f>'Rate Class Energy Model'!F27</f>
        <v>1.0672999999999999</v>
      </c>
      <c r="Q385" s="222"/>
      <c r="R385" s="222"/>
      <c r="S385" s="222"/>
      <c r="T385" s="222"/>
      <c r="U385" s="222"/>
      <c r="V385" s="222"/>
    </row>
    <row r="386" spans="1:22" ht="18" x14ac:dyDescent="0.35">
      <c r="A386" s="222"/>
      <c r="B386" s="209"/>
      <c r="C386" s="210"/>
      <c r="D386" s="210"/>
      <c r="E386" s="398"/>
      <c r="F386" s="398"/>
      <c r="G386" s="398"/>
      <c r="H386" s="398"/>
      <c r="I386" s="398"/>
      <c r="J386" s="398"/>
      <c r="K386" s="398"/>
      <c r="L386" s="398"/>
      <c r="M386" s="398"/>
      <c r="N386" s="398"/>
      <c r="O386" s="398"/>
      <c r="P386" s="211"/>
      <c r="Q386" s="222"/>
      <c r="R386" s="222"/>
      <c r="S386" s="222"/>
      <c r="T386" s="222"/>
      <c r="U386" s="222"/>
      <c r="V386" s="222"/>
    </row>
    <row r="387" spans="1:22" ht="18" x14ac:dyDescent="0.35">
      <c r="A387" s="222"/>
      <c r="B387" s="209"/>
      <c r="C387" s="210"/>
      <c r="D387" s="210"/>
      <c r="E387" s="398"/>
      <c r="F387" s="398"/>
      <c r="G387" s="398"/>
      <c r="H387" s="398"/>
      <c r="I387" s="398"/>
      <c r="J387" s="398"/>
      <c r="K387" s="398"/>
      <c r="L387" s="398"/>
      <c r="M387" s="398"/>
      <c r="N387" s="398"/>
      <c r="O387" s="398"/>
      <c r="P387" s="211"/>
      <c r="Q387" s="222"/>
      <c r="R387" s="222"/>
      <c r="S387" s="222"/>
      <c r="T387" s="222"/>
      <c r="U387" s="222"/>
      <c r="V387" s="222"/>
    </row>
    <row r="388" spans="1:22" ht="18" x14ac:dyDescent="0.35">
      <c r="A388" s="222"/>
      <c r="B388" s="391" t="s">
        <v>103</v>
      </c>
      <c r="C388" s="398"/>
      <c r="D388" s="398"/>
      <c r="E388" s="398"/>
      <c r="F388" s="398"/>
      <c r="G388" s="398"/>
      <c r="H388" s="398"/>
      <c r="I388" s="398"/>
      <c r="J388" s="398"/>
      <c r="K388" s="398"/>
      <c r="L388" s="398"/>
      <c r="M388" s="398"/>
      <c r="N388" s="398"/>
      <c r="O388" s="398"/>
      <c r="P388" s="211"/>
      <c r="Q388" s="222"/>
      <c r="R388" s="222"/>
      <c r="S388" s="222"/>
      <c r="T388" s="222"/>
      <c r="U388" s="222"/>
      <c r="V388" s="222"/>
    </row>
    <row r="389" spans="1:22" ht="18" x14ac:dyDescent="0.35">
      <c r="A389" s="222"/>
      <c r="B389" s="366" t="s">
        <v>36</v>
      </c>
      <c r="C389" s="367"/>
      <c r="D389" s="367"/>
      <c r="E389" s="398"/>
      <c r="F389" s="226">
        <f>Summary!D14</f>
        <v>2857</v>
      </c>
      <c r="G389" s="226">
        <f>Summary!E14</f>
        <v>2858</v>
      </c>
      <c r="H389" s="226">
        <f>Summary!F14</f>
        <v>2857</v>
      </c>
      <c r="I389" s="226">
        <f>Summary!G14</f>
        <v>2856</v>
      </c>
      <c r="J389" s="226"/>
      <c r="K389" s="226">
        <f>Summary!H14</f>
        <v>2861</v>
      </c>
      <c r="L389" s="226">
        <f>Summary!I14</f>
        <v>2872</v>
      </c>
      <c r="M389" s="226">
        <f>Summary!J14</f>
        <v>2888</v>
      </c>
      <c r="N389" s="226">
        <f>Summary!K14</f>
        <v>2901</v>
      </c>
      <c r="O389" s="226">
        <f>Summary!L14</f>
        <v>2905.3354231059589</v>
      </c>
      <c r="P389" s="226">
        <f>Summary!M14</f>
        <v>2910</v>
      </c>
      <c r="Q389" s="222"/>
      <c r="R389" s="222"/>
      <c r="S389" s="222"/>
      <c r="T389" s="222"/>
      <c r="U389" s="222"/>
      <c r="V389" s="222"/>
    </row>
    <row r="390" spans="1:22" ht="18" x14ac:dyDescent="0.35">
      <c r="A390" s="222"/>
      <c r="B390" s="366" t="s">
        <v>37</v>
      </c>
      <c r="C390" s="367"/>
      <c r="D390" s="367"/>
      <c r="E390" s="398"/>
      <c r="F390" s="226">
        <f>Summary!D15</f>
        <v>30758632</v>
      </c>
      <c r="G390" s="226">
        <f>Summary!E15</f>
        <v>32605812</v>
      </c>
      <c r="H390" s="226">
        <f>Summary!F15</f>
        <v>32890577</v>
      </c>
      <c r="I390" s="226">
        <f>Summary!G15</f>
        <v>30963982.239999995</v>
      </c>
      <c r="J390" s="226"/>
      <c r="K390" s="226">
        <f>Summary!H15</f>
        <v>29475507.110000003</v>
      </c>
      <c r="L390" s="226">
        <f>Summary!I15</f>
        <v>28877055.70999999</v>
      </c>
      <c r="M390" s="226">
        <f>Summary!J15</f>
        <v>31054130.409999982</v>
      </c>
      <c r="N390" s="226">
        <f>Summary!K15</f>
        <v>31777563.039999995</v>
      </c>
      <c r="O390" s="226">
        <f>Summary!L15</f>
        <v>32702467.451466747</v>
      </c>
      <c r="P390" s="226">
        <f>Summary!M15</f>
        <v>32639691.743550409</v>
      </c>
      <c r="Q390" s="222"/>
      <c r="R390" s="222"/>
      <c r="S390" s="222"/>
      <c r="T390" s="222"/>
      <c r="U390" s="222"/>
      <c r="V390" s="222"/>
    </row>
    <row r="391" spans="1:22" ht="18" x14ac:dyDescent="0.35">
      <c r="A391" s="222"/>
      <c r="B391" s="209"/>
      <c r="C391" s="210"/>
      <c r="D391" s="210"/>
      <c r="E391" s="398"/>
      <c r="F391" s="398"/>
      <c r="G391" s="398"/>
      <c r="H391" s="398"/>
      <c r="I391" s="398"/>
      <c r="J391" s="398"/>
      <c r="K391" s="398"/>
      <c r="L391" s="398"/>
      <c r="M391" s="398"/>
      <c r="N391" s="398"/>
      <c r="O391" s="398"/>
      <c r="P391" s="211"/>
      <c r="Q391" s="222"/>
      <c r="R391" s="222"/>
      <c r="S391" s="222"/>
      <c r="T391" s="222"/>
      <c r="U391" s="222"/>
      <c r="V391" s="222"/>
    </row>
    <row r="392" spans="1:22" ht="18" x14ac:dyDescent="0.35">
      <c r="A392" s="222"/>
      <c r="B392" s="391" t="s">
        <v>97</v>
      </c>
      <c r="C392" s="398"/>
      <c r="D392" s="398"/>
      <c r="E392" s="398"/>
      <c r="F392" s="398"/>
      <c r="G392" s="398"/>
      <c r="H392" s="398"/>
      <c r="I392" s="398"/>
      <c r="J392" s="398"/>
      <c r="K392" s="398"/>
      <c r="L392" s="398"/>
      <c r="M392" s="398"/>
      <c r="N392" s="398"/>
      <c r="O392" s="398"/>
      <c r="P392" s="211"/>
      <c r="Q392" s="222"/>
      <c r="R392" s="222"/>
      <c r="S392" s="222"/>
      <c r="T392" s="222"/>
      <c r="U392" s="222"/>
      <c r="V392" s="222"/>
    </row>
    <row r="393" spans="1:22" ht="17.5" x14ac:dyDescent="0.35">
      <c r="A393" s="222"/>
      <c r="B393" s="366" t="s">
        <v>36</v>
      </c>
      <c r="C393" s="367"/>
      <c r="D393" s="367"/>
      <c r="E393" s="226"/>
      <c r="F393" s="203">
        <f>Summary!D18</f>
        <v>402</v>
      </c>
      <c r="G393" s="203">
        <f>Summary!E18</f>
        <v>401</v>
      </c>
      <c r="H393" s="203">
        <f>Summary!F18</f>
        <v>402</v>
      </c>
      <c r="I393" s="203">
        <f>Summary!G18</f>
        <v>406</v>
      </c>
      <c r="J393" s="203"/>
      <c r="K393" s="203">
        <f>Summary!H18</f>
        <v>393</v>
      </c>
      <c r="L393" s="203">
        <f>Summary!I18</f>
        <v>388</v>
      </c>
      <c r="M393" s="203">
        <f>Summary!J18</f>
        <v>388</v>
      </c>
      <c r="N393" s="203">
        <f>Summary!K18</f>
        <v>380</v>
      </c>
      <c r="O393" s="203">
        <f>Summary!L18</f>
        <v>374.55491835736069</v>
      </c>
      <c r="P393" s="203">
        <f>Summary!M18</f>
        <v>369</v>
      </c>
      <c r="Q393" s="222"/>
      <c r="R393" s="222"/>
      <c r="S393" s="222"/>
      <c r="T393" s="222"/>
      <c r="U393" s="222"/>
      <c r="V393" s="222"/>
    </row>
    <row r="394" spans="1:22" ht="17.5" x14ac:dyDescent="0.35">
      <c r="A394" s="222"/>
      <c r="B394" s="366" t="s">
        <v>37</v>
      </c>
      <c r="C394" s="367"/>
      <c r="D394" s="367"/>
      <c r="E394" s="226"/>
      <c r="F394" s="203">
        <f>Summary!D19</f>
        <v>11730167</v>
      </c>
      <c r="G394" s="203">
        <f>Summary!E19</f>
        <v>11192454</v>
      </c>
      <c r="H394" s="203">
        <f>Summary!F19</f>
        <v>10747812</v>
      </c>
      <c r="I394" s="203">
        <f>Summary!G19</f>
        <v>10393804.160000002</v>
      </c>
      <c r="J394" s="203"/>
      <c r="K394" s="203">
        <f>Summary!H19</f>
        <v>10122402.630000001</v>
      </c>
      <c r="L394" s="203">
        <f>Summary!I19</f>
        <v>9915384.9499999993</v>
      </c>
      <c r="M394" s="203">
        <f>Summary!J19</f>
        <v>10221049.75</v>
      </c>
      <c r="N394" s="203">
        <f>Summary!K19</f>
        <v>10266815.940000001</v>
      </c>
      <c r="O394" s="203">
        <f>Summary!L19</f>
        <v>10389918.544066932</v>
      </c>
      <c r="P394" s="203">
        <f>Summary!M19</f>
        <v>10191189.978466244</v>
      </c>
      <c r="Q394" s="222"/>
      <c r="R394" s="222"/>
      <c r="S394" s="222"/>
      <c r="T394" s="222"/>
      <c r="U394" s="222"/>
      <c r="V394" s="222"/>
    </row>
    <row r="395" spans="1:22" ht="18" x14ac:dyDescent="0.35">
      <c r="A395" s="222"/>
      <c r="B395" s="209"/>
      <c r="C395" s="210"/>
      <c r="D395" s="210"/>
      <c r="E395" s="398"/>
      <c r="F395" s="398"/>
      <c r="G395" s="398"/>
      <c r="H395" s="398"/>
      <c r="I395" s="398"/>
      <c r="J395" s="398"/>
      <c r="K395" s="398"/>
      <c r="L395" s="398"/>
      <c r="M395" s="398"/>
      <c r="N395" s="398"/>
      <c r="O395" s="398"/>
      <c r="P395" s="211"/>
      <c r="Q395" s="222"/>
      <c r="R395" s="328"/>
      <c r="S395" s="222"/>
      <c r="T395" s="222"/>
      <c r="U395" s="222"/>
      <c r="V395" s="222"/>
    </row>
    <row r="396" spans="1:22" ht="18" x14ac:dyDescent="0.35">
      <c r="A396" s="222"/>
      <c r="B396" s="391" t="s">
        <v>201</v>
      </c>
      <c r="C396" s="398"/>
      <c r="D396" s="398"/>
      <c r="E396" s="398"/>
      <c r="F396" s="398"/>
      <c r="G396" s="398"/>
      <c r="H396" s="398"/>
      <c r="I396" s="398"/>
      <c r="J396" s="398"/>
      <c r="K396" s="398"/>
      <c r="L396" s="398"/>
      <c r="M396" s="398"/>
      <c r="N396" s="398"/>
      <c r="O396" s="398"/>
      <c r="P396" s="211"/>
      <c r="Q396" s="222"/>
      <c r="R396" s="328"/>
      <c r="S396" s="222"/>
      <c r="T396" s="222"/>
      <c r="U396" s="222"/>
      <c r="V396" s="222"/>
    </row>
    <row r="397" spans="1:22" ht="17.5" x14ac:dyDescent="0.35">
      <c r="A397" s="222"/>
      <c r="B397" s="366" t="s">
        <v>36</v>
      </c>
      <c r="C397" s="367"/>
      <c r="D397" s="367"/>
      <c r="E397" s="226"/>
      <c r="F397" s="203">
        <f>Summary!D22</f>
        <v>29</v>
      </c>
      <c r="G397" s="203">
        <f>Summary!E22</f>
        <v>29</v>
      </c>
      <c r="H397" s="203">
        <f>Summary!F22</f>
        <v>29</v>
      </c>
      <c r="I397" s="203">
        <f>Summary!G22</f>
        <v>29</v>
      </c>
      <c r="J397" s="203"/>
      <c r="K397" s="203">
        <f>Summary!H22</f>
        <v>29</v>
      </c>
      <c r="L397" s="203">
        <f>Summary!I22</f>
        <v>28</v>
      </c>
      <c r="M397" s="203">
        <f>Summary!J22</f>
        <v>27</v>
      </c>
      <c r="N397" s="203">
        <f>Summary!K22</f>
        <v>28</v>
      </c>
      <c r="O397" s="203">
        <f>Summary!L22</f>
        <v>28.958151435622646</v>
      </c>
      <c r="P397" s="203">
        <f>Summary!M22</f>
        <v>30</v>
      </c>
      <c r="Q397" s="222"/>
      <c r="R397" s="328"/>
      <c r="S397" s="222"/>
      <c r="T397" s="222"/>
      <c r="U397" s="222"/>
      <c r="V397" s="222"/>
    </row>
    <row r="398" spans="1:22" ht="17.5" x14ac:dyDescent="0.35">
      <c r="A398" s="222"/>
      <c r="B398" s="366" t="s">
        <v>37</v>
      </c>
      <c r="C398" s="367"/>
      <c r="D398" s="367"/>
      <c r="E398" s="226"/>
      <c r="F398" s="203">
        <f>Summary!D23</f>
        <v>17041535</v>
      </c>
      <c r="G398" s="203">
        <f>Summary!E23</f>
        <v>16850053</v>
      </c>
      <c r="H398" s="203">
        <f>Summary!F23</f>
        <v>17091907</v>
      </c>
      <c r="I398" s="203">
        <f>Summary!G23</f>
        <v>16669657.210000003</v>
      </c>
      <c r="J398" s="203"/>
      <c r="K398" s="203">
        <f>Summary!H23</f>
        <v>16378057.41</v>
      </c>
      <c r="L398" s="203">
        <f>Summary!I23</f>
        <v>15590914.83</v>
      </c>
      <c r="M398" s="203">
        <f>Summary!J23</f>
        <v>15357083.889999999</v>
      </c>
      <c r="N398" s="203">
        <f>Summary!K23</f>
        <v>14949541.120000001</v>
      </c>
      <c r="O398" s="203">
        <f>Summary!L23</f>
        <v>15417467.870985707</v>
      </c>
      <c r="P398" s="203">
        <f>Summary!M23</f>
        <v>15482365.194211636</v>
      </c>
      <c r="Q398" s="222"/>
      <c r="R398" s="328"/>
      <c r="S398" s="222"/>
      <c r="T398" s="222"/>
      <c r="U398" s="222"/>
      <c r="V398" s="222"/>
    </row>
    <row r="399" spans="1:22" ht="17.5" x14ac:dyDescent="0.35">
      <c r="A399" s="222"/>
      <c r="B399" s="366" t="s">
        <v>38</v>
      </c>
      <c r="C399" s="367"/>
      <c r="D399" s="367"/>
      <c r="E399" s="227"/>
      <c r="F399" s="203">
        <f>Summary!D24</f>
        <v>42772</v>
      </c>
      <c r="G399" s="203">
        <f>Summary!E24</f>
        <v>42806</v>
      </c>
      <c r="H399" s="203">
        <f>Summary!F24</f>
        <v>40172</v>
      </c>
      <c r="I399" s="203">
        <f>Summary!G24</f>
        <v>41215</v>
      </c>
      <c r="J399" s="203"/>
      <c r="K399" s="203">
        <f>Summary!H24</f>
        <v>41066.9</v>
      </c>
      <c r="L399" s="203">
        <f>Summary!I24</f>
        <v>39273</v>
      </c>
      <c r="M399" s="203">
        <f>Summary!J24</f>
        <v>38316.800000000003</v>
      </c>
      <c r="N399" s="203">
        <f>Summary!K24</f>
        <v>37231.699999999997</v>
      </c>
      <c r="O399" s="203">
        <f>Summary!L24</f>
        <v>38397.067436687881</v>
      </c>
      <c r="P399" s="203">
        <f>Summary!M24</f>
        <v>38558.693646466199</v>
      </c>
      <c r="Q399" s="222"/>
      <c r="R399" s="328"/>
      <c r="S399" s="222"/>
      <c r="T399" s="222"/>
      <c r="U399" s="222"/>
      <c r="V399" s="222"/>
    </row>
    <row r="400" spans="1:22" ht="18" x14ac:dyDescent="0.35">
      <c r="A400" s="222"/>
      <c r="B400" s="209"/>
      <c r="C400" s="210"/>
      <c r="D400" s="210"/>
      <c r="E400" s="398"/>
      <c r="F400" s="398"/>
      <c r="G400" s="398"/>
      <c r="H400" s="398"/>
      <c r="I400" s="398"/>
      <c r="J400" s="398"/>
      <c r="K400" s="398"/>
      <c r="L400" s="398"/>
      <c r="M400" s="398"/>
      <c r="N400" s="398"/>
      <c r="O400" s="398"/>
      <c r="P400" s="211"/>
      <c r="Q400" s="222"/>
      <c r="R400" s="328"/>
      <c r="S400" s="222"/>
      <c r="T400" s="222"/>
      <c r="U400" s="222"/>
      <c r="V400" s="222"/>
    </row>
    <row r="401" spans="1:22" ht="18" x14ac:dyDescent="0.35">
      <c r="A401" s="222"/>
      <c r="B401" s="391" t="s">
        <v>119</v>
      </c>
      <c r="C401" s="398"/>
      <c r="D401" s="398"/>
      <c r="E401" s="398"/>
      <c r="F401" s="398"/>
      <c r="G401" s="398"/>
      <c r="H401" s="398"/>
      <c r="I401" s="398"/>
      <c r="J401" s="398"/>
      <c r="K401" s="398"/>
      <c r="L401" s="398"/>
      <c r="M401" s="398"/>
      <c r="N401" s="398"/>
      <c r="O401" s="398"/>
      <c r="P401" s="211"/>
      <c r="Q401" s="222"/>
      <c r="R401" s="328"/>
      <c r="S401" s="222"/>
      <c r="T401" s="222"/>
      <c r="U401" s="222"/>
      <c r="V401" s="222"/>
    </row>
    <row r="402" spans="1:22" ht="17.5" x14ac:dyDescent="0.35">
      <c r="A402" s="222"/>
      <c r="B402" s="308" t="s">
        <v>159</v>
      </c>
      <c r="C402" s="367"/>
      <c r="D402" s="367"/>
      <c r="E402" s="227"/>
      <c r="F402" s="228">
        <f>Summary!D32</f>
        <v>1048</v>
      </c>
      <c r="G402" s="228">
        <f>Summary!E32</f>
        <v>1064</v>
      </c>
      <c r="H402" s="228">
        <f>Summary!F32</f>
        <v>1064</v>
      </c>
      <c r="I402" s="228">
        <f>Summary!G32</f>
        <v>1064</v>
      </c>
      <c r="J402" s="228"/>
      <c r="K402" s="228">
        <f>Summary!H32</f>
        <v>1065</v>
      </c>
      <c r="L402" s="228">
        <f>Summary!I32</f>
        <v>1065</v>
      </c>
      <c r="M402" s="228">
        <f>Summary!J32</f>
        <v>1062</v>
      </c>
      <c r="N402" s="228">
        <f>Summary!K32</f>
        <v>1062</v>
      </c>
      <c r="O402" s="228">
        <f>Summary!L32</f>
        <v>799</v>
      </c>
      <c r="P402" s="228">
        <f>Summary!M32</f>
        <v>799</v>
      </c>
      <c r="Q402" s="222"/>
      <c r="R402" s="328"/>
      <c r="S402" s="222"/>
      <c r="T402" s="222"/>
      <c r="U402" s="222"/>
      <c r="V402" s="222"/>
    </row>
    <row r="403" spans="1:22" ht="17.5" x14ac:dyDescent="0.35">
      <c r="A403" s="222"/>
      <c r="B403" s="308" t="s">
        <v>37</v>
      </c>
      <c r="C403" s="367"/>
      <c r="D403" s="367"/>
      <c r="E403" s="227"/>
      <c r="F403" s="228">
        <f>Summary!D33</f>
        <v>618217</v>
      </c>
      <c r="G403" s="228">
        <f>Summary!E33</f>
        <v>617088</v>
      </c>
      <c r="H403" s="228">
        <f>Summary!F33</f>
        <v>368606</v>
      </c>
      <c r="I403" s="228">
        <f>Summary!G33</f>
        <v>370751.73000000004</v>
      </c>
      <c r="J403" s="228"/>
      <c r="K403" s="228">
        <f>Summary!H33</f>
        <v>342284.79999999999</v>
      </c>
      <c r="L403" s="228">
        <f>Summary!I33</f>
        <v>341036.79999999999</v>
      </c>
      <c r="M403" s="228">
        <f>Summary!J33</f>
        <v>341036.79999999999</v>
      </c>
      <c r="N403" s="228">
        <f>Summary!K33</f>
        <v>341036.79999999999</v>
      </c>
      <c r="O403" s="228">
        <f>Summary!L33</f>
        <v>224918.5</v>
      </c>
      <c r="P403" s="228">
        <f>Summary!M33</f>
        <v>224918.5</v>
      </c>
      <c r="Q403" s="222"/>
      <c r="R403" s="328"/>
      <c r="S403" s="222"/>
      <c r="T403" s="222"/>
      <c r="U403" s="222"/>
      <c r="V403" s="222"/>
    </row>
    <row r="404" spans="1:22" ht="17.5" x14ac:dyDescent="0.35">
      <c r="A404" s="222"/>
      <c r="B404" s="308" t="s">
        <v>38</v>
      </c>
      <c r="C404" s="367"/>
      <c r="D404" s="367"/>
      <c r="E404" s="227"/>
      <c r="F404" s="228">
        <f>Summary!D34</f>
        <v>1728</v>
      </c>
      <c r="G404" s="228">
        <f>Summary!E34</f>
        <v>1728</v>
      </c>
      <c r="H404" s="228">
        <f>Summary!F34</f>
        <v>1070</v>
      </c>
      <c r="I404" s="228">
        <f>Summary!G34</f>
        <v>1040</v>
      </c>
      <c r="J404" s="228"/>
      <c r="K404" s="228">
        <f>Summary!H34</f>
        <v>1081.5999999999999</v>
      </c>
      <c r="L404" s="228">
        <f>Summary!I34</f>
        <v>1081.5999999999999</v>
      </c>
      <c r="M404" s="228">
        <f>Summary!J34</f>
        <v>1081.5999999999999</v>
      </c>
      <c r="N404" s="228">
        <f>Summary!K34</f>
        <v>1081.5999999999999</v>
      </c>
      <c r="O404" s="228">
        <f>Summary!L34</f>
        <v>659.99999999999829</v>
      </c>
      <c r="P404" s="228">
        <f>Summary!M34</f>
        <v>659.99999999999829</v>
      </c>
      <c r="Q404" s="222"/>
      <c r="R404" s="328"/>
      <c r="S404" s="222"/>
      <c r="T404" s="222"/>
      <c r="U404" s="222"/>
      <c r="V404" s="222"/>
    </row>
    <row r="405" spans="1:22" ht="18" x14ac:dyDescent="0.35">
      <c r="A405" s="222"/>
      <c r="B405" s="209"/>
      <c r="C405" s="210"/>
      <c r="D405" s="210"/>
      <c r="E405" s="398"/>
      <c r="F405" s="398"/>
      <c r="G405" s="398"/>
      <c r="H405" s="398"/>
      <c r="I405" s="398"/>
      <c r="J405" s="398"/>
      <c r="K405" s="398"/>
      <c r="L405" s="398"/>
      <c r="M405" s="398"/>
      <c r="N405" s="398"/>
      <c r="O405" s="398"/>
      <c r="P405" s="211"/>
      <c r="Q405" s="222"/>
      <c r="R405" s="328"/>
      <c r="S405" s="222"/>
      <c r="T405" s="222"/>
      <c r="U405" s="222"/>
      <c r="V405" s="222"/>
    </row>
    <row r="406" spans="1:22" ht="18" x14ac:dyDescent="0.35">
      <c r="A406" s="222"/>
      <c r="B406" s="391" t="s">
        <v>120</v>
      </c>
      <c r="C406" s="398"/>
      <c r="D406" s="398"/>
      <c r="E406" s="398"/>
      <c r="F406" s="398"/>
      <c r="G406" s="398"/>
      <c r="H406" s="398"/>
      <c r="I406" s="398"/>
      <c r="J406" s="398"/>
      <c r="K406" s="398"/>
      <c r="L406" s="398"/>
      <c r="M406" s="398"/>
      <c r="N406" s="398"/>
      <c r="O406" s="398"/>
      <c r="P406" s="211"/>
      <c r="Q406" s="222"/>
      <c r="R406" s="328"/>
      <c r="S406" s="222"/>
      <c r="T406" s="222"/>
      <c r="U406" s="222"/>
      <c r="V406" s="222"/>
    </row>
    <row r="407" spans="1:22" ht="17.5" x14ac:dyDescent="0.35">
      <c r="A407" s="222"/>
      <c r="B407" s="366" t="s">
        <v>159</v>
      </c>
      <c r="C407" s="367"/>
      <c r="D407" s="367"/>
      <c r="E407" s="226"/>
      <c r="F407" s="203">
        <f>Summary!D27</f>
        <v>26</v>
      </c>
      <c r="G407" s="203">
        <f>Summary!E27</f>
        <v>27</v>
      </c>
      <c r="H407" s="203">
        <f>Summary!F27</f>
        <v>26</v>
      </c>
      <c r="I407" s="203">
        <f>Summary!G27</f>
        <v>26</v>
      </c>
      <c r="J407" s="203"/>
      <c r="K407" s="203">
        <f>Summary!H27</f>
        <v>26</v>
      </c>
      <c r="L407" s="203">
        <f>Summary!I27</f>
        <v>25</v>
      </c>
      <c r="M407" s="203">
        <f>Summary!J27</f>
        <v>25</v>
      </c>
      <c r="N407" s="203">
        <f>Summary!K27</f>
        <v>25</v>
      </c>
      <c r="O407" s="203">
        <f>Summary!L27</f>
        <v>24.90214024902302</v>
      </c>
      <c r="P407" s="203">
        <f>Summary!M27</f>
        <v>25</v>
      </c>
      <c r="Q407" s="307"/>
      <c r="R407" s="328"/>
      <c r="S407" s="222"/>
      <c r="T407" s="222"/>
      <c r="U407" s="222"/>
      <c r="V407" s="222"/>
    </row>
    <row r="408" spans="1:22" ht="17.5" x14ac:dyDescent="0.35">
      <c r="A408" s="222"/>
      <c r="B408" s="366" t="s">
        <v>37</v>
      </c>
      <c r="C408" s="367"/>
      <c r="D408" s="367"/>
      <c r="E408" s="226"/>
      <c r="F408" s="203">
        <f>Summary!D28</f>
        <v>25725</v>
      </c>
      <c r="G408" s="203">
        <f>Summary!E28</f>
        <v>25771</v>
      </c>
      <c r="H408" s="203">
        <f>Summary!F28</f>
        <v>25771</v>
      </c>
      <c r="I408" s="203">
        <f>Summary!G28</f>
        <v>24668.039999999997</v>
      </c>
      <c r="J408" s="203"/>
      <c r="K408" s="203">
        <f>Summary!H28</f>
        <v>24566.399999999994</v>
      </c>
      <c r="L408" s="203">
        <f>Summary!I28</f>
        <v>24235</v>
      </c>
      <c r="M408" s="203">
        <f>Summary!J28</f>
        <v>24235.199999999997</v>
      </c>
      <c r="N408" s="203">
        <f>Summary!K28</f>
        <v>24235.199999999997</v>
      </c>
      <c r="O408" s="203">
        <f>Summary!L28</f>
        <v>24151.492038982986</v>
      </c>
      <c r="P408" s="203">
        <f>Summary!M28</f>
        <v>24257.609003941219</v>
      </c>
      <c r="Q408" s="222"/>
      <c r="R408" s="222"/>
      <c r="S408" s="222"/>
      <c r="T408" s="222"/>
      <c r="U408" s="222"/>
      <c r="V408" s="222"/>
    </row>
    <row r="409" spans="1:22" ht="17.5" x14ac:dyDescent="0.35">
      <c r="A409" s="222"/>
      <c r="B409" s="366" t="s">
        <v>38</v>
      </c>
      <c r="C409" s="367"/>
      <c r="D409" s="367"/>
      <c r="E409" s="227"/>
      <c r="F409" s="203">
        <f>Summary!D29</f>
        <v>72</v>
      </c>
      <c r="G409" s="203">
        <f>Summary!E29</f>
        <v>72</v>
      </c>
      <c r="H409" s="203">
        <f>Summary!F29</f>
        <v>72</v>
      </c>
      <c r="I409" s="203">
        <f>Summary!G29</f>
        <v>72</v>
      </c>
      <c r="J409" s="203"/>
      <c r="K409" s="203">
        <f>Summary!H29</f>
        <v>72</v>
      </c>
      <c r="L409" s="203">
        <f>Summary!I29</f>
        <v>67.319999999999993</v>
      </c>
      <c r="M409" s="203">
        <f>Summary!J29</f>
        <v>67.319999999999993</v>
      </c>
      <c r="N409" s="203">
        <f>Summary!K29</f>
        <v>67.319999999999993</v>
      </c>
      <c r="O409" s="203">
        <f>Summary!L29</f>
        <v>67.382247233170062</v>
      </c>
      <c r="P409" s="203">
        <f>Summary!M29</f>
        <v>67.382247233170062</v>
      </c>
      <c r="Q409" s="222"/>
      <c r="R409" s="222"/>
      <c r="S409" s="222"/>
      <c r="T409" s="222"/>
      <c r="U409" s="222"/>
      <c r="V409" s="222"/>
    </row>
    <row r="410" spans="1:22" ht="18" x14ac:dyDescent="0.35">
      <c r="A410" s="222"/>
      <c r="B410" s="209"/>
      <c r="C410" s="210"/>
      <c r="D410" s="210"/>
      <c r="E410" s="398"/>
      <c r="F410" s="398"/>
      <c r="G410" s="398"/>
      <c r="H410" s="398"/>
      <c r="I410" s="398"/>
      <c r="J410" s="398"/>
      <c r="K410" s="398"/>
      <c r="L410" s="398"/>
      <c r="M410" s="398"/>
      <c r="N410" s="398"/>
      <c r="O410" s="398"/>
      <c r="P410" s="211"/>
      <c r="Q410" s="222"/>
      <c r="R410" s="222"/>
      <c r="S410" s="222"/>
      <c r="T410" s="222"/>
      <c r="U410" s="222"/>
      <c r="V410" s="222"/>
    </row>
    <row r="411" spans="1:22" ht="18" x14ac:dyDescent="0.35">
      <c r="A411" s="222"/>
      <c r="B411" s="391" t="s">
        <v>121</v>
      </c>
      <c r="C411" s="398"/>
      <c r="D411" s="398"/>
      <c r="E411" s="398"/>
      <c r="F411" s="648"/>
      <c r="G411" s="648"/>
      <c r="H411" s="648"/>
      <c r="I411" s="648"/>
      <c r="J411" s="648"/>
      <c r="K411" s="648"/>
      <c r="L411" s="648"/>
      <c r="M411" s="648"/>
      <c r="N411" s="648"/>
      <c r="O411" s="648"/>
      <c r="P411" s="267"/>
      <c r="Q411" s="222"/>
      <c r="R411" s="222"/>
      <c r="S411" s="222"/>
      <c r="T411" s="222"/>
      <c r="U411" s="222"/>
      <c r="V411" s="222"/>
    </row>
    <row r="412" spans="1:22" ht="17.5" x14ac:dyDescent="0.35">
      <c r="A412" s="222"/>
      <c r="B412" s="366" t="s">
        <v>36</v>
      </c>
      <c r="C412" s="367"/>
      <c r="D412" s="367"/>
      <c r="E412" s="387"/>
      <c r="F412" s="226">
        <f>Summary!D37</f>
        <v>21</v>
      </c>
      <c r="G412" s="226">
        <f>Summary!E37</f>
        <v>21</v>
      </c>
      <c r="H412" s="226">
        <f>Summary!F37</f>
        <v>21</v>
      </c>
      <c r="I412" s="226">
        <f>Summary!G37</f>
        <v>21</v>
      </c>
      <c r="J412" s="387"/>
      <c r="K412" s="387">
        <f>Summary!H37</f>
        <v>21</v>
      </c>
      <c r="L412" s="226">
        <f>Summary!I37</f>
        <v>21</v>
      </c>
      <c r="M412" s="226">
        <f>Summary!J37</f>
        <v>21</v>
      </c>
      <c r="N412" s="226">
        <f>Summary!K37</f>
        <v>21</v>
      </c>
      <c r="O412" s="226">
        <f>Summary!L37</f>
        <v>21</v>
      </c>
      <c r="P412" s="226">
        <f>Summary!M37</f>
        <v>21</v>
      </c>
      <c r="Q412" s="222"/>
      <c r="R412" s="222"/>
      <c r="S412" s="222"/>
      <c r="T412" s="222"/>
      <c r="U412" s="222"/>
      <c r="V412" s="222"/>
    </row>
    <row r="413" spans="1:22" ht="17.5" x14ac:dyDescent="0.35">
      <c r="A413" s="222"/>
      <c r="B413" s="366" t="s">
        <v>37</v>
      </c>
      <c r="C413" s="367"/>
      <c r="D413" s="367"/>
      <c r="E413" s="387"/>
      <c r="F413" s="207">
        <f>Summary!D38</f>
        <v>131160</v>
      </c>
      <c r="G413" s="207">
        <f>Summary!E38</f>
        <v>132130</v>
      </c>
      <c r="H413" s="207">
        <f>Summary!F38</f>
        <v>123636</v>
      </c>
      <c r="I413" s="207">
        <f>Summary!G38</f>
        <v>123636</v>
      </c>
      <c r="J413" s="402"/>
      <c r="K413" s="402">
        <f>Summary!H38</f>
        <v>123636</v>
      </c>
      <c r="L413" s="207">
        <f>Summary!I38</f>
        <v>123636</v>
      </c>
      <c r="M413" s="207">
        <f>Summary!J38</f>
        <v>123636</v>
      </c>
      <c r="N413" s="207">
        <f>Summary!K38</f>
        <v>123636</v>
      </c>
      <c r="O413" s="207">
        <f>Summary!L38</f>
        <v>119334.39436616548</v>
      </c>
      <c r="P413" s="207">
        <f>Summary!M38</f>
        <v>115182.4523499588</v>
      </c>
      <c r="Q413" s="222"/>
      <c r="R413" s="222"/>
      <c r="S413" s="222"/>
      <c r="T413" s="222"/>
      <c r="U413" s="222"/>
      <c r="V413" s="222"/>
    </row>
    <row r="414" spans="1:22" ht="18" x14ac:dyDescent="0.35">
      <c r="A414" s="222"/>
      <c r="B414" s="209"/>
      <c r="C414" s="210"/>
      <c r="D414" s="210"/>
      <c r="E414" s="398"/>
      <c r="F414" s="398"/>
      <c r="G414" s="398"/>
      <c r="H414" s="398"/>
      <c r="I414" s="398"/>
      <c r="J414" s="398"/>
      <c r="K414" s="398"/>
      <c r="L414" s="398"/>
      <c r="M414" s="398"/>
      <c r="N414" s="398"/>
      <c r="O414" s="398"/>
      <c r="P414" s="211"/>
      <c r="Q414" s="222"/>
      <c r="R414" s="222"/>
      <c r="S414" s="222"/>
      <c r="T414" s="222"/>
      <c r="U414" s="222"/>
      <c r="V414" s="222"/>
    </row>
    <row r="415" spans="1:22" ht="18" x14ac:dyDescent="0.35">
      <c r="A415" s="222"/>
      <c r="B415" s="391" t="s">
        <v>11</v>
      </c>
      <c r="C415" s="398"/>
      <c r="D415" s="398"/>
      <c r="E415" s="398"/>
      <c r="F415" s="398"/>
      <c r="G415" s="398"/>
      <c r="H415" s="398"/>
      <c r="I415" s="398"/>
      <c r="J415" s="398"/>
      <c r="K415" s="398"/>
      <c r="L415" s="398"/>
      <c r="M415" s="398"/>
      <c r="N415" s="398"/>
      <c r="O415" s="398"/>
      <c r="P415" s="211"/>
      <c r="Q415" s="222"/>
      <c r="R415" s="222"/>
      <c r="S415" s="222"/>
      <c r="T415" s="222"/>
      <c r="U415" s="222"/>
      <c r="V415" s="222"/>
    </row>
    <row r="416" spans="1:22" ht="17.5" x14ac:dyDescent="0.35">
      <c r="A416" s="222"/>
      <c r="B416" s="366" t="s">
        <v>40</v>
      </c>
      <c r="C416" s="367"/>
      <c r="D416" s="367"/>
      <c r="E416" s="226"/>
      <c r="F416" s="226">
        <f t="shared" ref="F416:L416" si="55">F412+F407+F402+F397+F393+F389</f>
        <v>4383</v>
      </c>
      <c r="G416" s="226">
        <f t="shared" si="55"/>
        <v>4400</v>
      </c>
      <c r="H416" s="226">
        <f t="shared" si="55"/>
        <v>4399</v>
      </c>
      <c r="I416" s="226">
        <f t="shared" si="55"/>
        <v>4402</v>
      </c>
      <c r="J416" s="387"/>
      <c r="K416" s="387">
        <f t="shared" si="55"/>
        <v>4395</v>
      </c>
      <c r="L416" s="226">
        <f t="shared" si="55"/>
        <v>4399</v>
      </c>
      <c r="M416" s="226">
        <f t="shared" ref="M416:P416" si="56">M412+M407+M402+M397+M393+M389</f>
        <v>4411</v>
      </c>
      <c r="N416" s="226">
        <f t="shared" si="56"/>
        <v>4417</v>
      </c>
      <c r="O416" s="226">
        <f t="shared" si="56"/>
        <v>4153.7506331479653</v>
      </c>
      <c r="P416" s="226">
        <f t="shared" si="56"/>
        <v>4154</v>
      </c>
      <c r="Q416" s="222"/>
      <c r="R416" s="222"/>
      <c r="S416" s="222"/>
      <c r="T416" s="222"/>
      <c r="U416" s="222"/>
      <c r="V416" s="222"/>
    </row>
    <row r="417" spans="1:22" ht="17.5" x14ac:dyDescent="0.35">
      <c r="A417" s="222"/>
      <c r="B417" s="366" t="s">
        <v>37</v>
      </c>
      <c r="C417" s="367"/>
      <c r="D417" s="367"/>
      <c r="E417" s="207"/>
      <c r="F417" s="207">
        <f t="shared" ref="F417:L417" si="57">F390+F394+F398+F403+F408+F413</f>
        <v>60305436</v>
      </c>
      <c r="G417" s="207">
        <f t="shared" si="57"/>
        <v>61423308</v>
      </c>
      <c r="H417" s="207">
        <f t="shared" si="57"/>
        <v>61248309</v>
      </c>
      <c r="I417" s="207">
        <f t="shared" si="57"/>
        <v>58546499.379999995</v>
      </c>
      <c r="J417" s="402"/>
      <c r="K417" s="402">
        <f t="shared" si="57"/>
        <v>56466454.350000001</v>
      </c>
      <c r="L417" s="207">
        <f t="shared" si="57"/>
        <v>54872263.289999984</v>
      </c>
      <c r="M417" s="207">
        <f t="shared" ref="M417:P417" si="58">M390+M394+M398+M403+M408+M413</f>
        <v>57121172.049999982</v>
      </c>
      <c r="N417" s="207">
        <f t="shared" si="58"/>
        <v>57482828.099999994</v>
      </c>
      <c r="O417" s="207">
        <f t="shared" si="58"/>
        <v>58878258.252924532</v>
      </c>
      <c r="P417" s="207">
        <f t="shared" si="58"/>
        <v>58677605.477582194</v>
      </c>
      <c r="Q417" s="222"/>
      <c r="R417" s="222"/>
      <c r="S417" s="222"/>
      <c r="T417" s="222"/>
      <c r="U417" s="222"/>
      <c r="V417" s="222"/>
    </row>
    <row r="418" spans="1:22" ht="17.5" x14ac:dyDescent="0.35">
      <c r="A418" s="222"/>
      <c r="B418" s="366" t="s">
        <v>39</v>
      </c>
      <c r="C418" s="367"/>
      <c r="D418" s="367"/>
      <c r="E418" s="226"/>
      <c r="F418" s="226">
        <f t="shared" ref="F418:L418" si="59">F399+F404+F409</f>
        <v>44572</v>
      </c>
      <c r="G418" s="226">
        <f t="shared" si="59"/>
        <v>44606</v>
      </c>
      <c r="H418" s="226">
        <f t="shared" si="59"/>
        <v>41314</v>
      </c>
      <c r="I418" s="226">
        <f t="shared" si="59"/>
        <v>42327</v>
      </c>
      <c r="J418" s="387"/>
      <c r="K418" s="387">
        <f t="shared" si="59"/>
        <v>42220.5</v>
      </c>
      <c r="L418" s="226">
        <f t="shared" si="59"/>
        <v>40421.919999999998</v>
      </c>
      <c r="M418" s="226">
        <f t="shared" ref="M418:P418" si="60">M399+M404+M409</f>
        <v>39465.72</v>
      </c>
      <c r="N418" s="226">
        <f t="shared" si="60"/>
        <v>38380.619999999995</v>
      </c>
      <c r="O418" s="226">
        <f t="shared" si="60"/>
        <v>39124.449683921048</v>
      </c>
      <c r="P418" s="226">
        <f t="shared" si="60"/>
        <v>39286.075893699366</v>
      </c>
      <c r="Q418" s="222"/>
      <c r="R418" s="222"/>
      <c r="S418" s="222"/>
      <c r="T418" s="222"/>
      <c r="U418" s="222"/>
      <c r="V418" s="222"/>
    </row>
    <row r="419" spans="1:22" ht="17.5" x14ac:dyDescent="0.35">
      <c r="A419" s="222"/>
      <c r="B419" s="222"/>
      <c r="C419" s="222"/>
      <c r="D419" s="222"/>
      <c r="E419" s="222"/>
      <c r="F419" s="242"/>
      <c r="G419" s="242"/>
      <c r="H419" s="242"/>
      <c r="I419" s="242"/>
      <c r="J419" s="242"/>
      <c r="K419" s="242"/>
      <c r="L419" s="242"/>
      <c r="M419" s="222"/>
      <c r="N419" s="222"/>
      <c r="O419" s="222"/>
      <c r="P419" s="222"/>
      <c r="Q419" s="222"/>
      <c r="R419" s="222"/>
      <c r="S419" s="222"/>
      <c r="T419" s="222"/>
      <c r="U419" s="222"/>
      <c r="V419" s="222"/>
    </row>
    <row r="420" spans="1:22" ht="18" hidden="1" x14ac:dyDescent="0.35">
      <c r="A420" s="222"/>
      <c r="B420" s="754" t="s">
        <v>356</v>
      </c>
      <c r="C420" s="754"/>
      <c r="D420" s="754"/>
      <c r="E420" s="754"/>
      <c r="F420" s="754"/>
      <c r="G420" s="754"/>
      <c r="H420" s="754"/>
      <c r="I420" s="754"/>
      <c r="J420" s="754"/>
      <c r="K420" s="754"/>
      <c r="L420" s="754"/>
      <c r="M420" s="754"/>
      <c r="N420" s="222"/>
      <c r="O420" s="222"/>
      <c r="P420" s="222"/>
      <c r="Q420" s="222"/>
      <c r="R420" s="222"/>
      <c r="S420" s="222"/>
      <c r="T420" s="222"/>
      <c r="U420" s="222"/>
      <c r="V420" s="222"/>
    </row>
    <row r="421" spans="1:22" ht="36" hidden="1" x14ac:dyDescent="0.35">
      <c r="A421" s="222"/>
      <c r="B421" s="757" t="s">
        <v>168</v>
      </c>
      <c r="C421" s="758"/>
      <c r="D421" s="759"/>
      <c r="E421" s="309" t="s">
        <v>166</v>
      </c>
      <c r="F421" s="309" t="s">
        <v>74</v>
      </c>
      <c r="G421" s="309" t="s">
        <v>169</v>
      </c>
      <c r="H421" s="309" t="s">
        <v>339</v>
      </c>
      <c r="I421" s="242"/>
      <c r="J421" s="242"/>
      <c r="K421" s="242"/>
      <c r="L421" s="242"/>
      <c r="M421" s="222"/>
      <c r="N421" s="222"/>
      <c r="O421" s="222"/>
      <c r="P421" s="222"/>
      <c r="Q421" s="222"/>
      <c r="R421" s="222"/>
      <c r="S421" s="222"/>
      <c r="T421" s="222"/>
      <c r="U421" s="222"/>
      <c r="V421" s="222"/>
    </row>
    <row r="422" spans="1:22" ht="17.5" hidden="1" x14ac:dyDescent="0.35">
      <c r="A422" s="222"/>
      <c r="B422" s="310" t="s">
        <v>1</v>
      </c>
      <c r="C422" s="311"/>
      <c r="D422" s="312"/>
      <c r="E422" s="313">
        <f t="shared" ref="E422:F427" si="61">+C5</f>
        <v>999289</v>
      </c>
      <c r="F422" s="313">
        <f t="shared" si="61"/>
        <v>875286.54</v>
      </c>
      <c r="G422" s="314">
        <f>F422-E422</f>
        <v>-124002.45999999996</v>
      </c>
      <c r="H422" s="649">
        <f>G422/E422</f>
        <v>-0.1240906884795089</v>
      </c>
      <c r="I422" s="315"/>
      <c r="J422" s="315"/>
      <c r="K422" s="242"/>
      <c r="L422" s="242"/>
      <c r="M422" s="222"/>
      <c r="N422" s="222"/>
      <c r="O422" s="222"/>
      <c r="P422" s="222"/>
      <c r="Q422" s="222"/>
      <c r="R422" s="222"/>
      <c r="S422" s="222"/>
      <c r="T422" s="222"/>
      <c r="U422" s="222"/>
      <c r="V422" s="222"/>
    </row>
    <row r="423" spans="1:22" ht="17.5" hidden="1" x14ac:dyDescent="0.35">
      <c r="A423" s="222"/>
      <c r="B423" s="310" t="s">
        <v>97</v>
      </c>
      <c r="C423" s="311"/>
      <c r="D423" s="312"/>
      <c r="E423" s="313">
        <f t="shared" si="61"/>
        <v>349008</v>
      </c>
      <c r="F423" s="313">
        <f t="shared" si="61"/>
        <v>345853.98</v>
      </c>
      <c r="G423" s="314">
        <f t="shared" ref="G423:G427" si="62">F423-E423</f>
        <v>-3154.0200000000186</v>
      </c>
      <c r="H423" s="649">
        <f t="shared" ref="H423:H428" si="63">G423/E423</f>
        <v>-9.0370994361161309E-3</v>
      </c>
      <c r="I423" s="315"/>
      <c r="J423" s="315"/>
      <c r="K423" s="242"/>
      <c r="L423" s="242"/>
      <c r="M423" s="222"/>
      <c r="N423" s="222"/>
      <c r="O423" s="222"/>
      <c r="P423" s="222"/>
      <c r="Q423" s="222"/>
      <c r="R423" s="222"/>
      <c r="S423" s="222"/>
      <c r="T423" s="222"/>
      <c r="U423" s="222"/>
      <c r="V423" s="222"/>
    </row>
    <row r="424" spans="1:22" ht="17.5" hidden="1" x14ac:dyDescent="0.35">
      <c r="A424" s="222"/>
      <c r="B424" s="310" t="s">
        <v>201</v>
      </c>
      <c r="C424" s="311"/>
      <c r="D424" s="312"/>
      <c r="E424" s="313">
        <f t="shared" si="61"/>
        <v>222980</v>
      </c>
      <c r="F424" s="313">
        <f t="shared" si="61"/>
        <v>186096.4</v>
      </c>
      <c r="G424" s="314">
        <f t="shared" si="62"/>
        <v>-36883.600000000006</v>
      </c>
      <c r="H424" s="649">
        <f t="shared" si="63"/>
        <v>-0.16541214458695849</v>
      </c>
      <c r="I424" s="315"/>
      <c r="J424" s="315"/>
      <c r="K424" s="242"/>
      <c r="L424" s="242"/>
      <c r="M424" s="222"/>
      <c r="N424" s="222"/>
      <c r="O424" s="222"/>
      <c r="P424" s="222"/>
      <c r="Q424" s="222"/>
      <c r="R424" s="222"/>
      <c r="S424" s="222"/>
      <c r="T424" s="222"/>
      <c r="U424" s="222"/>
      <c r="V424" s="222"/>
    </row>
    <row r="425" spans="1:22" ht="17.5" hidden="1" x14ac:dyDescent="0.35">
      <c r="A425" s="222"/>
      <c r="B425" s="310" t="s">
        <v>120</v>
      </c>
      <c r="C425" s="311"/>
      <c r="D425" s="312"/>
      <c r="E425" s="313">
        <f t="shared" si="61"/>
        <v>1748</v>
      </c>
      <c r="F425" s="313">
        <f t="shared" si="61"/>
        <v>1245.51</v>
      </c>
      <c r="G425" s="314">
        <f t="shared" si="62"/>
        <v>-502.49</v>
      </c>
      <c r="H425" s="649">
        <f t="shared" si="63"/>
        <v>-0.28746567505720827</v>
      </c>
      <c r="I425" s="315"/>
      <c r="J425" s="315"/>
      <c r="K425" s="242"/>
      <c r="L425" s="647"/>
      <c r="M425" s="222"/>
      <c r="N425" s="222"/>
      <c r="O425" s="222"/>
      <c r="P425" s="222"/>
      <c r="Q425" s="222"/>
      <c r="R425" s="222"/>
      <c r="S425" s="307"/>
      <c r="T425" s="222"/>
      <c r="U425" s="222"/>
      <c r="V425" s="222"/>
    </row>
    <row r="426" spans="1:22" ht="17.5" hidden="1" x14ac:dyDescent="0.35">
      <c r="A426" s="222"/>
      <c r="B426" s="310" t="s">
        <v>119</v>
      </c>
      <c r="C426" s="311"/>
      <c r="D426" s="312"/>
      <c r="E426" s="313">
        <f t="shared" si="61"/>
        <v>67007</v>
      </c>
      <c r="F426" s="313">
        <f t="shared" si="61"/>
        <v>49587.6</v>
      </c>
      <c r="G426" s="314">
        <f t="shared" si="62"/>
        <v>-17419.400000000001</v>
      </c>
      <c r="H426" s="649">
        <f t="shared" si="63"/>
        <v>-0.25996388437028967</v>
      </c>
      <c r="I426" s="315"/>
      <c r="J426" s="315"/>
      <c r="K426" s="242"/>
      <c r="L426" s="242"/>
      <c r="M426" s="222"/>
      <c r="N426" s="222"/>
      <c r="O426" s="222"/>
      <c r="P426" s="222"/>
      <c r="Q426" s="222"/>
      <c r="R426" s="222"/>
      <c r="S426" s="307"/>
      <c r="T426" s="222"/>
      <c r="U426" s="222"/>
      <c r="V426" s="222"/>
    </row>
    <row r="427" spans="1:22" ht="17.5" hidden="1" x14ac:dyDescent="0.35">
      <c r="A427" s="222"/>
      <c r="B427" s="310" t="s">
        <v>121</v>
      </c>
      <c r="C427" s="311"/>
      <c r="D427" s="312"/>
      <c r="E427" s="313">
        <f t="shared" si="61"/>
        <v>7784</v>
      </c>
      <c r="F427" s="313">
        <f t="shared" si="61"/>
        <v>3310.17</v>
      </c>
      <c r="G427" s="314">
        <f t="shared" si="62"/>
        <v>-4473.83</v>
      </c>
      <c r="H427" s="649">
        <f t="shared" si="63"/>
        <v>-0.57474691675231238</v>
      </c>
      <c r="I427" s="315"/>
      <c r="J427" s="315"/>
      <c r="K427" s="242"/>
      <c r="L427" s="242"/>
      <c r="M427" s="222"/>
      <c r="N427" s="222"/>
      <c r="O427" s="222"/>
      <c r="P427" s="222"/>
      <c r="Q427" s="222"/>
      <c r="R427" s="222"/>
      <c r="S427" s="307"/>
      <c r="T427" s="222"/>
      <c r="U427" s="222"/>
      <c r="V427" s="222"/>
    </row>
    <row r="428" spans="1:22" ht="18" hidden="1" x14ac:dyDescent="0.4">
      <c r="A428" s="222"/>
      <c r="B428" s="349" t="s">
        <v>24</v>
      </c>
      <c r="C428" s="350"/>
      <c r="D428" s="351"/>
      <c r="E428" s="353">
        <f>SUM(E422:E427)</f>
        <v>1647816</v>
      </c>
      <c r="F428" s="353">
        <f>SUM(F422:F427)</f>
        <v>1461380.2</v>
      </c>
      <c r="G428" s="353">
        <f>F428-E428</f>
        <v>-186435.80000000005</v>
      </c>
      <c r="H428" s="650">
        <f t="shared" si="63"/>
        <v>-0.11314115168198394</v>
      </c>
      <c r="I428" s="242"/>
      <c r="J428" s="242"/>
      <c r="K428" s="242"/>
      <c r="L428" s="242"/>
      <c r="M428" s="222"/>
      <c r="N428" s="222"/>
      <c r="O428" s="222"/>
      <c r="P428" s="222"/>
      <c r="Q428" s="222"/>
      <c r="R428" s="222"/>
      <c r="S428" s="307"/>
      <c r="T428" s="222"/>
      <c r="U428" s="222"/>
      <c r="V428" s="222"/>
    </row>
    <row r="429" spans="1:22" ht="17.5" x14ac:dyDescent="0.35">
      <c r="A429" s="222"/>
      <c r="B429" s="222"/>
      <c r="C429" s="222"/>
      <c r="D429" s="222"/>
      <c r="E429" s="222"/>
      <c r="F429" s="242"/>
      <c r="G429" s="242"/>
      <c r="H429" s="242"/>
      <c r="I429" s="242"/>
      <c r="J429" s="242"/>
      <c r="K429" s="242"/>
      <c r="L429" s="242"/>
      <c r="M429" s="222"/>
      <c r="N429" s="222"/>
      <c r="O429" s="222"/>
      <c r="P429" s="222"/>
      <c r="Q429" s="222"/>
      <c r="R429" s="222"/>
      <c r="S429" s="307"/>
      <c r="T429" s="222"/>
      <c r="U429" s="222"/>
      <c r="V429" s="222"/>
    </row>
    <row r="430" spans="1:22" ht="18" x14ac:dyDescent="0.35">
      <c r="A430" s="222"/>
      <c r="B430" s="754" t="s">
        <v>390</v>
      </c>
      <c r="C430" s="754"/>
      <c r="D430" s="754"/>
      <c r="E430" s="754"/>
      <c r="F430" s="754"/>
      <c r="G430" s="754"/>
      <c r="H430" s="754"/>
      <c r="I430" s="754"/>
      <c r="J430" s="754"/>
      <c r="K430" s="754"/>
      <c r="L430" s="754"/>
      <c r="M430" s="754"/>
      <c r="N430" s="222"/>
      <c r="O430" s="222"/>
      <c r="P430" s="222"/>
      <c r="Q430" s="222"/>
      <c r="R430" s="222"/>
      <c r="S430" s="307"/>
      <c r="T430" s="222"/>
      <c r="U430" s="222"/>
      <c r="V430" s="222"/>
    </row>
    <row r="431" spans="1:22" ht="18" x14ac:dyDescent="0.35">
      <c r="A431" s="222"/>
      <c r="B431" s="757"/>
      <c r="C431" s="758"/>
      <c r="D431" s="759"/>
      <c r="E431" s="757" t="s">
        <v>160</v>
      </c>
      <c r="F431" s="758"/>
      <c r="G431" s="759"/>
      <c r="H431" s="764" t="s">
        <v>50</v>
      </c>
      <c r="I431" s="764"/>
      <c r="J431" s="672"/>
      <c r="K431" s="764" t="s">
        <v>161</v>
      </c>
      <c r="L431" s="764"/>
      <c r="M431" s="316"/>
      <c r="N431" s="222"/>
      <c r="O431" s="222"/>
      <c r="P431" s="222"/>
      <c r="Q431" s="222"/>
      <c r="R431" s="222"/>
      <c r="S431" s="307"/>
      <c r="T431" s="222"/>
      <c r="U431" s="222"/>
      <c r="V431" s="222"/>
    </row>
    <row r="432" spans="1:22" ht="54" x14ac:dyDescent="0.4">
      <c r="A432" s="222"/>
      <c r="B432" s="760" t="s">
        <v>162</v>
      </c>
      <c r="C432" s="761"/>
      <c r="D432" s="762"/>
      <c r="E432" s="347" t="s">
        <v>166</v>
      </c>
      <c r="F432" s="348" t="s">
        <v>74</v>
      </c>
      <c r="G432" s="348" t="s">
        <v>30</v>
      </c>
      <c r="H432" s="347" t="s">
        <v>166</v>
      </c>
      <c r="I432" s="348" t="s">
        <v>74</v>
      </c>
      <c r="J432" s="348" t="s">
        <v>357</v>
      </c>
      <c r="K432" s="347" t="s">
        <v>166</v>
      </c>
      <c r="L432" s="348" t="s">
        <v>74</v>
      </c>
      <c r="M432" s="347" t="s">
        <v>163</v>
      </c>
      <c r="N432" s="222"/>
      <c r="O432" s="222"/>
      <c r="P432" s="222"/>
      <c r="Q432" s="222"/>
      <c r="R432" s="222"/>
      <c r="S432" s="307"/>
      <c r="T432" s="222"/>
      <c r="U432" s="222"/>
      <c r="V432" s="222"/>
    </row>
    <row r="433" spans="1:22" ht="17.5" x14ac:dyDescent="0.35">
      <c r="A433" s="222"/>
      <c r="B433" s="310" t="s">
        <v>1</v>
      </c>
      <c r="C433" s="311"/>
      <c r="D433" s="312"/>
      <c r="E433" s="317">
        <v>2847</v>
      </c>
      <c r="F433" s="317">
        <f>$F$389</f>
        <v>2857</v>
      </c>
      <c r="G433" s="318">
        <f>F433-E433</f>
        <v>10</v>
      </c>
      <c r="H433" s="319">
        <v>32680720.615815494</v>
      </c>
      <c r="I433" s="319">
        <f>$F$390</f>
        <v>30758632</v>
      </c>
      <c r="J433" s="319">
        <f>I433-H433</f>
        <v>-1922088.6158154942</v>
      </c>
      <c r="K433" s="317"/>
      <c r="L433" s="320"/>
      <c r="M433" s="321">
        <f>L433-K433</f>
        <v>0</v>
      </c>
      <c r="N433" s="222"/>
      <c r="O433" s="222"/>
      <c r="P433" s="222"/>
      <c r="Q433" s="222"/>
      <c r="R433" s="222"/>
      <c r="S433" s="307"/>
      <c r="T433" s="222"/>
      <c r="U433" s="222"/>
      <c r="V433" s="222"/>
    </row>
    <row r="434" spans="1:22" ht="17.5" x14ac:dyDescent="0.35">
      <c r="A434" s="222"/>
      <c r="B434" s="310" t="s">
        <v>97</v>
      </c>
      <c r="C434" s="311"/>
      <c r="D434" s="312"/>
      <c r="E434" s="317">
        <v>425</v>
      </c>
      <c r="F434" s="317">
        <f>$F$393</f>
        <v>402</v>
      </c>
      <c r="G434" s="318">
        <f t="shared" ref="G434:G438" si="64">F434-E434</f>
        <v>-23</v>
      </c>
      <c r="H434" s="319">
        <v>11265898.807393868</v>
      </c>
      <c r="I434" s="319">
        <f>$F$394</f>
        <v>11730167</v>
      </c>
      <c r="J434" s="319">
        <f t="shared" ref="J434:J439" si="65">I434-H434</f>
        <v>464268.19260613248</v>
      </c>
      <c r="K434" s="317"/>
      <c r="L434" s="320"/>
      <c r="M434" s="321">
        <f t="shared" ref="M434" si="66">L434-K434</f>
        <v>0</v>
      </c>
      <c r="N434" s="222"/>
      <c r="O434" s="222"/>
      <c r="P434" s="222"/>
      <c r="Q434" s="222"/>
      <c r="R434" s="222"/>
      <c r="S434" s="307"/>
      <c r="T434" s="222"/>
      <c r="U434" s="222"/>
      <c r="V434" s="222"/>
    </row>
    <row r="435" spans="1:22" ht="17.5" x14ac:dyDescent="0.35">
      <c r="A435" s="222"/>
      <c r="B435" s="310" t="s">
        <v>202</v>
      </c>
      <c r="C435" s="311"/>
      <c r="D435" s="312"/>
      <c r="E435" s="317">
        <v>27</v>
      </c>
      <c r="F435" s="317">
        <f>$F$397</f>
        <v>29</v>
      </c>
      <c r="G435" s="318">
        <f t="shared" si="64"/>
        <v>2</v>
      </c>
      <c r="H435" s="319">
        <v>17442771.902540661</v>
      </c>
      <c r="I435" s="319">
        <f>Summary!D23</f>
        <v>17041535</v>
      </c>
      <c r="J435" s="319">
        <f t="shared" si="65"/>
        <v>-401236.90254066139</v>
      </c>
      <c r="K435" s="317">
        <v>44044.813874676875</v>
      </c>
      <c r="L435" s="317">
        <f>$F$399</f>
        <v>42772</v>
      </c>
      <c r="M435" s="321">
        <f>L435-K435</f>
        <v>-1272.8138746768745</v>
      </c>
      <c r="N435" s="222"/>
      <c r="O435" s="222"/>
      <c r="P435" s="222"/>
      <c r="Q435" s="222"/>
      <c r="R435" s="222"/>
      <c r="S435" s="307"/>
      <c r="T435" s="222"/>
      <c r="U435" s="222"/>
      <c r="V435" s="222"/>
    </row>
    <row r="436" spans="1:22" ht="17.5" x14ac:dyDescent="0.35">
      <c r="A436" s="222"/>
      <c r="B436" s="310" t="s">
        <v>120</v>
      </c>
      <c r="C436" s="311"/>
      <c r="D436" s="312"/>
      <c r="E436" s="317">
        <v>26</v>
      </c>
      <c r="F436" s="317">
        <f>$F$407</f>
        <v>26</v>
      </c>
      <c r="G436" s="318">
        <f>F436-E436</f>
        <v>0</v>
      </c>
      <c r="H436" s="319">
        <v>24161.476831425207</v>
      </c>
      <c r="I436" s="319">
        <f>Summary!D28</f>
        <v>25725</v>
      </c>
      <c r="J436" s="319">
        <f t="shared" si="65"/>
        <v>1563.5231685747931</v>
      </c>
      <c r="K436" s="317">
        <v>66.043645360305987</v>
      </c>
      <c r="L436" s="317">
        <f>$F$409</f>
        <v>72</v>
      </c>
      <c r="M436" s="321">
        <f>L436-K436</f>
        <v>5.9563546396940126</v>
      </c>
      <c r="N436" s="222"/>
      <c r="O436" s="222"/>
      <c r="P436" s="222"/>
      <c r="Q436" s="222"/>
      <c r="R436" s="222"/>
      <c r="S436" s="307"/>
      <c r="T436" s="222"/>
      <c r="U436" s="222"/>
      <c r="V436" s="222"/>
    </row>
    <row r="437" spans="1:22" ht="17.5" x14ac:dyDescent="0.35">
      <c r="A437" s="222"/>
      <c r="B437" s="310" t="s">
        <v>119</v>
      </c>
      <c r="C437" s="311"/>
      <c r="D437" s="312"/>
      <c r="E437" s="317">
        <v>1053</v>
      </c>
      <c r="F437" s="317">
        <f>$F$402</f>
        <v>1048</v>
      </c>
      <c r="G437" s="318">
        <f t="shared" si="64"/>
        <v>-5</v>
      </c>
      <c r="H437" s="319">
        <v>623166.1401328271</v>
      </c>
      <c r="I437" s="319">
        <f>Summary!D33</f>
        <v>618217</v>
      </c>
      <c r="J437" s="319">
        <f t="shared" si="65"/>
        <v>-4949.1401328271022</v>
      </c>
      <c r="K437" s="317">
        <v>1766.1512878456372</v>
      </c>
      <c r="L437" s="317">
        <f>$F$404</f>
        <v>1728</v>
      </c>
      <c r="M437" s="321">
        <f>L437-K437</f>
        <v>-38.151287845637171</v>
      </c>
      <c r="N437" s="222"/>
      <c r="O437" s="222"/>
      <c r="P437" s="222"/>
      <c r="Q437" s="222"/>
      <c r="R437" s="222"/>
      <c r="S437" s="307"/>
      <c r="T437" s="222"/>
      <c r="U437" s="222"/>
      <c r="V437" s="222"/>
    </row>
    <row r="438" spans="1:22" ht="17.5" x14ac:dyDescent="0.35">
      <c r="A438" s="222"/>
      <c r="B438" s="310" t="s">
        <v>121</v>
      </c>
      <c r="C438" s="311"/>
      <c r="D438" s="312"/>
      <c r="E438" s="317">
        <v>32</v>
      </c>
      <c r="F438" s="317">
        <f>$F$412</f>
        <v>21</v>
      </c>
      <c r="G438" s="318">
        <f t="shared" si="64"/>
        <v>-11</v>
      </c>
      <c r="H438" s="319">
        <v>213280.13985039626</v>
      </c>
      <c r="I438" s="319">
        <f>$F$413</f>
        <v>131160</v>
      </c>
      <c r="J438" s="319">
        <f t="shared" si="65"/>
        <v>-82120.139850396255</v>
      </c>
      <c r="K438" s="317"/>
      <c r="L438" s="320"/>
      <c r="M438" s="321">
        <f t="shared" ref="M438" si="67">L438-K438</f>
        <v>0</v>
      </c>
      <c r="N438" s="222"/>
      <c r="O438" s="222"/>
      <c r="P438" s="222"/>
      <c r="Q438" s="222"/>
      <c r="R438" s="222"/>
      <c r="S438" s="307"/>
      <c r="T438" s="222"/>
      <c r="U438" s="222"/>
      <c r="V438" s="222"/>
    </row>
    <row r="439" spans="1:22" ht="18" x14ac:dyDescent="0.4">
      <c r="A439" s="222"/>
      <c r="B439" s="349" t="s">
        <v>24</v>
      </c>
      <c r="C439" s="350"/>
      <c r="D439" s="351"/>
      <c r="E439" s="352">
        <f t="shared" ref="E439:M439" si="68">SUM(E433:E438)</f>
        <v>4410</v>
      </c>
      <c r="F439" s="352">
        <f t="shared" si="68"/>
        <v>4383</v>
      </c>
      <c r="G439" s="352">
        <f t="shared" si="68"/>
        <v>-27</v>
      </c>
      <c r="H439" s="352">
        <f t="shared" si="68"/>
        <v>62249999.082564674</v>
      </c>
      <c r="I439" s="352">
        <f t="shared" si="68"/>
        <v>60305436</v>
      </c>
      <c r="J439" s="682">
        <f t="shared" si="65"/>
        <v>-1944563.0825646743</v>
      </c>
      <c r="K439" s="352">
        <f t="shared" si="68"/>
        <v>45877.008807882812</v>
      </c>
      <c r="L439" s="352">
        <f t="shared" si="68"/>
        <v>44572</v>
      </c>
      <c r="M439" s="352">
        <f t="shared" si="68"/>
        <v>-1305.0088078828178</v>
      </c>
      <c r="N439" s="222"/>
      <c r="O439" s="222"/>
      <c r="P439" s="222"/>
      <c r="Q439" s="222"/>
      <c r="R439" s="222"/>
      <c r="S439" s="307"/>
      <c r="T439" s="222"/>
      <c r="U439" s="222"/>
      <c r="V439" s="222"/>
    </row>
    <row r="440" spans="1:22" ht="18" x14ac:dyDescent="0.4">
      <c r="A440" s="222"/>
      <c r="B440" s="349" t="s">
        <v>358</v>
      </c>
      <c r="C440" s="350"/>
      <c r="D440" s="351"/>
      <c r="E440" s="352"/>
      <c r="F440" s="352"/>
      <c r="G440" s="683">
        <f>G439/E439</f>
        <v>-6.1224489795918364E-3</v>
      </c>
      <c r="H440" s="352"/>
      <c r="I440" s="352"/>
      <c r="J440" s="684">
        <f>J439/H439</f>
        <v>-3.1237961626080061E-2</v>
      </c>
      <c r="K440" s="352"/>
      <c r="L440" s="352"/>
      <c r="M440" s="683">
        <f>M439/K439</f>
        <v>-2.8445812876505251E-2</v>
      </c>
      <c r="N440" s="222"/>
      <c r="O440" s="222"/>
      <c r="P440" s="222"/>
      <c r="Q440" s="222"/>
      <c r="R440" s="222"/>
      <c r="S440" s="307"/>
      <c r="T440" s="222"/>
      <c r="U440" s="222"/>
      <c r="V440" s="222"/>
    </row>
    <row r="441" spans="1:22" ht="18" x14ac:dyDescent="0.4">
      <c r="A441" s="222"/>
      <c r="B441" s="703"/>
      <c r="C441" s="703"/>
      <c r="D441" s="703"/>
      <c r="E441" s="704"/>
      <c r="F441" s="704"/>
      <c r="G441" s="705"/>
      <c r="H441" s="704"/>
      <c r="I441" s="704"/>
      <c r="J441" s="706"/>
      <c r="K441" s="704"/>
      <c r="L441" s="704"/>
      <c r="M441" s="705"/>
      <c r="N441" s="222"/>
      <c r="O441" s="222"/>
      <c r="P441" s="222"/>
      <c r="Q441" s="222"/>
      <c r="R441" s="222"/>
      <c r="S441" s="307"/>
      <c r="T441" s="222"/>
      <c r="U441" s="222"/>
      <c r="V441" s="222"/>
    </row>
    <row r="442" spans="1:22" ht="18" customHeight="1" x14ac:dyDescent="0.35">
      <c r="A442" s="222"/>
      <c r="B442" s="754" t="s">
        <v>396</v>
      </c>
      <c r="C442" s="754"/>
      <c r="D442" s="754"/>
      <c r="E442" s="754"/>
      <c r="F442" s="754"/>
      <c r="G442" s="754"/>
      <c r="H442" s="754"/>
      <c r="I442" s="754"/>
      <c r="J442" s="754"/>
      <c r="K442" s="754"/>
      <c r="L442" s="754"/>
      <c r="M442" s="754"/>
      <c r="N442" s="222"/>
      <c r="O442" s="222"/>
      <c r="P442" s="222"/>
      <c r="Q442" s="222"/>
      <c r="R442" s="222"/>
      <c r="S442" s="307"/>
      <c r="T442" s="222"/>
      <c r="U442" s="222"/>
      <c r="V442" s="222"/>
    </row>
    <row r="443" spans="1:22" ht="31.5" customHeight="1" x14ac:dyDescent="0.4">
      <c r="A443" s="222"/>
      <c r="B443" s="755" t="s">
        <v>391</v>
      </c>
      <c r="C443" s="703"/>
      <c r="D443" s="755" t="s">
        <v>392</v>
      </c>
      <c r="E443" s="755" t="s">
        <v>393</v>
      </c>
      <c r="F443" s="757" t="s">
        <v>394</v>
      </c>
      <c r="G443" s="759"/>
      <c r="H443" s="779" t="s">
        <v>395</v>
      </c>
      <c r="I443" s="780"/>
      <c r="J443" s="706"/>
      <c r="K443" s="704"/>
      <c r="L443" s="704"/>
      <c r="M443" s="705"/>
      <c r="N443" s="222"/>
      <c r="O443" s="222"/>
      <c r="P443" s="222"/>
      <c r="Q443" s="222"/>
      <c r="R443" s="222"/>
      <c r="S443" s="307"/>
      <c r="T443" s="222"/>
      <c r="U443" s="222"/>
      <c r="V443" s="222"/>
    </row>
    <row r="444" spans="1:22" ht="18.75" customHeight="1" x14ac:dyDescent="0.4">
      <c r="A444" s="222"/>
      <c r="B444" s="756"/>
      <c r="C444" s="703"/>
      <c r="D444" s="756"/>
      <c r="E444" s="756"/>
      <c r="F444" s="699" t="s">
        <v>15</v>
      </c>
      <c r="G444" s="699" t="s">
        <v>169</v>
      </c>
      <c r="H444" s="699" t="s">
        <v>15</v>
      </c>
      <c r="I444" s="699" t="s">
        <v>169</v>
      </c>
      <c r="J444" s="706"/>
      <c r="K444" s="704"/>
      <c r="L444" s="704"/>
      <c r="M444" s="705"/>
      <c r="N444" s="222"/>
      <c r="O444" s="222"/>
      <c r="P444" s="222"/>
      <c r="Q444" s="222"/>
      <c r="R444" s="222"/>
      <c r="S444" s="307"/>
      <c r="T444" s="222"/>
      <c r="U444" s="222"/>
      <c r="V444" s="222"/>
    </row>
    <row r="445" spans="1:22" ht="18" x14ac:dyDescent="0.4">
      <c r="A445" s="222"/>
      <c r="B445" s="310" t="str">
        <f>B433</f>
        <v xml:space="preserve">Residential </v>
      </c>
      <c r="C445" s="311"/>
      <c r="D445" s="317" t="s">
        <v>50</v>
      </c>
      <c r="E445" s="317">
        <f t="shared" ref="E445:E450" si="69">(H433/E433)*$I$160</f>
        <v>11705.607146269314</v>
      </c>
      <c r="F445" s="319">
        <f t="shared" ref="F445:F450" si="70">I433/F433</f>
        <v>10766.059502975149</v>
      </c>
      <c r="G445" s="709">
        <f>(F445-E445)/E445</f>
        <v>-8.026475103374775E-2</v>
      </c>
      <c r="H445" s="319">
        <f>F445*$I$160</f>
        <v>10978.589919601844</v>
      </c>
      <c r="I445" s="709">
        <f>(H445-E445)/E445</f>
        <v>-6.2108459440241674E-2</v>
      </c>
      <c r="J445" s="706"/>
      <c r="K445" s="704"/>
      <c r="L445" s="704"/>
      <c r="M445" s="705"/>
      <c r="N445" s="222"/>
      <c r="O445" s="222"/>
      <c r="P445" s="222"/>
      <c r="Q445" s="222"/>
      <c r="R445" s="222"/>
      <c r="S445" s="307"/>
      <c r="T445" s="222"/>
      <c r="U445" s="222"/>
      <c r="V445" s="222"/>
    </row>
    <row r="446" spans="1:22" ht="18" x14ac:dyDescent="0.4">
      <c r="A446" s="222"/>
      <c r="B446" s="310" t="str">
        <f t="shared" ref="B446:B451" si="71">B434</f>
        <v>General Service &lt; 50 kW</v>
      </c>
      <c r="C446" s="311"/>
      <c r="D446" s="317" t="s">
        <v>50</v>
      </c>
      <c r="E446" s="317">
        <f t="shared" si="69"/>
        <v>27031.285745820947</v>
      </c>
      <c r="F446" s="319">
        <f t="shared" si="70"/>
        <v>29179.519900497511</v>
      </c>
      <c r="G446" s="709">
        <f t="shared" ref="G446:G450" si="72">(F446-E446)/E446</f>
        <v>7.9472141091501053E-2</v>
      </c>
      <c r="H446" s="319">
        <f t="shared" ref="H446:H450" si="73">F446*$I$160</f>
        <v>29755.546395586625</v>
      </c>
      <c r="I446" s="709">
        <f t="shared" ref="I446:I450" si="74">(H446-E446)/E446</f>
        <v>0.10078176359727359</v>
      </c>
      <c r="J446" s="706"/>
      <c r="K446" s="704"/>
      <c r="L446" s="704"/>
      <c r="M446" s="705"/>
      <c r="N446" s="222"/>
      <c r="O446" s="222"/>
      <c r="P446" s="222"/>
      <c r="Q446" s="222"/>
      <c r="R446" s="222"/>
      <c r="S446" s="307"/>
      <c r="T446" s="222"/>
      <c r="U446" s="222"/>
      <c r="V446" s="222"/>
    </row>
    <row r="447" spans="1:22" ht="18" x14ac:dyDescent="0.4">
      <c r="A447" s="222"/>
      <c r="B447" s="310" t="str">
        <f t="shared" si="71"/>
        <v>General Service 50 to 2,999 kW</v>
      </c>
      <c r="C447" s="311"/>
      <c r="D447" s="317" t="s">
        <v>51</v>
      </c>
      <c r="E447" s="317">
        <f t="shared" si="69"/>
        <v>658781.69750253146</v>
      </c>
      <c r="F447" s="319">
        <f t="shared" si="70"/>
        <v>587639.13793103443</v>
      </c>
      <c r="G447" s="709">
        <f t="shared" si="72"/>
        <v>-0.10799109908669503</v>
      </c>
      <c r="H447" s="319">
        <f t="shared" si="73"/>
        <v>599239.59311857272</v>
      </c>
      <c r="I447" s="709">
        <f t="shared" si="74"/>
        <v>-9.0382147241924463E-2</v>
      </c>
      <c r="J447" s="706"/>
      <c r="K447" s="704"/>
      <c r="L447" s="704"/>
      <c r="M447" s="705"/>
      <c r="N447" s="222"/>
      <c r="O447" s="222"/>
      <c r="P447" s="222"/>
      <c r="Q447" s="222"/>
      <c r="R447" s="222"/>
      <c r="S447" s="307"/>
      <c r="T447" s="222"/>
      <c r="U447" s="222"/>
      <c r="V447" s="222"/>
    </row>
    <row r="448" spans="1:22" ht="18" x14ac:dyDescent="0.4">
      <c r="A448" s="222"/>
      <c r="B448" s="310" t="str">
        <f t="shared" si="71"/>
        <v>Sentinel Lighting</v>
      </c>
      <c r="C448" s="311"/>
      <c r="D448" s="317" t="s">
        <v>51</v>
      </c>
      <c r="E448" s="317">
        <f t="shared" si="69"/>
        <v>947.6324323136314</v>
      </c>
      <c r="F448" s="319">
        <f t="shared" si="70"/>
        <v>989.42307692307691</v>
      </c>
      <c r="G448" s="709">
        <f t="shared" si="72"/>
        <v>4.4100057347566959E-2</v>
      </c>
      <c r="H448" s="319">
        <f t="shared" si="73"/>
        <v>1008.9550606261594</v>
      </c>
      <c r="I448" s="709">
        <f t="shared" si="74"/>
        <v>6.4711407315186154E-2</v>
      </c>
      <c r="J448" s="706"/>
      <c r="K448" s="704"/>
      <c r="L448" s="704"/>
      <c r="M448" s="705"/>
      <c r="N448" s="222"/>
      <c r="O448" s="222"/>
      <c r="P448" s="222"/>
      <c r="Q448" s="222"/>
      <c r="R448" s="222"/>
      <c r="S448" s="307"/>
      <c r="T448" s="222"/>
      <c r="U448" s="222"/>
      <c r="V448" s="222"/>
    </row>
    <row r="449" spans="1:22" ht="18" x14ac:dyDescent="0.4">
      <c r="A449" s="222"/>
      <c r="B449" s="310" t="str">
        <f t="shared" si="71"/>
        <v>Street Lighting</v>
      </c>
      <c r="C449" s="311"/>
      <c r="D449" s="317" t="s">
        <v>51</v>
      </c>
      <c r="E449" s="317">
        <f t="shared" si="69"/>
        <v>603.48331060757664</v>
      </c>
      <c r="F449" s="319">
        <f t="shared" si="70"/>
        <v>589.90171755725191</v>
      </c>
      <c r="G449" s="709">
        <f t="shared" si="72"/>
        <v>-2.2505333306816741E-2</v>
      </c>
      <c r="H449" s="319">
        <f t="shared" si="73"/>
        <v>601.54683783237203</v>
      </c>
      <c r="I449" s="709">
        <f t="shared" si="74"/>
        <v>-3.2088257308308973E-3</v>
      </c>
      <c r="J449" s="706"/>
      <c r="K449" s="704"/>
      <c r="L449" s="704"/>
      <c r="M449" s="705"/>
      <c r="N449" s="222"/>
      <c r="O449" s="222"/>
      <c r="P449" s="222"/>
      <c r="Q449" s="222"/>
      <c r="R449" s="222"/>
      <c r="S449" s="307"/>
      <c r="T449" s="222"/>
      <c r="U449" s="222"/>
      <c r="V449" s="222"/>
    </row>
    <row r="450" spans="1:22" ht="18" x14ac:dyDescent="0.4">
      <c r="A450" s="222"/>
      <c r="B450" s="310" t="str">
        <f>B438</f>
        <v xml:space="preserve">Unmetered Scattered Load </v>
      </c>
      <c r="C450" s="311"/>
      <c r="D450" s="317" t="s">
        <v>50</v>
      </c>
      <c r="E450" s="317">
        <f t="shared" si="69"/>
        <v>6796.5767580914971</v>
      </c>
      <c r="F450" s="319">
        <f t="shared" si="70"/>
        <v>6245.7142857142853</v>
      </c>
      <c r="G450" s="709">
        <f t="shared" si="72"/>
        <v>-8.1049989131866423E-2</v>
      </c>
      <c r="H450" s="319">
        <f t="shared" si="73"/>
        <v>6369.0095599887154</v>
      </c>
      <c r="I450" s="709">
        <f t="shared" si="74"/>
        <v>-6.2909198751231951E-2</v>
      </c>
      <c r="J450" s="706"/>
      <c r="K450" s="704"/>
      <c r="L450" s="704"/>
      <c r="M450" s="705"/>
      <c r="N450" s="222"/>
      <c r="O450" s="222"/>
      <c r="P450" s="222"/>
      <c r="Q450" s="222"/>
      <c r="R450" s="222"/>
      <c r="S450" s="307"/>
      <c r="T450" s="222"/>
      <c r="U450" s="222"/>
      <c r="V450" s="222"/>
    </row>
    <row r="451" spans="1:22" ht="18" x14ac:dyDescent="0.4">
      <c r="A451" s="222"/>
      <c r="B451" s="349" t="str">
        <f t="shared" si="71"/>
        <v xml:space="preserve">Total </v>
      </c>
      <c r="C451" s="350"/>
      <c r="D451" s="352"/>
      <c r="E451" s="317"/>
      <c r="F451" s="318"/>
      <c r="G451" s="709"/>
      <c r="H451" s="319"/>
      <c r="I451" s="709"/>
      <c r="J451" s="706"/>
      <c r="K451" s="704"/>
      <c r="L451" s="704"/>
      <c r="M451" s="705"/>
      <c r="N451" s="222"/>
      <c r="O451" s="222"/>
      <c r="P451" s="222"/>
      <c r="Q451" s="222"/>
      <c r="R451" s="222"/>
      <c r="S451" s="307"/>
      <c r="T451" s="222"/>
      <c r="U451" s="222"/>
      <c r="V451" s="222"/>
    </row>
    <row r="452" spans="1:22" ht="18" x14ac:dyDescent="0.4">
      <c r="A452" s="222"/>
      <c r="B452" s="703"/>
      <c r="C452" s="703"/>
      <c r="D452" s="703"/>
      <c r="E452" s="704"/>
      <c r="F452" s="704"/>
      <c r="G452" s="705"/>
      <c r="H452" s="704"/>
      <c r="I452" s="704"/>
      <c r="J452" s="706"/>
      <c r="K452" s="704"/>
      <c r="L452" s="704"/>
      <c r="M452" s="705"/>
      <c r="N452" s="222"/>
      <c r="O452" s="222"/>
      <c r="P452" s="222"/>
      <c r="Q452" s="222"/>
      <c r="R452" s="222"/>
      <c r="S452" s="307"/>
      <c r="T452" s="222"/>
      <c r="U452" s="222"/>
      <c r="V452" s="222"/>
    </row>
    <row r="453" spans="1:22" ht="17.5" hidden="1" x14ac:dyDescent="0.35">
      <c r="A453" s="222"/>
      <c r="B453" s="222"/>
      <c r="C453" s="222"/>
      <c r="D453" s="222"/>
      <c r="E453" s="222"/>
      <c r="F453" s="222"/>
      <c r="G453" s="222"/>
      <c r="H453" s="222"/>
      <c r="I453" s="222"/>
      <c r="J453" s="222"/>
      <c r="K453" s="222"/>
      <c r="L453" s="222"/>
      <c r="M453" s="222"/>
      <c r="N453" s="222"/>
      <c r="O453" s="222"/>
      <c r="P453" s="222"/>
      <c r="Q453" s="222"/>
      <c r="R453" s="222"/>
      <c r="S453" s="307"/>
      <c r="T453" s="222"/>
      <c r="U453" s="222"/>
      <c r="V453" s="222"/>
    </row>
    <row r="454" spans="1:22" ht="18" hidden="1" x14ac:dyDescent="0.35">
      <c r="A454" s="222"/>
      <c r="B454" s="754" t="s">
        <v>360</v>
      </c>
      <c r="C454" s="754"/>
      <c r="D454" s="754"/>
      <c r="E454" s="754"/>
      <c r="F454" s="754"/>
      <c r="G454" s="754"/>
      <c r="H454" s="754"/>
      <c r="I454" s="754"/>
      <c r="J454" s="754"/>
      <c r="K454" s="754"/>
      <c r="L454" s="754"/>
      <c r="M454" s="754"/>
      <c r="N454" s="222"/>
      <c r="O454" s="222"/>
      <c r="P454" s="222"/>
      <c r="Q454" s="222"/>
      <c r="R454" s="222"/>
      <c r="S454" s="307"/>
      <c r="T454" s="222"/>
      <c r="U454" s="222"/>
      <c r="V454" s="222"/>
    </row>
    <row r="455" spans="1:22" ht="18" hidden="1" x14ac:dyDescent="0.35">
      <c r="A455" s="222"/>
      <c r="B455" s="757" t="s">
        <v>168</v>
      </c>
      <c r="C455" s="758"/>
      <c r="D455" s="759"/>
      <c r="E455" s="309" t="s">
        <v>74</v>
      </c>
      <c r="F455" s="309" t="s">
        <v>100</v>
      </c>
      <c r="G455" s="309" t="s">
        <v>169</v>
      </c>
      <c r="H455" s="242"/>
      <c r="I455" s="242"/>
      <c r="J455" s="242"/>
      <c r="K455" s="242"/>
      <c r="L455" s="242"/>
      <c r="M455" s="222"/>
      <c r="N455" s="222"/>
      <c r="O455" s="222"/>
      <c r="P455" s="222"/>
      <c r="Q455" s="222"/>
      <c r="R455" s="222"/>
      <c r="S455" s="307"/>
      <c r="T455" s="222"/>
      <c r="U455" s="222"/>
      <c r="V455" s="222"/>
    </row>
    <row r="456" spans="1:22" ht="17.5" hidden="1" x14ac:dyDescent="0.35">
      <c r="A456" s="222"/>
      <c r="B456" s="310" t="s">
        <v>1</v>
      </c>
      <c r="C456" s="311"/>
      <c r="D456" s="312"/>
      <c r="E456" s="313">
        <f t="shared" ref="E456:E461" si="75">+F422</f>
        <v>875286.54</v>
      </c>
      <c r="F456" s="313">
        <f t="shared" ref="F456:F461" si="76">+E5</f>
        <v>1154071.05</v>
      </c>
      <c r="G456" s="314">
        <f>F456-E456</f>
        <v>278784.51</v>
      </c>
      <c r="H456" s="242"/>
      <c r="I456" s="315"/>
      <c r="J456" s="315"/>
      <c r="K456" s="242"/>
      <c r="L456" s="242"/>
      <c r="M456" s="222"/>
      <c r="N456" s="222"/>
      <c r="O456" s="222"/>
      <c r="P456" s="222"/>
      <c r="Q456" s="222"/>
      <c r="R456" s="222"/>
      <c r="S456" s="307"/>
      <c r="T456" s="222"/>
      <c r="U456" s="222"/>
      <c r="V456" s="222"/>
    </row>
    <row r="457" spans="1:22" ht="17.5" hidden="1" x14ac:dyDescent="0.35">
      <c r="A457" s="222"/>
      <c r="B457" s="310" t="s">
        <v>97</v>
      </c>
      <c r="C457" s="311"/>
      <c r="D457" s="312"/>
      <c r="E457" s="313">
        <f t="shared" si="75"/>
        <v>345853.98</v>
      </c>
      <c r="F457" s="313">
        <f t="shared" si="76"/>
        <v>420112.08</v>
      </c>
      <c r="G457" s="314">
        <f t="shared" ref="G457:G461" si="77">F457-E457</f>
        <v>74258.100000000035</v>
      </c>
      <c r="H457" s="242"/>
      <c r="I457" s="315"/>
      <c r="J457" s="315"/>
      <c r="K457" s="242"/>
      <c r="L457" s="242"/>
      <c r="M457" s="222"/>
      <c r="N457" s="222"/>
      <c r="O457" s="222"/>
      <c r="P457" s="222"/>
      <c r="Q457" s="222"/>
      <c r="R457" s="222"/>
      <c r="S457" s="307"/>
      <c r="T457" s="222"/>
      <c r="U457" s="222"/>
      <c r="V457" s="222"/>
    </row>
    <row r="458" spans="1:22" ht="17.5" hidden="1" x14ac:dyDescent="0.35">
      <c r="A458" s="222"/>
      <c r="B458" s="310" t="s">
        <v>201</v>
      </c>
      <c r="C458" s="311"/>
      <c r="D458" s="312"/>
      <c r="E458" s="313">
        <f t="shared" si="75"/>
        <v>186096.4</v>
      </c>
      <c r="F458" s="313">
        <f t="shared" si="76"/>
        <v>238049.09</v>
      </c>
      <c r="G458" s="314">
        <f t="shared" si="77"/>
        <v>51952.69</v>
      </c>
      <c r="H458" s="242"/>
      <c r="I458" s="315"/>
      <c r="J458" s="315"/>
      <c r="K458" s="242"/>
      <c r="L458" s="242"/>
      <c r="M458" s="222"/>
      <c r="N458" s="222"/>
      <c r="O458" s="222"/>
      <c r="P458" s="222"/>
      <c r="Q458" s="222"/>
      <c r="R458" s="222"/>
      <c r="S458" s="307"/>
      <c r="T458" s="222"/>
      <c r="U458" s="222"/>
      <c r="V458" s="222"/>
    </row>
    <row r="459" spans="1:22" ht="17.5" hidden="1" x14ac:dyDescent="0.35">
      <c r="A459" s="222"/>
      <c r="B459" s="310" t="s">
        <v>120</v>
      </c>
      <c r="C459" s="311"/>
      <c r="D459" s="312"/>
      <c r="E459" s="313">
        <f t="shared" si="75"/>
        <v>1245.51</v>
      </c>
      <c r="F459" s="313">
        <f t="shared" si="76"/>
        <v>2121.9499999999998</v>
      </c>
      <c r="G459" s="314">
        <f t="shared" si="77"/>
        <v>876.43999999999983</v>
      </c>
      <c r="H459" s="242"/>
      <c r="I459" s="315"/>
      <c r="J459" s="315"/>
      <c r="K459" s="242"/>
      <c r="L459" s="242"/>
      <c r="M459" s="222"/>
      <c r="N459" s="222"/>
      <c r="O459" s="222"/>
      <c r="P459" s="222"/>
      <c r="Q459" s="222"/>
      <c r="R459" s="222"/>
      <c r="S459" s="307"/>
      <c r="T459" s="222"/>
      <c r="U459" s="222"/>
      <c r="V459" s="222"/>
    </row>
    <row r="460" spans="1:22" ht="17.5" hidden="1" x14ac:dyDescent="0.35">
      <c r="A460" s="222"/>
      <c r="B460" s="310" t="s">
        <v>119</v>
      </c>
      <c r="C460" s="311"/>
      <c r="D460" s="312"/>
      <c r="E460" s="313">
        <f t="shared" si="75"/>
        <v>49587.6</v>
      </c>
      <c r="F460" s="313">
        <f t="shared" si="76"/>
        <v>72796.899999999994</v>
      </c>
      <c r="G460" s="314">
        <f t="shared" si="77"/>
        <v>23209.299999999996</v>
      </c>
      <c r="H460" s="242"/>
      <c r="I460" s="315"/>
      <c r="J460" s="315"/>
      <c r="K460" s="242"/>
      <c r="L460" s="242"/>
      <c r="M460" s="222"/>
      <c r="N460" s="222"/>
      <c r="O460" s="222"/>
      <c r="P460" s="222"/>
      <c r="Q460" s="222"/>
      <c r="R460" s="222"/>
      <c r="S460" s="307"/>
      <c r="T460" s="222"/>
      <c r="U460" s="222"/>
      <c r="V460" s="222"/>
    </row>
    <row r="461" spans="1:22" ht="17.5" hidden="1" x14ac:dyDescent="0.35">
      <c r="A461" s="222"/>
      <c r="B461" s="310" t="s">
        <v>121</v>
      </c>
      <c r="C461" s="311"/>
      <c r="D461" s="312"/>
      <c r="E461" s="313">
        <f t="shared" si="75"/>
        <v>3310.17</v>
      </c>
      <c r="F461" s="313">
        <f t="shared" si="76"/>
        <v>4350.22</v>
      </c>
      <c r="G461" s="314">
        <f t="shared" si="77"/>
        <v>1040.0500000000002</v>
      </c>
      <c r="H461" s="242"/>
      <c r="I461" s="315"/>
      <c r="J461" s="315"/>
      <c r="K461" s="242"/>
      <c r="L461" s="242"/>
      <c r="M461" s="222"/>
      <c r="N461" s="222"/>
      <c r="O461" s="222"/>
      <c r="P461" s="222"/>
      <c r="Q461" s="222"/>
      <c r="R461" s="222"/>
      <c r="S461" s="307"/>
      <c r="T461" s="222"/>
      <c r="U461" s="222"/>
      <c r="V461" s="222"/>
    </row>
    <row r="462" spans="1:22" ht="18" hidden="1" x14ac:dyDescent="0.4">
      <c r="A462" s="222"/>
      <c r="B462" s="349" t="s">
        <v>24</v>
      </c>
      <c r="C462" s="350"/>
      <c r="D462" s="351"/>
      <c r="E462" s="353">
        <f>SUM(E456:E461)</f>
        <v>1461380.2</v>
      </c>
      <c r="F462" s="353">
        <f>SUM(F456:F461)</f>
        <v>1891501.29</v>
      </c>
      <c r="G462" s="353">
        <f>SUM(G456:G461)</f>
        <v>430121.09</v>
      </c>
      <c r="H462" s="242"/>
      <c r="I462" s="242"/>
      <c r="J462" s="242"/>
      <c r="K462" s="242"/>
      <c r="L462" s="242"/>
      <c r="M462" s="222"/>
      <c r="N462" s="222"/>
      <c r="O462" s="222"/>
      <c r="P462" s="222"/>
      <c r="Q462" s="222"/>
      <c r="R462" s="222"/>
      <c r="S462" s="307"/>
      <c r="T462" s="222"/>
      <c r="U462" s="222"/>
      <c r="V462" s="222"/>
    </row>
    <row r="463" spans="1:22" ht="17.5" hidden="1" x14ac:dyDescent="0.35">
      <c r="A463" s="222"/>
      <c r="B463" s="222"/>
      <c r="C463" s="222"/>
      <c r="D463" s="222"/>
      <c r="E463" s="222"/>
      <c r="F463" s="222"/>
      <c r="G463" s="222"/>
      <c r="H463" s="222"/>
      <c r="I463" s="222"/>
      <c r="J463" s="222"/>
      <c r="K463" s="222"/>
      <c r="L463" s="222"/>
      <c r="M463" s="222"/>
      <c r="N463" s="222"/>
      <c r="O463" s="222"/>
      <c r="P463" s="222"/>
      <c r="Q463" s="222"/>
      <c r="R463" s="222"/>
      <c r="S463" s="307"/>
      <c r="T463" s="222"/>
      <c r="U463" s="222"/>
      <c r="V463" s="222"/>
    </row>
    <row r="464" spans="1:22" ht="18" hidden="1" x14ac:dyDescent="0.35">
      <c r="A464" s="222"/>
      <c r="B464" s="754" t="s">
        <v>359</v>
      </c>
      <c r="C464" s="754"/>
      <c r="D464" s="754"/>
      <c r="E464" s="754"/>
      <c r="F464" s="754"/>
      <c r="G464" s="754"/>
      <c r="H464" s="754"/>
      <c r="I464" s="754"/>
      <c r="J464" s="754"/>
      <c r="K464" s="754"/>
      <c r="L464" s="754"/>
      <c r="M464" s="754"/>
      <c r="N464" s="222"/>
      <c r="O464" s="222"/>
      <c r="P464" s="222"/>
      <c r="Q464" s="222"/>
      <c r="R464" s="222"/>
      <c r="S464" s="307"/>
      <c r="T464" s="222"/>
      <c r="U464" s="222"/>
      <c r="V464" s="222"/>
    </row>
    <row r="465" spans="1:22" ht="18" hidden="1" x14ac:dyDescent="0.35">
      <c r="A465" s="222"/>
      <c r="B465" s="757"/>
      <c r="C465" s="758"/>
      <c r="D465" s="759"/>
      <c r="E465" s="757" t="s">
        <v>160</v>
      </c>
      <c r="F465" s="758"/>
      <c r="G465" s="759"/>
      <c r="H465" s="764" t="s">
        <v>50</v>
      </c>
      <c r="I465" s="764"/>
      <c r="J465" s="672"/>
      <c r="K465" s="764" t="s">
        <v>161</v>
      </c>
      <c r="L465" s="764"/>
      <c r="M465" s="316"/>
      <c r="N465" s="222"/>
      <c r="O465" s="222"/>
      <c r="P465" s="222"/>
      <c r="Q465" s="222"/>
      <c r="R465" s="222"/>
      <c r="S465" s="307"/>
      <c r="T465" s="222"/>
      <c r="U465" s="222"/>
      <c r="V465" s="222"/>
    </row>
    <row r="466" spans="1:22" ht="54" hidden="1" x14ac:dyDescent="0.4">
      <c r="A466" s="222"/>
      <c r="B466" s="760" t="s">
        <v>162</v>
      </c>
      <c r="C466" s="761"/>
      <c r="D466" s="762"/>
      <c r="E466" s="348" t="s">
        <v>74</v>
      </c>
      <c r="F466" s="348" t="s">
        <v>100</v>
      </c>
      <c r="G466" s="348" t="s">
        <v>30</v>
      </c>
      <c r="H466" s="348" t="s">
        <v>74</v>
      </c>
      <c r="I466" s="348" t="s">
        <v>100</v>
      </c>
      <c r="J466" s="348" t="s">
        <v>357</v>
      </c>
      <c r="K466" s="348" t="s">
        <v>74</v>
      </c>
      <c r="L466" s="348" t="s">
        <v>100</v>
      </c>
      <c r="M466" s="347" t="s">
        <v>163</v>
      </c>
      <c r="N466" s="222"/>
      <c r="O466" s="222"/>
      <c r="P466" s="222"/>
      <c r="Q466" s="222"/>
      <c r="R466" s="222"/>
      <c r="S466" s="307"/>
      <c r="T466" s="222"/>
      <c r="U466" s="222"/>
      <c r="V466" s="222"/>
    </row>
    <row r="467" spans="1:22" ht="17.5" hidden="1" x14ac:dyDescent="0.35">
      <c r="A467" s="222"/>
      <c r="B467" s="310" t="s">
        <v>1</v>
      </c>
      <c r="C467" s="311"/>
      <c r="D467" s="312"/>
      <c r="E467" s="317">
        <f>F389</f>
        <v>2857</v>
      </c>
      <c r="F467" s="317">
        <f>$G$389</f>
        <v>2858</v>
      </c>
      <c r="G467" s="318">
        <f>F467-E467</f>
        <v>1</v>
      </c>
      <c r="H467" s="319">
        <f t="shared" ref="H467:H472" si="78">I433</f>
        <v>30758632</v>
      </c>
      <c r="I467" s="319">
        <f>$G$390</f>
        <v>32605812</v>
      </c>
      <c r="J467" s="319">
        <f>I467-H467</f>
        <v>1847180</v>
      </c>
      <c r="K467" s="317"/>
      <c r="L467" s="320"/>
      <c r="M467" s="321">
        <f>L467-K467</f>
        <v>0</v>
      </c>
      <c r="N467" s="222"/>
      <c r="O467" s="222"/>
      <c r="P467" s="222"/>
      <c r="Q467" s="222"/>
      <c r="R467" s="222"/>
      <c r="S467" s="307"/>
      <c r="T467" s="222"/>
      <c r="U467" s="222"/>
      <c r="V467" s="222"/>
    </row>
    <row r="468" spans="1:22" ht="17.5" hidden="1" x14ac:dyDescent="0.35">
      <c r="A468" s="222"/>
      <c r="B468" s="310" t="s">
        <v>97</v>
      </c>
      <c r="C468" s="311"/>
      <c r="D468" s="312"/>
      <c r="E468" s="317">
        <f>F393</f>
        <v>402</v>
      </c>
      <c r="F468" s="317">
        <f>$G$393</f>
        <v>401</v>
      </c>
      <c r="G468" s="318">
        <f t="shared" ref="G468:G472" si="79">F468-E468</f>
        <v>-1</v>
      </c>
      <c r="H468" s="319">
        <f t="shared" si="78"/>
        <v>11730167</v>
      </c>
      <c r="I468" s="319">
        <f>$G$394</f>
        <v>11192454</v>
      </c>
      <c r="J468" s="319">
        <f t="shared" ref="J468:J473" si="80">I468-H468</f>
        <v>-537713</v>
      </c>
      <c r="K468" s="317"/>
      <c r="L468" s="320"/>
      <c r="M468" s="321">
        <f>L468-K468</f>
        <v>0</v>
      </c>
      <c r="N468" s="222"/>
      <c r="O468" s="222"/>
      <c r="P468" s="222"/>
      <c r="Q468" s="222"/>
      <c r="R468" s="222"/>
      <c r="S468" s="222"/>
      <c r="T468" s="222"/>
      <c r="U468" s="222"/>
      <c r="V468" s="222"/>
    </row>
    <row r="469" spans="1:22" ht="17.5" hidden="1" x14ac:dyDescent="0.35">
      <c r="A469" s="222"/>
      <c r="B469" s="310" t="s">
        <v>201</v>
      </c>
      <c r="C469" s="311"/>
      <c r="D469" s="312"/>
      <c r="E469" s="317">
        <f>F397</f>
        <v>29</v>
      </c>
      <c r="F469" s="317">
        <f>$G$397</f>
        <v>29</v>
      </c>
      <c r="G469" s="318">
        <f t="shared" si="79"/>
        <v>0</v>
      </c>
      <c r="H469" s="319">
        <f t="shared" si="78"/>
        <v>17041535</v>
      </c>
      <c r="I469" s="319">
        <f>G398</f>
        <v>16850053</v>
      </c>
      <c r="J469" s="319">
        <f t="shared" si="80"/>
        <v>-191482</v>
      </c>
      <c r="K469" s="317">
        <f>F399</f>
        <v>42772</v>
      </c>
      <c r="L469" s="317">
        <f>$G$399</f>
        <v>42806</v>
      </c>
      <c r="M469" s="321">
        <f>L469-K469</f>
        <v>34</v>
      </c>
      <c r="N469" s="222"/>
      <c r="O469" s="222"/>
      <c r="P469" s="222"/>
      <c r="Q469" s="222"/>
      <c r="R469" s="222"/>
      <c r="S469" s="222"/>
      <c r="T469" s="222"/>
      <c r="U469" s="222"/>
      <c r="V469" s="222"/>
    </row>
    <row r="470" spans="1:22" ht="17.5" hidden="1" x14ac:dyDescent="0.35">
      <c r="A470" s="222"/>
      <c r="B470" s="310" t="s">
        <v>120</v>
      </c>
      <c r="C470" s="311"/>
      <c r="D470" s="312"/>
      <c r="E470" s="317">
        <f>F407</f>
        <v>26</v>
      </c>
      <c r="F470" s="317">
        <f>$G$407</f>
        <v>27</v>
      </c>
      <c r="G470" s="318">
        <f>F470-E470</f>
        <v>1</v>
      </c>
      <c r="H470" s="319">
        <f t="shared" si="78"/>
        <v>25725</v>
      </c>
      <c r="I470" s="319">
        <f>G408</f>
        <v>25771</v>
      </c>
      <c r="J470" s="319">
        <f t="shared" si="80"/>
        <v>46</v>
      </c>
      <c r="K470" s="317">
        <f>F409</f>
        <v>72</v>
      </c>
      <c r="L470" s="317">
        <f>$G$409</f>
        <v>72</v>
      </c>
      <c r="M470" s="321">
        <f>L470-K470</f>
        <v>0</v>
      </c>
      <c r="N470" s="222"/>
      <c r="O470" s="222"/>
      <c r="P470" s="222"/>
      <c r="Q470" s="222"/>
      <c r="R470" s="222"/>
      <c r="S470" s="222"/>
      <c r="T470" s="222"/>
      <c r="U470" s="222"/>
      <c r="V470" s="222"/>
    </row>
    <row r="471" spans="1:22" ht="17.5" hidden="1" x14ac:dyDescent="0.35">
      <c r="A471" s="222"/>
      <c r="B471" s="310" t="s">
        <v>119</v>
      </c>
      <c r="C471" s="311"/>
      <c r="D471" s="312"/>
      <c r="E471" s="317">
        <f>F402</f>
        <v>1048</v>
      </c>
      <c r="F471" s="317">
        <f>$G$402</f>
        <v>1064</v>
      </c>
      <c r="G471" s="318">
        <f t="shared" si="79"/>
        <v>16</v>
      </c>
      <c r="H471" s="319">
        <f t="shared" si="78"/>
        <v>618217</v>
      </c>
      <c r="I471" s="319">
        <f>G403</f>
        <v>617088</v>
      </c>
      <c r="J471" s="319">
        <f t="shared" si="80"/>
        <v>-1129</v>
      </c>
      <c r="K471" s="317">
        <f>F404</f>
        <v>1728</v>
      </c>
      <c r="L471" s="317">
        <f>$G$404</f>
        <v>1728</v>
      </c>
      <c r="M471" s="321">
        <f>L471-K471</f>
        <v>0</v>
      </c>
      <c r="N471" s="222"/>
      <c r="O471" s="222"/>
      <c r="P471" s="222"/>
      <c r="Q471" s="222"/>
      <c r="R471" s="222"/>
      <c r="S471" s="222"/>
      <c r="T471" s="222"/>
      <c r="U471" s="222"/>
      <c r="V471" s="222"/>
    </row>
    <row r="472" spans="1:22" ht="17.5" hidden="1" x14ac:dyDescent="0.35">
      <c r="A472" s="222"/>
      <c r="B472" s="310" t="s">
        <v>121</v>
      </c>
      <c r="C472" s="311"/>
      <c r="D472" s="312"/>
      <c r="E472" s="317">
        <f>F412</f>
        <v>21</v>
      </c>
      <c r="F472" s="317">
        <f>$G$412</f>
        <v>21</v>
      </c>
      <c r="G472" s="318">
        <f t="shared" si="79"/>
        <v>0</v>
      </c>
      <c r="H472" s="319">
        <f t="shared" si="78"/>
        <v>131160</v>
      </c>
      <c r="I472" s="319">
        <f>$G$413</f>
        <v>132130</v>
      </c>
      <c r="J472" s="319">
        <f t="shared" si="80"/>
        <v>970</v>
      </c>
      <c r="K472" s="317"/>
      <c r="L472" s="320"/>
      <c r="M472" s="321">
        <f>I472-H472</f>
        <v>970</v>
      </c>
      <c r="N472" s="222"/>
      <c r="O472" s="222"/>
      <c r="P472" s="222"/>
      <c r="Q472" s="222"/>
      <c r="R472" s="222"/>
      <c r="S472" s="222"/>
      <c r="T472" s="222"/>
      <c r="U472" s="222"/>
      <c r="V472" s="222"/>
    </row>
    <row r="473" spans="1:22" ht="18" hidden="1" x14ac:dyDescent="0.4">
      <c r="A473" s="222"/>
      <c r="B473" s="349" t="s">
        <v>24</v>
      </c>
      <c r="C473" s="350"/>
      <c r="D473" s="351"/>
      <c r="E473" s="352">
        <f t="shared" ref="E473:M473" si="81">SUM(E467:E472)</f>
        <v>4383</v>
      </c>
      <c r="F473" s="352">
        <f t="shared" si="81"/>
        <v>4400</v>
      </c>
      <c r="G473" s="352">
        <f t="shared" si="81"/>
        <v>17</v>
      </c>
      <c r="H473" s="352">
        <f t="shared" si="81"/>
        <v>60305436</v>
      </c>
      <c r="I473" s="352">
        <f t="shared" si="81"/>
        <v>61423308</v>
      </c>
      <c r="J473" s="682">
        <f t="shared" si="80"/>
        <v>1117872</v>
      </c>
      <c r="K473" s="352">
        <f t="shared" si="81"/>
        <v>44572</v>
      </c>
      <c r="L473" s="352">
        <f t="shared" si="81"/>
        <v>44606</v>
      </c>
      <c r="M473" s="352">
        <f t="shared" si="81"/>
        <v>1004</v>
      </c>
      <c r="N473" s="222"/>
      <c r="O473" s="222"/>
      <c r="P473" s="222"/>
      <c r="Q473" s="222"/>
      <c r="R473" s="222"/>
      <c r="S473" s="222"/>
      <c r="T473" s="222"/>
      <c r="U473" s="222"/>
      <c r="V473" s="222"/>
    </row>
    <row r="474" spans="1:22" ht="18" hidden="1" x14ac:dyDescent="0.4">
      <c r="A474" s="222"/>
      <c r="B474" s="349" t="s">
        <v>358</v>
      </c>
      <c r="C474" s="350"/>
      <c r="D474" s="351"/>
      <c r="E474" s="352"/>
      <c r="F474" s="352"/>
      <c r="G474" s="683">
        <f>G473/E473</f>
        <v>3.8786219484371436E-3</v>
      </c>
      <c r="H474" s="352"/>
      <c r="I474" s="352"/>
      <c r="J474" s="684">
        <f>J473/H473</f>
        <v>1.8536836380720303E-2</v>
      </c>
      <c r="K474" s="352"/>
      <c r="L474" s="352"/>
      <c r="M474" s="683">
        <f>M473/K473</f>
        <v>2.2525352239073856E-2</v>
      </c>
      <c r="N474" s="222"/>
      <c r="O474" s="222"/>
      <c r="P474" s="222"/>
      <c r="Q474" s="222"/>
      <c r="R474" s="222"/>
      <c r="S474" s="222"/>
      <c r="T474" s="222"/>
      <c r="U474" s="222"/>
      <c r="V474" s="222"/>
    </row>
    <row r="475" spans="1:22" ht="17.5" hidden="1" x14ac:dyDescent="0.35">
      <c r="A475" s="222"/>
      <c r="B475" s="222"/>
      <c r="C475" s="222"/>
      <c r="D475" s="222"/>
      <c r="E475" s="222"/>
      <c r="F475" s="222"/>
      <c r="G475" s="222"/>
      <c r="H475" s="222"/>
      <c r="I475" s="222"/>
      <c r="J475" s="242"/>
      <c r="K475" s="222"/>
      <c r="L475" s="222"/>
      <c r="M475" s="222"/>
      <c r="N475" s="222"/>
      <c r="O475" s="222"/>
      <c r="P475" s="222"/>
      <c r="Q475" s="222"/>
      <c r="R475" s="222"/>
      <c r="S475" s="222"/>
      <c r="T475" s="222"/>
      <c r="U475" s="222"/>
      <c r="V475" s="222"/>
    </row>
    <row r="476" spans="1:22" ht="18" hidden="1" x14ac:dyDescent="0.35">
      <c r="A476" s="222"/>
      <c r="B476" s="754" t="s">
        <v>361</v>
      </c>
      <c r="C476" s="754"/>
      <c r="D476" s="754"/>
      <c r="E476" s="754"/>
      <c r="F476" s="754"/>
      <c r="G476" s="754"/>
      <c r="H476" s="754"/>
      <c r="I476" s="754"/>
      <c r="J476" s="754"/>
      <c r="K476" s="754"/>
      <c r="L476" s="754"/>
      <c r="M476" s="754"/>
      <c r="N476" s="222"/>
      <c r="O476" s="222"/>
      <c r="P476" s="222"/>
      <c r="Q476" s="222"/>
      <c r="R476" s="222"/>
      <c r="S476" s="307"/>
      <c r="T476" s="222"/>
      <c r="U476" s="222"/>
      <c r="V476" s="222"/>
    </row>
    <row r="477" spans="1:22" ht="18" hidden="1" x14ac:dyDescent="0.35">
      <c r="A477" s="222"/>
      <c r="B477" s="757" t="s">
        <v>168</v>
      </c>
      <c r="C477" s="758"/>
      <c r="D477" s="759"/>
      <c r="E477" s="309" t="s">
        <v>340</v>
      </c>
      <c r="F477" s="309" t="s">
        <v>279</v>
      </c>
      <c r="G477" s="309" t="s">
        <v>169</v>
      </c>
      <c r="H477" s="242"/>
      <c r="I477" s="242"/>
      <c r="J477" s="242"/>
      <c r="K477" s="242"/>
      <c r="L477" s="242"/>
      <c r="M477" s="222"/>
      <c r="N477" s="222"/>
      <c r="O477" s="222"/>
      <c r="P477" s="222"/>
      <c r="Q477" s="222"/>
      <c r="R477" s="222"/>
      <c r="S477" s="307"/>
      <c r="T477" s="222"/>
      <c r="U477" s="222"/>
      <c r="V477" s="222"/>
    </row>
    <row r="478" spans="1:22" ht="17.5" hidden="1" x14ac:dyDescent="0.35">
      <c r="A478" s="222"/>
      <c r="B478" s="310" t="s">
        <v>1</v>
      </c>
      <c r="C478" s="311"/>
      <c r="D478" s="312"/>
      <c r="E478" s="313">
        <f t="shared" ref="E478:E483" si="82">I5</f>
        <v>973235.63000000012</v>
      </c>
      <c r="F478" s="313">
        <f>$K$5</f>
        <v>1026251.47</v>
      </c>
      <c r="G478" s="314">
        <f>F478-E478</f>
        <v>53015.839999999851</v>
      </c>
      <c r="H478" s="242"/>
      <c r="I478" s="315"/>
      <c r="J478" s="315"/>
      <c r="K478" s="242"/>
      <c r="L478" s="242"/>
      <c r="M478" s="222"/>
      <c r="N478" s="222"/>
      <c r="O478" s="222"/>
      <c r="P478" s="222"/>
      <c r="Q478" s="222"/>
      <c r="R478" s="222"/>
      <c r="S478" s="307"/>
      <c r="T478" s="222"/>
      <c r="U478" s="222"/>
      <c r="V478" s="222"/>
    </row>
    <row r="479" spans="1:22" ht="17.5" hidden="1" x14ac:dyDescent="0.35">
      <c r="A479" s="222"/>
      <c r="B479" s="310" t="s">
        <v>97</v>
      </c>
      <c r="C479" s="311"/>
      <c r="D479" s="312"/>
      <c r="E479" s="313">
        <f t="shared" si="82"/>
        <v>327070.88</v>
      </c>
      <c r="F479" s="313">
        <f>$K$6</f>
        <v>317075.75</v>
      </c>
      <c r="G479" s="314">
        <f t="shared" ref="G479:G483" si="83">F479-E479</f>
        <v>-9995.1300000000047</v>
      </c>
      <c r="H479" s="242"/>
      <c r="I479" s="315"/>
      <c r="J479" s="315"/>
      <c r="K479" s="242"/>
      <c r="L479" s="242"/>
      <c r="M479" s="222"/>
      <c r="N479" s="222"/>
      <c r="O479" s="222"/>
      <c r="P479" s="222"/>
      <c r="Q479" s="222"/>
      <c r="R479" s="222"/>
      <c r="S479" s="307"/>
      <c r="T479" s="222"/>
      <c r="U479" s="222"/>
      <c r="V479" s="222"/>
    </row>
    <row r="480" spans="1:22" ht="17.5" hidden="1" x14ac:dyDescent="0.35">
      <c r="A480" s="222"/>
      <c r="B480" s="310" t="s">
        <v>118</v>
      </c>
      <c r="C480" s="311"/>
      <c r="D480" s="312"/>
      <c r="E480" s="313">
        <f t="shared" si="82"/>
        <v>217052.09000000003</v>
      </c>
      <c r="F480" s="313">
        <f>$K$7</f>
        <v>211545.08</v>
      </c>
      <c r="G480" s="314">
        <f t="shared" si="83"/>
        <v>-5507.0100000000384</v>
      </c>
      <c r="H480" s="242"/>
      <c r="I480" s="315"/>
      <c r="J480" s="315"/>
      <c r="K480" s="242"/>
      <c r="L480" s="242"/>
      <c r="M480" s="222"/>
      <c r="N480" s="222"/>
      <c r="O480" s="222"/>
      <c r="P480" s="222"/>
      <c r="Q480" s="222"/>
      <c r="R480" s="222"/>
      <c r="S480" s="307"/>
      <c r="T480" s="222"/>
      <c r="U480" s="222"/>
      <c r="V480" s="222"/>
    </row>
    <row r="481" spans="1:22" ht="17.5" hidden="1" x14ac:dyDescent="0.35">
      <c r="A481" s="222"/>
      <c r="B481" s="310" t="s">
        <v>120</v>
      </c>
      <c r="C481" s="311"/>
      <c r="D481" s="312"/>
      <c r="E481" s="313">
        <f t="shared" si="82"/>
        <v>1998.72</v>
      </c>
      <c r="F481" s="313">
        <f>$K$8</f>
        <v>1991.64</v>
      </c>
      <c r="G481" s="314">
        <f t="shared" si="83"/>
        <v>-7.0799999999999272</v>
      </c>
      <c r="H481" s="242"/>
      <c r="I481" s="315"/>
      <c r="J481" s="315"/>
      <c r="K481" s="242"/>
      <c r="L481" s="242"/>
      <c r="M481" s="222"/>
      <c r="N481" s="222"/>
      <c r="O481" s="222"/>
      <c r="P481" s="222"/>
      <c r="Q481" s="222"/>
      <c r="R481" s="222"/>
      <c r="S481" s="307"/>
      <c r="T481" s="222"/>
      <c r="U481" s="222"/>
      <c r="V481" s="222"/>
    </row>
    <row r="482" spans="1:22" ht="17.5" hidden="1" x14ac:dyDescent="0.35">
      <c r="A482" s="222"/>
      <c r="B482" s="310" t="s">
        <v>119</v>
      </c>
      <c r="C482" s="311"/>
      <c r="D482" s="312"/>
      <c r="E482" s="313">
        <f t="shared" si="82"/>
        <v>53023.199999999997</v>
      </c>
      <c r="F482" s="313">
        <f>$K$9</f>
        <v>52946.55</v>
      </c>
      <c r="G482" s="314">
        <f t="shared" si="83"/>
        <v>-76.649999999994179</v>
      </c>
      <c r="H482" s="242"/>
      <c r="I482" s="315"/>
      <c r="J482" s="315"/>
      <c r="K482" s="242"/>
      <c r="L482" s="242"/>
      <c r="M482" s="222"/>
      <c r="N482" s="222"/>
      <c r="O482" s="222"/>
      <c r="P482" s="222"/>
      <c r="Q482" s="222"/>
      <c r="R482" s="222"/>
      <c r="S482" s="307"/>
      <c r="T482" s="222"/>
      <c r="U482" s="222"/>
      <c r="V482" s="222"/>
    </row>
    <row r="483" spans="1:22" ht="17.5" hidden="1" x14ac:dyDescent="0.35">
      <c r="A483" s="222"/>
      <c r="B483" s="310" t="s">
        <v>121</v>
      </c>
      <c r="C483" s="311"/>
      <c r="D483" s="312"/>
      <c r="E483" s="313">
        <f t="shared" si="82"/>
        <v>5464.08</v>
      </c>
      <c r="F483" s="313">
        <f>$K$10</f>
        <v>5464.08</v>
      </c>
      <c r="G483" s="314">
        <f t="shared" si="83"/>
        <v>0</v>
      </c>
      <c r="H483" s="242"/>
      <c r="I483" s="315"/>
      <c r="J483" s="315"/>
      <c r="K483" s="242"/>
      <c r="L483" s="242"/>
      <c r="M483" s="222"/>
      <c r="N483" s="222"/>
      <c r="O483" s="222"/>
      <c r="P483" s="222"/>
      <c r="Q483" s="222"/>
      <c r="R483" s="222"/>
      <c r="S483" s="307"/>
      <c r="T483" s="222"/>
      <c r="U483" s="222"/>
      <c r="V483" s="222"/>
    </row>
    <row r="484" spans="1:22" ht="18" hidden="1" x14ac:dyDescent="0.4">
      <c r="A484" s="222"/>
      <c r="B484" s="349" t="s">
        <v>24</v>
      </c>
      <c r="C484" s="350"/>
      <c r="D484" s="351"/>
      <c r="E484" s="353">
        <f>SUM(E478:E483)</f>
        <v>1577844.6000000003</v>
      </c>
      <c r="F484" s="353">
        <f>SUM(F478:F483)</f>
        <v>1615274.57</v>
      </c>
      <c r="G484" s="353">
        <f>SUM(G478:G483)</f>
        <v>37429.969999999812</v>
      </c>
      <c r="H484" s="242"/>
      <c r="I484" s="242"/>
      <c r="J484" s="242"/>
      <c r="K484" s="242"/>
      <c r="L484" s="242"/>
      <c r="M484" s="222"/>
      <c r="N484" s="222"/>
      <c r="O484" s="222"/>
      <c r="P484" s="222"/>
      <c r="Q484" s="222"/>
      <c r="R484" s="222"/>
      <c r="S484" s="307"/>
      <c r="T484" s="222"/>
      <c r="U484" s="222"/>
      <c r="V484" s="222"/>
    </row>
    <row r="485" spans="1:22" ht="17.5" x14ac:dyDescent="0.35">
      <c r="A485" s="222"/>
      <c r="B485" s="322"/>
      <c r="C485" s="322"/>
      <c r="D485" s="322"/>
      <c r="E485" s="323"/>
      <c r="F485" s="323"/>
      <c r="G485" s="323"/>
      <c r="H485" s="242"/>
      <c r="I485" s="242"/>
      <c r="J485" s="242"/>
      <c r="K485" s="242"/>
      <c r="L485" s="242"/>
      <c r="M485" s="222"/>
      <c r="N485" s="222"/>
      <c r="O485" s="222"/>
      <c r="P485" s="222"/>
      <c r="Q485" s="222"/>
      <c r="R485" s="222"/>
      <c r="S485" s="307"/>
      <c r="T485" s="222"/>
      <c r="U485" s="222"/>
      <c r="V485" s="222"/>
    </row>
    <row r="486" spans="1:22" ht="18" x14ac:dyDescent="0.35">
      <c r="A486" s="222"/>
      <c r="B486" s="754" t="s">
        <v>397</v>
      </c>
      <c r="C486" s="754"/>
      <c r="D486" s="754"/>
      <c r="E486" s="754"/>
      <c r="F486" s="754"/>
      <c r="G486" s="754"/>
      <c r="H486" s="754"/>
      <c r="I486" s="754"/>
      <c r="J486" s="754"/>
      <c r="K486" s="754"/>
      <c r="L486" s="754"/>
      <c r="M486" s="754"/>
      <c r="N486" s="222"/>
      <c r="O486" s="222"/>
      <c r="P486" s="222"/>
      <c r="Q486" s="222"/>
      <c r="R486" s="222"/>
      <c r="S486" s="222"/>
      <c r="T486" s="222"/>
      <c r="U486" s="222"/>
      <c r="V486" s="222"/>
    </row>
    <row r="487" spans="1:22" ht="18" x14ac:dyDescent="0.35">
      <c r="A487" s="222"/>
      <c r="B487" s="757"/>
      <c r="C487" s="758"/>
      <c r="D487" s="759"/>
      <c r="E487" s="757" t="s">
        <v>160</v>
      </c>
      <c r="F487" s="758"/>
      <c r="G487" s="759"/>
      <c r="H487" s="764" t="s">
        <v>50</v>
      </c>
      <c r="I487" s="764"/>
      <c r="J487" s="672"/>
      <c r="K487" s="764" t="s">
        <v>161</v>
      </c>
      <c r="L487" s="764"/>
      <c r="M487" s="316"/>
      <c r="N487" s="222"/>
      <c r="O487" s="222"/>
      <c r="P487" s="222"/>
      <c r="Q487" s="222"/>
      <c r="R487" s="222"/>
      <c r="S487" s="222"/>
      <c r="T487" s="222"/>
      <c r="U487" s="222"/>
      <c r="V487" s="222"/>
    </row>
    <row r="488" spans="1:22" ht="54" x14ac:dyDescent="0.4">
      <c r="A488" s="222"/>
      <c r="B488" s="760" t="s">
        <v>162</v>
      </c>
      <c r="C488" s="761"/>
      <c r="D488" s="762"/>
      <c r="E488" s="348" t="s">
        <v>340</v>
      </c>
      <c r="F488" s="348" t="s">
        <v>272</v>
      </c>
      <c r="G488" s="348" t="s">
        <v>30</v>
      </c>
      <c r="H488" s="348" t="s">
        <v>340</v>
      </c>
      <c r="I488" s="348" t="s">
        <v>272</v>
      </c>
      <c r="J488" s="348" t="s">
        <v>357</v>
      </c>
      <c r="K488" s="348" t="s">
        <v>340</v>
      </c>
      <c r="L488" s="348" t="s">
        <v>272</v>
      </c>
      <c r="M488" s="347" t="s">
        <v>163</v>
      </c>
      <c r="N488" s="222"/>
      <c r="O488" s="222"/>
      <c r="P488" s="222"/>
      <c r="Q488" s="222"/>
      <c r="R488" s="222"/>
      <c r="S488" s="222"/>
      <c r="T488" s="222"/>
      <c r="U488" s="222"/>
      <c r="V488" s="222"/>
    </row>
    <row r="489" spans="1:22" ht="17.5" x14ac:dyDescent="0.35">
      <c r="A489" s="222"/>
      <c r="B489" s="310" t="s">
        <v>1</v>
      </c>
      <c r="C489" s="311"/>
      <c r="D489" s="312"/>
      <c r="E489" s="317">
        <f>Summary!I14</f>
        <v>2872</v>
      </c>
      <c r="F489" s="317">
        <f>Summary!J14</f>
        <v>2888</v>
      </c>
      <c r="G489" s="318">
        <f>F489-E489</f>
        <v>16</v>
      </c>
      <c r="H489" s="319">
        <f>Summary!I15</f>
        <v>28877055.70999999</v>
      </c>
      <c r="I489" s="319">
        <f>Summary!J15</f>
        <v>31054130.409999982</v>
      </c>
      <c r="J489" s="319">
        <f>I489-H489</f>
        <v>2177074.6999999918</v>
      </c>
      <c r="K489" s="317"/>
      <c r="L489" s="320"/>
      <c r="M489" s="321">
        <f>L489-K489</f>
        <v>0</v>
      </c>
      <c r="N489" s="222"/>
      <c r="O489" s="222"/>
      <c r="P489" s="222"/>
      <c r="Q489" s="222"/>
      <c r="R489" s="222"/>
      <c r="S489" s="222"/>
      <c r="T489" s="222"/>
      <c r="U489" s="222"/>
      <c r="V489" s="222"/>
    </row>
    <row r="490" spans="1:22" ht="17.5" x14ac:dyDescent="0.35">
      <c r="A490" s="222"/>
      <c r="B490" s="310" t="s">
        <v>97</v>
      </c>
      <c r="C490" s="311"/>
      <c r="D490" s="312"/>
      <c r="E490" s="317">
        <f>Summary!I18</f>
        <v>388</v>
      </c>
      <c r="F490" s="317">
        <f>Summary!J18</f>
        <v>388</v>
      </c>
      <c r="G490" s="318">
        <f t="shared" ref="G490:G494" si="84">F490-E490</f>
        <v>0</v>
      </c>
      <c r="H490" s="319">
        <f>Summary!I19</f>
        <v>9915384.9499999993</v>
      </c>
      <c r="I490" s="319">
        <f>Summary!J19</f>
        <v>10221049.75</v>
      </c>
      <c r="J490" s="319">
        <f t="shared" ref="J490:J494" si="85">I490-H490</f>
        <v>305664.80000000075</v>
      </c>
      <c r="K490" s="317"/>
      <c r="L490" s="320"/>
      <c r="M490" s="321">
        <f t="shared" ref="M490:M494" si="86">L490-K490</f>
        <v>0</v>
      </c>
      <c r="N490" s="222"/>
      <c r="O490" s="222"/>
      <c r="P490" s="222"/>
      <c r="Q490" s="222"/>
      <c r="R490" s="222"/>
      <c r="S490" s="222"/>
      <c r="T490" s="222"/>
      <c r="U490" s="222"/>
      <c r="V490" s="222"/>
    </row>
    <row r="491" spans="1:22" ht="17.5" x14ac:dyDescent="0.35">
      <c r="A491" s="222"/>
      <c r="B491" s="310" t="s">
        <v>201</v>
      </c>
      <c r="C491" s="311"/>
      <c r="D491" s="312"/>
      <c r="E491" s="317">
        <f>Summary!I22</f>
        <v>28</v>
      </c>
      <c r="F491" s="317">
        <f>Summary!J22</f>
        <v>27</v>
      </c>
      <c r="G491" s="318">
        <f t="shared" si="84"/>
        <v>-1</v>
      </c>
      <c r="H491" s="319">
        <f>L398</f>
        <v>15590914.83</v>
      </c>
      <c r="I491" s="319">
        <f>M398</f>
        <v>15357083.889999999</v>
      </c>
      <c r="J491" s="319">
        <f t="shared" si="85"/>
        <v>-233830.94000000134</v>
      </c>
      <c r="K491" s="317">
        <f>Summary!I24</f>
        <v>39273</v>
      </c>
      <c r="L491" s="317">
        <f>Summary!J24</f>
        <v>38316.800000000003</v>
      </c>
      <c r="M491" s="321">
        <f t="shared" si="86"/>
        <v>-956.19999999999709</v>
      </c>
      <c r="N491" s="222"/>
      <c r="O491" s="222"/>
      <c r="P491" s="222"/>
      <c r="Q491" s="222"/>
      <c r="R491" s="222"/>
      <c r="S491" s="222"/>
      <c r="T491" s="222"/>
      <c r="U491" s="222"/>
      <c r="V491" s="222"/>
    </row>
    <row r="492" spans="1:22" ht="17.5" x14ac:dyDescent="0.35">
      <c r="A492" s="222"/>
      <c r="B492" s="310" t="s">
        <v>120</v>
      </c>
      <c r="C492" s="311"/>
      <c r="D492" s="312"/>
      <c r="E492" s="317">
        <f>Summary!I27</f>
        <v>25</v>
      </c>
      <c r="F492" s="317">
        <f>Summary!J27</f>
        <v>25</v>
      </c>
      <c r="G492" s="318">
        <f>F492-E492</f>
        <v>0</v>
      </c>
      <c r="H492" s="319">
        <f>L408</f>
        <v>24235</v>
      </c>
      <c r="I492" s="319">
        <f>M408</f>
        <v>24235.199999999997</v>
      </c>
      <c r="J492" s="319">
        <f t="shared" si="85"/>
        <v>0.19999999999708962</v>
      </c>
      <c r="K492" s="317">
        <f>Summary!I29</f>
        <v>67.319999999999993</v>
      </c>
      <c r="L492" s="317">
        <f>Summary!J29</f>
        <v>67.319999999999993</v>
      </c>
      <c r="M492" s="321">
        <f t="shared" si="86"/>
        <v>0</v>
      </c>
      <c r="N492" s="222"/>
      <c r="O492" s="222"/>
      <c r="P492" s="222"/>
      <c r="Q492" s="222"/>
      <c r="R492" s="222"/>
      <c r="S492" s="222"/>
      <c r="T492" s="222"/>
      <c r="U492" s="222"/>
      <c r="V492" s="222"/>
    </row>
    <row r="493" spans="1:22" ht="17.5" x14ac:dyDescent="0.35">
      <c r="A493" s="222"/>
      <c r="B493" s="310" t="s">
        <v>119</v>
      </c>
      <c r="C493" s="311"/>
      <c r="D493" s="312"/>
      <c r="E493" s="317">
        <f>Summary!I32</f>
        <v>1065</v>
      </c>
      <c r="F493" s="317">
        <f>Summary!J32</f>
        <v>1062</v>
      </c>
      <c r="G493" s="318">
        <f t="shared" si="84"/>
        <v>-3</v>
      </c>
      <c r="H493" s="319">
        <f>L403</f>
        <v>341036.79999999999</v>
      </c>
      <c r="I493" s="319">
        <f>M403</f>
        <v>341036.79999999999</v>
      </c>
      <c r="J493" s="319">
        <f t="shared" si="85"/>
        <v>0</v>
      </c>
      <c r="K493" s="317">
        <f>Summary!I34</f>
        <v>1081.5999999999999</v>
      </c>
      <c r="L493" s="317">
        <f>Summary!J34</f>
        <v>1081.5999999999999</v>
      </c>
      <c r="M493" s="321">
        <f t="shared" si="86"/>
        <v>0</v>
      </c>
      <c r="N493" s="222"/>
      <c r="O493" s="222"/>
      <c r="P493" s="222"/>
      <c r="Q493" s="222"/>
      <c r="R493" s="222"/>
      <c r="S493" s="222"/>
      <c r="T493" s="222"/>
      <c r="U493" s="222"/>
      <c r="V493" s="222"/>
    </row>
    <row r="494" spans="1:22" ht="17.5" x14ac:dyDescent="0.35">
      <c r="A494" s="222"/>
      <c r="B494" s="310" t="s">
        <v>121</v>
      </c>
      <c r="C494" s="311"/>
      <c r="D494" s="312"/>
      <c r="E494" s="317">
        <f>Summary!J37</f>
        <v>21</v>
      </c>
      <c r="F494" s="317">
        <f>Summary!K37</f>
        <v>21</v>
      </c>
      <c r="G494" s="318">
        <f t="shared" si="84"/>
        <v>0</v>
      </c>
      <c r="H494" s="319">
        <f>Summary!I38</f>
        <v>123636</v>
      </c>
      <c r="I494" s="319">
        <f>Summary!J38</f>
        <v>123636</v>
      </c>
      <c r="J494" s="319">
        <f t="shared" si="85"/>
        <v>0</v>
      </c>
      <c r="K494" s="317"/>
      <c r="L494" s="320"/>
      <c r="M494" s="321">
        <f t="shared" si="86"/>
        <v>0</v>
      </c>
      <c r="N494" s="222"/>
      <c r="O494" s="222"/>
      <c r="P494" s="222"/>
      <c r="Q494" s="222"/>
      <c r="R494" s="222"/>
      <c r="S494" s="222"/>
      <c r="T494" s="222"/>
      <c r="U494" s="222"/>
      <c r="V494" s="222"/>
    </row>
    <row r="495" spans="1:22" ht="18" x14ac:dyDescent="0.4">
      <c r="A495" s="222"/>
      <c r="B495" s="349" t="s">
        <v>24</v>
      </c>
      <c r="C495" s="350"/>
      <c r="D495" s="351"/>
      <c r="E495" s="352">
        <f t="shared" ref="E495:M495" si="87">SUM(E489:E494)</f>
        <v>4399</v>
      </c>
      <c r="F495" s="352">
        <f t="shared" si="87"/>
        <v>4411</v>
      </c>
      <c r="G495" s="352">
        <f t="shared" si="87"/>
        <v>12</v>
      </c>
      <c r="H495" s="352">
        <f t="shared" si="87"/>
        <v>54872263.289999984</v>
      </c>
      <c r="I495" s="352">
        <f t="shared" si="87"/>
        <v>57121172.049999982</v>
      </c>
      <c r="J495" s="352">
        <f>SUM(J489:J494)</f>
        <v>2248908.7599999914</v>
      </c>
      <c r="K495" s="352">
        <f t="shared" si="87"/>
        <v>40421.919999999998</v>
      </c>
      <c r="L495" s="352">
        <f t="shared" si="87"/>
        <v>39465.72</v>
      </c>
      <c r="M495" s="685">
        <f t="shared" si="87"/>
        <v>-956.19999999999709</v>
      </c>
      <c r="N495" s="222"/>
      <c r="O495" s="222"/>
      <c r="P495" s="222"/>
      <c r="Q495" s="222"/>
      <c r="R495" s="222"/>
      <c r="S495" s="222"/>
      <c r="T495" s="222"/>
      <c r="U495" s="222"/>
      <c r="V495" s="222"/>
    </row>
    <row r="496" spans="1:22" ht="18" x14ac:dyDescent="0.4">
      <c r="A496" s="222"/>
      <c r="B496" s="349" t="s">
        <v>358</v>
      </c>
      <c r="C496" s="350"/>
      <c r="D496" s="351"/>
      <c r="E496" s="352"/>
      <c r="F496" s="352"/>
      <c r="G496" s="683">
        <f>G495/E495</f>
        <v>2.7278927028870198E-3</v>
      </c>
      <c r="H496" s="352"/>
      <c r="I496" s="352"/>
      <c r="J496" s="684">
        <f>J495/H495</f>
        <v>4.0984435945616196E-2</v>
      </c>
      <c r="K496" s="352"/>
      <c r="L496" s="352"/>
      <c r="M496" s="683">
        <f>M495/K495</f>
        <v>-2.3655481976115857E-2</v>
      </c>
      <c r="N496" s="222"/>
      <c r="O496" s="222"/>
      <c r="P496" s="222"/>
      <c r="Q496" s="222"/>
      <c r="R496" s="222"/>
      <c r="S496" s="222"/>
      <c r="T496" s="222"/>
      <c r="U496" s="222"/>
      <c r="V496" s="222"/>
    </row>
    <row r="497" spans="1:23" ht="17.5" x14ac:dyDescent="0.35">
      <c r="A497" s="222"/>
      <c r="B497" s="222"/>
      <c r="C497" s="222"/>
      <c r="D497" s="222"/>
      <c r="E497" s="222"/>
      <c r="F497" s="222"/>
      <c r="G497" s="222"/>
      <c r="H497" s="222"/>
      <c r="I497" s="222"/>
      <c r="J497" s="222"/>
      <c r="K497" s="222"/>
      <c r="L497" s="222"/>
      <c r="M497" s="222"/>
      <c r="N497" s="222"/>
      <c r="O497" s="222"/>
      <c r="P497" s="222"/>
      <c r="Q497" s="222"/>
      <c r="R497" s="222"/>
      <c r="S497" s="222"/>
      <c r="T497" s="222"/>
      <c r="U497" s="222"/>
      <c r="V497" s="222"/>
    </row>
    <row r="498" spans="1:23" ht="18" hidden="1" x14ac:dyDescent="0.35">
      <c r="A498" s="222"/>
      <c r="B498" s="763" t="s">
        <v>362</v>
      </c>
      <c r="C498" s="754"/>
      <c r="D498" s="754"/>
      <c r="E498" s="754"/>
      <c r="F498" s="754"/>
      <c r="G498" s="754"/>
      <c r="H498" s="754"/>
      <c r="I498" s="754"/>
      <c r="J498" s="754"/>
      <c r="K498" s="754"/>
      <c r="L498" s="754"/>
      <c r="M498" s="754"/>
      <c r="N498" s="222"/>
      <c r="O498" s="222"/>
      <c r="P498" s="222"/>
      <c r="Q498" s="222"/>
      <c r="R498" s="222"/>
      <c r="S498" s="307"/>
      <c r="T498" s="222"/>
      <c r="U498" s="222"/>
      <c r="V498" s="222"/>
    </row>
    <row r="499" spans="1:23" ht="18" hidden="1" x14ac:dyDescent="0.35">
      <c r="A499" s="222"/>
      <c r="B499" s="757" t="s">
        <v>168</v>
      </c>
      <c r="C499" s="758"/>
      <c r="D499" s="759"/>
      <c r="E499" s="309" t="s">
        <v>279</v>
      </c>
      <c r="F499" s="390" t="s">
        <v>273</v>
      </c>
      <c r="G499" s="309" t="s">
        <v>169</v>
      </c>
      <c r="H499" s="242"/>
      <c r="I499" s="242"/>
      <c r="J499" s="242"/>
      <c r="K499" s="242"/>
      <c r="L499" s="242"/>
      <c r="M499" s="222"/>
      <c r="N499" s="222"/>
      <c r="O499" s="222"/>
      <c r="P499" s="222"/>
      <c r="Q499" s="222"/>
      <c r="R499" s="222"/>
      <c r="S499" s="307"/>
      <c r="T499" s="222"/>
      <c r="U499" s="222"/>
      <c r="V499" s="222"/>
    </row>
    <row r="500" spans="1:23" ht="17.5" hidden="1" x14ac:dyDescent="0.35">
      <c r="A500" s="222"/>
      <c r="B500" s="310" t="s">
        <v>1</v>
      </c>
      <c r="C500" s="311"/>
      <c r="D500" s="312"/>
      <c r="E500" s="313">
        <f t="shared" ref="E500:E505" si="88">F478</f>
        <v>1026251.47</v>
      </c>
      <c r="F500" s="313">
        <f t="shared" ref="F500:F505" si="89">+L5</f>
        <v>1026294.77</v>
      </c>
      <c r="G500" s="314">
        <f>F500-E500</f>
        <v>43.300000000046566</v>
      </c>
      <c r="H500" s="242"/>
      <c r="I500" s="315"/>
      <c r="J500" s="315"/>
      <c r="K500" s="242"/>
      <c r="L500" s="242"/>
      <c r="M500" s="222"/>
      <c r="N500" s="222"/>
      <c r="O500" s="222"/>
      <c r="P500" s="222"/>
      <c r="Q500" s="222"/>
      <c r="R500" s="222"/>
      <c r="S500" s="307"/>
      <c r="T500" s="222"/>
      <c r="U500" s="222"/>
      <c r="V500" s="222"/>
    </row>
    <row r="501" spans="1:23" ht="17.5" hidden="1" x14ac:dyDescent="0.35">
      <c r="A501" s="222"/>
      <c r="B501" s="310" t="s">
        <v>97</v>
      </c>
      <c r="C501" s="311"/>
      <c r="D501" s="312"/>
      <c r="E501" s="313">
        <f t="shared" si="88"/>
        <v>317075.75</v>
      </c>
      <c r="F501" s="313">
        <f t="shared" si="89"/>
        <v>329967.56</v>
      </c>
      <c r="G501" s="314">
        <f t="shared" ref="G501:G505" si="90">F501-E501</f>
        <v>12891.809999999998</v>
      </c>
      <c r="H501" s="242"/>
      <c r="I501" s="315"/>
      <c r="J501" s="315"/>
      <c r="K501" s="242"/>
      <c r="L501" s="242"/>
      <c r="M501" s="222"/>
      <c r="N501" s="222"/>
      <c r="O501" s="222"/>
      <c r="P501" s="222"/>
      <c r="Q501" s="222"/>
      <c r="R501" s="222"/>
      <c r="S501" s="307"/>
      <c r="T501" s="222"/>
      <c r="U501" s="222"/>
      <c r="V501" s="222"/>
    </row>
    <row r="502" spans="1:23" ht="17.5" hidden="1" x14ac:dyDescent="0.35">
      <c r="A502" s="222"/>
      <c r="B502" s="310" t="s">
        <v>201</v>
      </c>
      <c r="C502" s="311"/>
      <c r="D502" s="312"/>
      <c r="E502" s="313">
        <f t="shared" si="88"/>
        <v>211545.08</v>
      </c>
      <c r="F502" s="313">
        <f t="shared" si="89"/>
        <v>206720.09000000003</v>
      </c>
      <c r="G502" s="314">
        <f t="shared" si="90"/>
        <v>-4824.9899999999616</v>
      </c>
      <c r="H502" s="242"/>
      <c r="I502" s="315"/>
      <c r="J502" s="315"/>
      <c r="K502" s="242"/>
      <c r="L502" s="242"/>
      <c r="M502" s="222"/>
      <c r="N502" s="222"/>
      <c r="O502" s="222"/>
      <c r="P502" s="222"/>
      <c r="Q502" s="222"/>
      <c r="R502" s="222"/>
      <c r="S502" s="307"/>
      <c r="T502" s="222"/>
      <c r="U502" s="222"/>
      <c r="V502" s="222"/>
    </row>
    <row r="503" spans="1:23" ht="17.5" hidden="1" x14ac:dyDescent="0.35">
      <c r="A503" s="222"/>
      <c r="B503" s="310" t="s">
        <v>120</v>
      </c>
      <c r="C503" s="311"/>
      <c r="D503" s="312"/>
      <c r="E503" s="313">
        <f t="shared" si="88"/>
        <v>1991.64</v>
      </c>
      <c r="F503" s="313">
        <f t="shared" si="89"/>
        <v>1991.64</v>
      </c>
      <c r="G503" s="314">
        <f t="shared" si="90"/>
        <v>0</v>
      </c>
      <c r="H503" s="242"/>
      <c r="I503" s="315"/>
      <c r="J503" s="315"/>
      <c r="K503" s="242"/>
      <c r="L503" s="242"/>
      <c r="M503" s="222"/>
      <c r="N503" s="222"/>
      <c r="O503" s="222"/>
      <c r="P503" s="222"/>
      <c r="Q503" s="222"/>
      <c r="R503" s="222"/>
      <c r="S503" s="307"/>
      <c r="T503" s="222"/>
      <c r="U503" s="222"/>
      <c r="V503" s="222"/>
    </row>
    <row r="504" spans="1:23" ht="17.5" hidden="1" x14ac:dyDescent="0.35">
      <c r="A504" s="222"/>
      <c r="B504" s="310" t="s">
        <v>119</v>
      </c>
      <c r="C504" s="311"/>
      <c r="D504" s="312"/>
      <c r="E504" s="313">
        <f t="shared" si="88"/>
        <v>52946.55</v>
      </c>
      <c r="F504" s="313">
        <f t="shared" si="89"/>
        <v>52944.36</v>
      </c>
      <c r="G504" s="314">
        <f t="shared" si="90"/>
        <v>-2.1900000000023283</v>
      </c>
      <c r="H504" s="242"/>
      <c r="I504" s="315"/>
      <c r="J504" s="315"/>
      <c r="K504" s="242"/>
      <c r="L504" s="242"/>
      <c r="M504" s="222"/>
      <c r="N504" s="222"/>
      <c r="O504" s="222"/>
      <c r="P504" s="222"/>
      <c r="Q504" s="222"/>
      <c r="R504" s="222"/>
      <c r="S504" s="307"/>
      <c r="T504" s="222"/>
      <c r="U504" s="222"/>
      <c r="V504" s="222"/>
    </row>
    <row r="505" spans="1:23" ht="17.5" hidden="1" x14ac:dyDescent="0.35">
      <c r="A505" s="222"/>
      <c r="B505" s="310" t="s">
        <v>121</v>
      </c>
      <c r="C505" s="311"/>
      <c r="D505" s="312"/>
      <c r="E505" s="313">
        <f t="shared" si="88"/>
        <v>5464.08</v>
      </c>
      <c r="F505" s="313">
        <f t="shared" si="89"/>
        <v>5464.08</v>
      </c>
      <c r="G505" s="314">
        <f t="shared" si="90"/>
        <v>0</v>
      </c>
      <c r="H505" s="242"/>
      <c r="I505" s="315"/>
      <c r="J505" s="315"/>
      <c r="K505" s="242"/>
      <c r="L505" s="242"/>
      <c r="M505" s="222"/>
      <c r="N505" s="222"/>
      <c r="O505" s="222"/>
      <c r="P505" s="222"/>
      <c r="Q505" s="222"/>
      <c r="R505" s="222"/>
      <c r="S505" s="307"/>
      <c r="T505" s="222"/>
      <c r="U505" s="222"/>
      <c r="V505" s="222"/>
    </row>
    <row r="506" spans="1:23" ht="18" hidden="1" x14ac:dyDescent="0.4">
      <c r="A506" s="222"/>
      <c r="B506" s="349" t="s">
        <v>24</v>
      </c>
      <c r="C506" s="350"/>
      <c r="D506" s="351"/>
      <c r="E506" s="353">
        <f>SUM(E500:E505)</f>
        <v>1615274.57</v>
      </c>
      <c r="F506" s="353">
        <f>SUM(F500:F505)</f>
        <v>1623382.5000000002</v>
      </c>
      <c r="G506" s="353">
        <f>SUM(G500:G505)</f>
        <v>8107.9300000000803</v>
      </c>
      <c r="H506" s="242"/>
      <c r="I506" s="242"/>
      <c r="J506" s="242"/>
      <c r="K506" s="242"/>
      <c r="L506" s="242"/>
      <c r="M506" s="222"/>
      <c r="N506" s="222"/>
      <c r="O506" s="222"/>
      <c r="P506" s="222"/>
      <c r="Q506" s="222"/>
      <c r="R506" s="222"/>
      <c r="S506" s="307"/>
      <c r="T506" s="222"/>
      <c r="U506" s="222"/>
      <c r="V506" s="222"/>
    </row>
    <row r="507" spans="1:23" ht="18" hidden="1" x14ac:dyDescent="0.4">
      <c r="A507" s="222"/>
      <c r="B507" s="703"/>
      <c r="C507" s="703"/>
      <c r="D507" s="703"/>
      <c r="E507" s="710"/>
      <c r="F507" s="710"/>
      <c r="G507" s="710"/>
      <c r="H507" s="242"/>
      <c r="I507" s="242"/>
      <c r="J507" s="242"/>
      <c r="K507" s="242"/>
      <c r="L507" s="242"/>
      <c r="M507" s="222"/>
      <c r="N507" s="222"/>
      <c r="O507" s="222"/>
      <c r="P507" s="222"/>
      <c r="Q507" s="222"/>
      <c r="R507" s="222"/>
      <c r="S507" s="307"/>
      <c r="T507" s="222"/>
      <c r="U507" s="222"/>
      <c r="V507" s="222"/>
    </row>
    <row r="508" spans="1:23" ht="18.5" thickBot="1" x14ac:dyDescent="0.4">
      <c r="A508" s="222"/>
      <c r="B508" s="754" t="s">
        <v>401</v>
      </c>
      <c r="C508" s="754"/>
      <c r="D508" s="754"/>
      <c r="E508" s="754"/>
      <c r="F508" s="754"/>
      <c r="G508" s="754"/>
      <c r="H508" s="754"/>
      <c r="I508" s="754"/>
      <c r="J508" s="754"/>
      <c r="K508" s="754"/>
      <c r="L508" s="754"/>
      <c r="M508" s="754"/>
      <c r="N508" s="222"/>
      <c r="O508" s="222"/>
      <c r="P508" s="222"/>
      <c r="Q508" s="222"/>
      <c r="R508" s="222"/>
      <c r="S508" s="307"/>
      <c r="T508" s="222"/>
      <c r="U508" s="222"/>
      <c r="V508" s="222"/>
    </row>
    <row r="509" spans="1:23" ht="18" customHeight="1" x14ac:dyDescent="0.4">
      <c r="A509" s="222"/>
      <c r="B509" s="765" t="s">
        <v>391</v>
      </c>
      <c r="C509" s="717"/>
      <c r="D509" s="767" t="s">
        <v>392</v>
      </c>
      <c r="E509" s="769" t="s">
        <v>399</v>
      </c>
      <c r="F509" s="770"/>
      <c r="G509" s="771"/>
      <c r="H509" s="769" t="s">
        <v>400</v>
      </c>
      <c r="I509" s="770"/>
      <c r="J509" s="771"/>
      <c r="K509" s="242"/>
      <c r="L509" s="222"/>
      <c r="M509" s="222"/>
      <c r="N509" s="222"/>
      <c r="O509" s="222"/>
      <c r="P509" s="222"/>
      <c r="Q509" s="222"/>
      <c r="R509" s="307"/>
      <c r="S509" s="222"/>
      <c r="T509" s="222"/>
      <c r="U509" s="222"/>
    </row>
    <row r="510" spans="1:23" ht="18" x14ac:dyDescent="0.4">
      <c r="A510" s="222"/>
      <c r="B510" s="766"/>
      <c r="C510" s="703"/>
      <c r="D510" s="768"/>
      <c r="E510" s="713">
        <v>2017</v>
      </c>
      <c r="F510" s="699">
        <v>2018</v>
      </c>
      <c r="G510" s="714" t="s">
        <v>169</v>
      </c>
      <c r="H510" s="713">
        <v>2017</v>
      </c>
      <c r="I510" s="699">
        <v>2018</v>
      </c>
      <c r="J510" s="714" t="s">
        <v>169</v>
      </c>
      <c r="K510" s="242"/>
      <c r="L510" s="242"/>
      <c r="M510" s="242"/>
      <c r="N510" s="222"/>
      <c r="O510" s="222"/>
      <c r="P510" s="222"/>
      <c r="Q510" s="222"/>
      <c r="R510" s="222"/>
      <c r="S510" s="222"/>
      <c r="T510" s="307"/>
      <c r="U510" s="222"/>
      <c r="V510" s="222"/>
      <c r="W510" s="222"/>
    </row>
    <row r="511" spans="1:23" ht="17.5" x14ac:dyDescent="0.35">
      <c r="A511" s="222"/>
      <c r="B511" s="718" t="s">
        <v>1</v>
      </c>
      <c r="C511" s="311"/>
      <c r="D511" s="719" t="s">
        <v>50</v>
      </c>
      <c r="E511" s="723">
        <f>H489/E489</f>
        <v>10054.685135793869</v>
      </c>
      <c r="F511" s="724">
        <f>I489/F489</f>
        <v>10752.815238919662</v>
      </c>
      <c r="G511" s="715">
        <f>(F511-E511)/E511</f>
        <v>6.9433313295958587E-2</v>
      </c>
      <c r="H511" s="723">
        <f>E511*$I$165</f>
        <v>10156.210657782043</v>
      </c>
      <c r="I511" s="724">
        <f>F511*$I$166</f>
        <v>10568.469693983909</v>
      </c>
      <c r="J511" s="715">
        <f>(I511-H511)/H511</f>
        <v>4.059181618943461E-2</v>
      </c>
      <c r="K511" s="242"/>
      <c r="L511" s="242"/>
      <c r="M511" s="242"/>
      <c r="N511" s="222"/>
      <c r="O511" s="222"/>
      <c r="P511" s="222"/>
      <c r="Q511" s="222"/>
      <c r="R511" s="222"/>
      <c r="S511" s="222"/>
      <c r="T511" s="307"/>
      <c r="U511" s="222"/>
      <c r="V511" s="222"/>
      <c r="W511" s="222"/>
    </row>
    <row r="512" spans="1:23" ht="17.5" x14ac:dyDescent="0.35">
      <c r="A512" s="222"/>
      <c r="B512" s="718" t="s">
        <v>97</v>
      </c>
      <c r="C512" s="311"/>
      <c r="D512" s="719" t="s">
        <v>50</v>
      </c>
      <c r="E512" s="723">
        <f t="shared" ref="E512:F516" si="91">H490/E490</f>
        <v>25555.115850515464</v>
      </c>
      <c r="F512" s="724">
        <f t="shared" si="91"/>
        <v>26342.911726804123</v>
      </c>
      <c r="G512" s="715">
        <f t="shared" ref="G512:G516" si="92">(F512-E512)/E512</f>
        <v>3.0827325569442444E-2</v>
      </c>
      <c r="H512" s="723">
        <f t="shared" ref="H512:H516" si="93">E512*$I$165</f>
        <v>25813.154410763927</v>
      </c>
      <c r="I512" s="724">
        <f t="shared" ref="I512:I516" si="94">F512*$I$166</f>
        <v>25891.290610885084</v>
      </c>
      <c r="J512" s="715">
        <f t="shared" ref="J512:J516" si="95">(I512-H512)/H512</f>
        <v>3.0269915438375914E-3</v>
      </c>
      <c r="K512" s="242"/>
      <c r="L512" s="242"/>
      <c r="M512" s="242"/>
      <c r="N512" s="222"/>
      <c r="O512" s="222"/>
      <c r="P512" s="222"/>
      <c r="Q512" s="222"/>
      <c r="R512" s="222"/>
      <c r="S512" s="222"/>
      <c r="T512" s="307"/>
      <c r="U512" s="222"/>
      <c r="V512" s="222"/>
      <c r="W512" s="222"/>
    </row>
    <row r="513" spans="1:23" ht="17.5" x14ac:dyDescent="0.35">
      <c r="A513" s="222"/>
      <c r="B513" s="718" t="s">
        <v>202</v>
      </c>
      <c r="C513" s="311"/>
      <c r="D513" s="719" t="s">
        <v>51</v>
      </c>
      <c r="E513" s="723">
        <f t="shared" si="91"/>
        <v>556818.38678571431</v>
      </c>
      <c r="F513" s="724">
        <f t="shared" si="91"/>
        <v>568780.88481481478</v>
      </c>
      <c r="G513" s="715">
        <f t="shared" si="92"/>
        <v>2.1483662021570631E-2</v>
      </c>
      <c r="H513" s="723">
        <f t="shared" si="93"/>
        <v>562440.76845232525</v>
      </c>
      <c r="I513" s="724">
        <f t="shared" si="94"/>
        <v>559029.74338529259</v>
      </c>
      <c r="J513" s="715">
        <f t="shared" si="95"/>
        <v>-6.0646831779616918E-3</v>
      </c>
      <c r="K513" s="242"/>
      <c r="L513" s="242"/>
      <c r="M513" s="242"/>
      <c r="N513" s="222"/>
      <c r="O513" s="222"/>
      <c r="P513" s="222"/>
      <c r="Q513" s="222"/>
      <c r="R513" s="222"/>
      <c r="S513" s="222"/>
      <c r="T513" s="307"/>
      <c r="U513" s="222"/>
      <c r="V513" s="222"/>
      <c r="W513" s="222"/>
    </row>
    <row r="514" spans="1:23" ht="17.5" x14ac:dyDescent="0.35">
      <c r="A514" s="222"/>
      <c r="B514" s="718" t="s">
        <v>120</v>
      </c>
      <c r="C514" s="311"/>
      <c r="D514" s="719" t="s">
        <v>51</v>
      </c>
      <c r="E514" s="723">
        <f t="shared" si="91"/>
        <v>969.4</v>
      </c>
      <c r="F514" s="724">
        <f t="shared" si="91"/>
        <v>969.4079999999999</v>
      </c>
      <c r="G514" s="715">
        <f t="shared" si="92"/>
        <v>8.2525273364189317E-6</v>
      </c>
      <c r="H514" s="723">
        <f t="shared" si="93"/>
        <v>979.18835634195784</v>
      </c>
      <c r="I514" s="724">
        <f t="shared" si="94"/>
        <v>952.78853411554439</v>
      </c>
      <c r="J514" s="715">
        <f t="shared" si="95"/>
        <v>-2.69609233559901E-2</v>
      </c>
      <c r="K514" s="242"/>
      <c r="L514" s="242"/>
      <c r="M514" s="242"/>
      <c r="N514" s="222"/>
      <c r="O514" s="222"/>
      <c r="P514" s="222"/>
      <c r="Q514" s="222"/>
      <c r="R514" s="222"/>
      <c r="S514" s="222"/>
      <c r="T514" s="307"/>
      <c r="U514" s="222"/>
      <c r="V514" s="222"/>
      <c r="W514" s="222"/>
    </row>
    <row r="515" spans="1:23" ht="17.5" x14ac:dyDescent="0.35">
      <c r="A515" s="222"/>
      <c r="B515" s="718" t="s">
        <v>119</v>
      </c>
      <c r="C515" s="311"/>
      <c r="D515" s="719" t="s">
        <v>51</v>
      </c>
      <c r="E515" s="723">
        <f t="shared" si="91"/>
        <v>320.22234741784035</v>
      </c>
      <c r="F515" s="724">
        <f t="shared" si="91"/>
        <v>321.12693032015062</v>
      </c>
      <c r="G515" s="715">
        <f t="shared" si="92"/>
        <v>2.8248587570620953E-3</v>
      </c>
      <c r="H515" s="723">
        <f t="shared" si="93"/>
        <v>323.45573966581236</v>
      </c>
      <c r="I515" s="724">
        <f t="shared" si="94"/>
        <v>315.62155171482073</v>
      </c>
      <c r="J515" s="715">
        <f t="shared" si="95"/>
        <v>-2.4220278048198346E-2</v>
      </c>
      <c r="K515" s="242"/>
      <c r="L515" s="242"/>
      <c r="M515" s="242"/>
      <c r="N515" s="222"/>
      <c r="O515" s="222"/>
      <c r="P515" s="222"/>
      <c r="Q515" s="222"/>
      <c r="R515" s="222"/>
      <c r="S515" s="222"/>
      <c r="T515" s="307"/>
      <c r="U515" s="222"/>
      <c r="V515" s="222"/>
      <c r="W515" s="222"/>
    </row>
    <row r="516" spans="1:23" ht="18" thickBot="1" x14ac:dyDescent="0.4">
      <c r="A516" s="222"/>
      <c r="B516" s="720" t="s">
        <v>121</v>
      </c>
      <c r="C516" s="721"/>
      <c r="D516" s="722" t="s">
        <v>50</v>
      </c>
      <c r="E516" s="725">
        <f t="shared" si="91"/>
        <v>5887.4285714285716</v>
      </c>
      <c r="F516" s="726">
        <f t="shared" si="91"/>
        <v>5887.4285714285716</v>
      </c>
      <c r="G516" s="716">
        <f t="shared" si="92"/>
        <v>0</v>
      </c>
      <c r="H516" s="725">
        <f t="shared" si="93"/>
        <v>5946.8759087454346</v>
      </c>
      <c r="I516" s="726">
        <f t="shared" si="94"/>
        <v>5786.4948899549036</v>
      </c>
      <c r="J516" s="715">
        <f t="shared" si="95"/>
        <v>-2.6968953321301996E-2</v>
      </c>
      <c r="K516" s="242"/>
      <c r="L516" s="242"/>
      <c r="M516" s="242"/>
      <c r="N516" s="222"/>
      <c r="O516" s="222"/>
      <c r="P516" s="222"/>
      <c r="Q516" s="222"/>
      <c r="R516" s="222"/>
      <c r="S516" s="222"/>
      <c r="T516" s="307"/>
      <c r="U516" s="222"/>
      <c r="V516" s="222"/>
      <c r="W516" s="222"/>
    </row>
    <row r="517" spans="1:23" ht="17.5" x14ac:dyDescent="0.35">
      <c r="A517" s="222"/>
      <c r="B517" s="322"/>
      <c r="C517" s="322"/>
      <c r="D517" s="322"/>
      <c r="E517" s="323"/>
      <c r="F517" s="323"/>
      <c r="G517" s="323"/>
      <c r="H517" s="242"/>
      <c r="I517" s="242"/>
      <c r="J517" s="242"/>
      <c r="K517" s="242"/>
      <c r="L517" s="242"/>
      <c r="M517" s="222"/>
      <c r="N517" s="222"/>
      <c r="O517" s="222"/>
      <c r="P517" s="222"/>
      <c r="Q517" s="222"/>
      <c r="R517" s="222"/>
      <c r="S517" s="307"/>
      <c r="T517" s="222"/>
      <c r="U517" s="222"/>
      <c r="V517" s="222"/>
    </row>
    <row r="518" spans="1:23" ht="18" x14ac:dyDescent="0.35">
      <c r="A518" s="222"/>
      <c r="B518" s="763" t="s">
        <v>398</v>
      </c>
      <c r="C518" s="754"/>
      <c r="D518" s="754"/>
      <c r="E518" s="754"/>
      <c r="F518" s="754"/>
      <c r="G518" s="754"/>
      <c r="H518" s="754"/>
      <c r="I518" s="754"/>
      <c r="J518" s="754"/>
      <c r="K518" s="754"/>
      <c r="L518" s="754"/>
      <c r="M518" s="754"/>
      <c r="N518" s="222"/>
      <c r="O518" s="222"/>
      <c r="P518" s="222"/>
      <c r="Q518" s="222"/>
      <c r="R518" s="222"/>
      <c r="S518" s="222"/>
      <c r="T518" s="222"/>
      <c r="U518" s="222"/>
      <c r="V518" s="222"/>
    </row>
    <row r="519" spans="1:23" ht="18" x14ac:dyDescent="0.35">
      <c r="A519" s="222"/>
      <c r="B519" s="757"/>
      <c r="C519" s="758"/>
      <c r="D519" s="759"/>
      <c r="E519" s="757" t="s">
        <v>160</v>
      </c>
      <c r="F519" s="758"/>
      <c r="G519" s="759"/>
      <c r="H519" s="764" t="s">
        <v>50</v>
      </c>
      <c r="I519" s="764"/>
      <c r="J519" s="672"/>
      <c r="K519" s="764" t="s">
        <v>161</v>
      </c>
      <c r="L519" s="764"/>
      <c r="M519" s="316"/>
      <c r="N519" s="222"/>
      <c r="O519" s="222"/>
      <c r="P519" s="222"/>
      <c r="Q519" s="222"/>
      <c r="R519" s="222"/>
      <c r="S519" s="222"/>
      <c r="T519" s="222"/>
      <c r="U519" s="222"/>
      <c r="V519" s="222"/>
    </row>
    <row r="520" spans="1:23" ht="54" x14ac:dyDescent="0.4">
      <c r="A520" s="222"/>
      <c r="B520" s="760" t="s">
        <v>162</v>
      </c>
      <c r="C520" s="761"/>
      <c r="D520" s="762"/>
      <c r="E520" s="348" t="s">
        <v>272</v>
      </c>
      <c r="F520" s="348" t="s">
        <v>273</v>
      </c>
      <c r="G520" s="348" t="s">
        <v>30</v>
      </c>
      <c r="H520" s="348" t="s">
        <v>272</v>
      </c>
      <c r="I520" s="348" t="s">
        <v>273</v>
      </c>
      <c r="J520" s="348" t="s">
        <v>357</v>
      </c>
      <c r="K520" s="348" t="s">
        <v>272</v>
      </c>
      <c r="L520" s="348" t="s">
        <v>273</v>
      </c>
      <c r="M520" s="347" t="s">
        <v>163</v>
      </c>
      <c r="N520" s="222"/>
      <c r="O520" s="222"/>
      <c r="P520" s="222"/>
      <c r="Q520" s="222"/>
      <c r="R520" s="222"/>
      <c r="S520" s="222"/>
      <c r="T520" s="222"/>
      <c r="U520" s="222"/>
      <c r="V520" s="222"/>
    </row>
    <row r="521" spans="1:23" ht="17.5" x14ac:dyDescent="0.35">
      <c r="A521" s="222"/>
      <c r="B521" s="310" t="s">
        <v>1</v>
      </c>
      <c r="C521" s="311"/>
      <c r="D521" s="312"/>
      <c r="E521" s="317">
        <f>Summary!J14</f>
        <v>2888</v>
      </c>
      <c r="F521" s="317">
        <f>Summary!K14</f>
        <v>2901</v>
      </c>
      <c r="G521" s="318">
        <f>F521-E521</f>
        <v>13</v>
      </c>
      <c r="H521" s="319">
        <f t="shared" ref="H521:H526" si="96">I489</f>
        <v>31054130.409999982</v>
      </c>
      <c r="I521" s="319">
        <f>Summary!K15</f>
        <v>31777563.039999995</v>
      </c>
      <c r="J521" s="319">
        <f>I521-H521</f>
        <v>723432.63000001386</v>
      </c>
      <c r="K521" s="317"/>
      <c r="L521" s="320"/>
      <c r="M521" s="321">
        <f>L521-K521</f>
        <v>0</v>
      </c>
      <c r="N521" s="222"/>
      <c r="O521" s="222"/>
      <c r="P521" s="222"/>
      <c r="Q521" s="222"/>
      <c r="R521" s="222"/>
      <c r="S521" s="222"/>
      <c r="T521" s="222"/>
      <c r="U521" s="222"/>
      <c r="V521" s="222"/>
    </row>
    <row r="522" spans="1:23" ht="17.5" x14ac:dyDescent="0.35">
      <c r="A522" s="222"/>
      <c r="B522" s="310" t="s">
        <v>97</v>
      </c>
      <c r="C522" s="311"/>
      <c r="D522" s="312"/>
      <c r="E522" s="317">
        <f>Summary!J18</f>
        <v>388</v>
      </c>
      <c r="F522" s="317">
        <f>Summary!K18</f>
        <v>380</v>
      </c>
      <c r="G522" s="318">
        <f t="shared" ref="G522:G526" si="97">F522-E522</f>
        <v>-8</v>
      </c>
      <c r="H522" s="319">
        <f t="shared" si="96"/>
        <v>10221049.75</v>
      </c>
      <c r="I522" s="319">
        <f>Summary!K19</f>
        <v>10266815.940000001</v>
      </c>
      <c r="J522" s="319">
        <f t="shared" ref="J522:J526" si="98">I522-H522</f>
        <v>45766.190000001341</v>
      </c>
      <c r="K522" s="317"/>
      <c r="L522" s="320"/>
      <c r="M522" s="321">
        <f t="shared" ref="M522:M527" si="99">L522-K522</f>
        <v>0</v>
      </c>
      <c r="N522" s="222"/>
      <c r="O522" s="222"/>
      <c r="P522" s="222"/>
      <c r="Q522" s="222"/>
      <c r="R522" s="222"/>
      <c r="S522" s="222"/>
      <c r="T522" s="222"/>
      <c r="U522" s="222"/>
      <c r="V522" s="222"/>
    </row>
    <row r="523" spans="1:23" ht="17.5" x14ac:dyDescent="0.35">
      <c r="A523" s="222"/>
      <c r="B523" s="310" t="s">
        <v>201</v>
      </c>
      <c r="C523" s="311"/>
      <c r="D523" s="312"/>
      <c r="E523" s="317">
        <f>Summary!J22</f>
        <v>27</v>
      </c>
      <c r="F523" s="317">
        <f>Summary!K22</f>
        <v>28</v>
      </c>
      <c r="G523" s="318">
        <f t="shared" si="97"/>
        <v>1</v>
      </c>
      <c r="H523" s="319">
        <f t="shared" si="96"/>
        <v>15357083.889999999</v>
      </c>
      <c r="I523" s="319">
        <f>N398</f>
        <v>14949541.120000001</v>
      </c>
      <c r="J523" s="319">
        <f t="shared" si="98"/>
        <v>-407542.76999999769</v>
      </c>
      <c r="K523" s="317">
        <f>Summary!J24</f>
        <v>38316.800000000003</v>
      </c>
      <c r="L523" s="317">
        <f>Summary!K24</f>
        <v>37231.699999999997</v>
      </c>
      <c r="M523" s="321">
        <f t="shared" si="99"/>
        <v>-1085.1000000000058</v>
      </c>
      <c r="N523" s="222"/>
      <c r="O523" s="222"/>
      <c r="P523" s="222"/>
      <c r="Q523" s="222"/>
      <c r="R523" s="222"/>
      <c r="S523" s="222"/>
      <c r="T523" s="222"/>
      <c r="U523" s="222"/>
      <c r="V523" s="222"/>
    </row>
    <row r="524" spans="1:23" ht="17.5" x14ac:dyDescent="0.35">
      <c r="A524" s="222"/>
      <c r="B524" s="310" t="s">
        <v>120</v>
      </c>
      <c r="C524" s="311"/>
      <c r="D524" s="312"/>
      <c r="E524" s="317">
        <f>Summary!J27</f>
        <v>25</v>
      </c>
      <c r="F524" s="317">
        <f>Summary!K27</f>
        <v>25</v>
      </c>
      <c r="G524" s="318">
        <f>F524-E524</f>
        <v>0</v>
      </c>
      <c r="H524" s="319">
        <f t="shared" si="96"/>
        <v>24235.199999999997</v>
      </c>
      <c r="I524" s="319">
        <f>N408</f>
        <v>24235.199999999997</v>
      </c>
      <c r="J524" s="319">
        <f t="shared" si="98"/>
        <v>0</v>
      </c>
      <c r="K524" s="317">
        <f>Summary!J29</f>
        <v>67.319999999999993</v>
      </c>
      <c r="L524" s="317">
        <f>Summary!K29</f>
        <v>67.319999999999993</v>
      </c>
      <c r="M524" s="321">
        <f t="shared" si="99"/>
        <v>0</v>
      </c>
      <c r="N524" s="222"/>
      <c r="O524" s="222"/>
      <c r="P524" s="222"/>
      <c r="Q524" s="222"/>
      <c r="R524" s="222"/>
      <c r="S524" s="222"/>
      <c r="T524" s="222"/>
      <c r="U524" s="222"/>
      <c r="V524" s="222"/>
    </row>
    <row r="525" spans="1:23" ht="17.5" x14ac:dyDescent="0.35">
      <c r="A525" s="222"/>
      <c r="B525" s="310" t="s">
        <v>119</v>
      </c>
      <c r="C525" s="311"/>
      <c r="D525" s="312"/>
      <c r="E525" s="317">
        <f>Summary!J32</f>
        <v>1062</v>
      </c>
      <c r="F525" s="317">
        <f>Summary!K32</f>
        <v>1062</v>
      </c>
      <c r="G525" s="318">
        <f t="shared" si="97"/>
        <v>0</v>
      </c>
      <c r="H525" s="319">
        <f t="shared" si="96"/>
        <v>341036.79999999999</v>
      </c>
      <c r="I525" s="319">
        <f>N403</f>
        <v>341036.79999999999</v>
      </c>
      <c r="J525" s="319">
        <f t="shared" si="98"/>
        <v>0</v>
      </c>
      <c r="K525" s="317">
        <f>Summary!J34</f>
        <v>1081.5999999999999</v>
      </c>
      <c r="L525" s="317">
        <f>Summary!K34</f>
        <v>1081.5999999999999</v>
      </c>
      <c r="M525" s="321">
        <f t="shared" si="99"/>
        <v>0</v>
      </c>
      <c r="N525" s="222"/>
      <c r="O525" s="222"/>
      <c r="P525" s="222"/>
      <c r="Q525" s="222"/>
      <c r="R525" s="222"/>
      <c r="S525" s="222"/>
      <c r="T525" s="222"/>
      <c r="U525" s="222"/>
      <c r="V525" s="222"/>
    </row>
    <row r="526" spans="1:23" ht="17.5" x14ac:dyDescent="0.35">
      <c r="A526" s="222"/>
      <c r="B526" s="310" t="s">
        <v>121</v>
      </c>
      <c r="C526" s="311"/>
      <c r="D526" s="312"/>
      <c r="E526" s="317">
        <f>Summary!J37</f>
        <v>21</v>
      </c>
      <c r="F526" s="317">
        <f>Summary!K37</f>
        <v>21</v>
      </c>
      <c r="G526" s="318">
        <f t="shared" si="97"/>
        <v>0</v>
      </c>
      <c r="H526" s="319">
        <f t="shared" si="96"/>
        <v>123636</v>
      </c>
      <c r="I526" s="319">
        <f>Summary!K38</f>
        <v>123636</v>
      </c>
      <c r="J526" s="319">
        <f t="shared" si="98"/>
        <v>0</v>
      </c>
      <c r="K526" s="317"/>
      <c r="L526" s="320"/>
      <c r="M526" s="321">
        <f t="shared" si="99"/>
        <v>0</v>
      </c>
      <c r="N526" s="222"/>
      <c r="O526" s="222"/>
      <c r="P526" s="222"/>
      <c r="Q526" s="222"/>
      <c r="R526" s="222"/>
      <c r="S526" s="222"/>
      <c r="T526" s="222"/>
      <c r="U526" s="222"/>
      <c r="V526" s="222"/>
    </row>
    <row r="527" spans="1:23" ht="18" x14ac:dyDescent="0.4">
      <c r="A527" s="222"/>
      <c r="B527" s="349" t="s">
        <v>24</v>
      </c>
      <c r="C527" s="350"/>
      <c r="D527" s="351"/>
      <c r="E527" s="352">
        <f t="shared" ref="E527:L527" si="100">SUM(E521:E526)</f>
        <v>4411</v>
      </c>
      <c r="F527" s="352">
        <f t="shared" si="100"/>
        <v>4417</v>
      </c>
      <c r="G527" s="352">
        <f t="shared" si="100"/>
        <v>6</v>
      </c>
      <c r="H527" s="352">
        <f t="shared" si="100"/>
        <v>57121172.049999982</v>
      </c>
      <c r="I527" s="352">
        <f t="shared" si="100"/>
        <v>57482828.099999994</v>
      </c>
      <c r="J527" s="352">
        <f>SUM(J521:J526)</f>
        <v>361656.05000001751</v>
      </c>
      <c r="K527" s="352">
        <f t="shared" si="100"/>
        <v>39465.72</v>
      </c>
      <c r="L527" s="352">
        <f t="shared" si="100"/>
        <v>38380.619999999995</v>
      </c>
      <c r="M527" s="685">
        <f t="shared" si="99"/>
        <v>-1085.1000000000058</v>
      </c>
      <c r="N527" s="222"/>
      <c r="O527" s="222"/>
      <c r="P527" s="222"/>
      <c r="Q527" s="222"/>
      <c r="R527" s="222"/>
      <c r="S527" s="222"/>
      <c r="T527" s="222"/>
      <c r="U527" s="222"/>
      <c r="V527" s="222"/>
    </row>
    <row r="528" spans="1:23" ht="18" x14ac:dyDescent="0.4">
      <c r="A528" s="222"/>
      <c r="B528" s="349" t="s">
        <v>358</v>
      </c>
      <c r="C528" s="350"/>
      <c r="D528" s="351"/>
      <c r="E528" s="352"/>
      <c r="F528" s="352"/>
      <c r="G528" s="683">
        <f>G527/E527</f>
        <v>1.3602357742008614E-3</v>
      </c>
      <c r="H528" s="352"/>
      <c r="I528" s="352"/>
      <c r="J528" s="684">
        <f>J527/H527</f>
        <v>6.3313835662098883E-3</v>
      </c>
      <c r="K528" s="352"/>
      <c r="L528" s="352"/>
      <c r="M528" s="683">
        <f>M527/K527</f>
        <v>-2.7494747340223509E-2</v>
      </c>
      <c r="N528" s="222"/>
      <c r="O528" s="222"/>
      <c r="P528" s="222"/>
      <c r="Q528" s="222"/>
      <c r="R528" s="222"/>
      <c r="S528" s="222"/>
      <c r="T528" s="222"/>
      <c r="U528" s="222"/>
      <c r="V528" s="222"/>
    </row>
    <row r="529" spans="1:22" ht="17.5" hidden="1" x14ac:dyDescent="0.35">
      <c r="A529" s="222"/>
      <c r="B529" s="222"/>
      <c r="C529" s="222"/>
      <c r="D529" s="222"/>
      <c r="E529" s="222"/>
      <c r="F529" s="222"/>
      <c r="G529" s="222"/>
      <c r="H529" s="222"/>
      <c r="I529" s="222"/>
      <c r="J529" s="222"/>
      <c r="K529" s="222"/>
      <c r="L529" s="222"/>
      <c r="M529" s="222"/>
      <c r="N529" s="222"/>
      <c r="O529" s="222"/>
      <c r="P529" s="222"/>
      <c r="Q529" s="222"/>
      <c r="R529" s="222"/>
      <c r="S529" s="222"/>
      <c r="T529" s="222"/>
      <c r="U529" s="222"/>
      <c r="V529" s="222"/>
    </row>
    <row r="530" spans="1:22" ht="18" hidden="1" x14ac:dyDescent="0.35">
      <c r="A530" s="222"/>
      <c r="B530" s="626" t="s">
        <v>363</v>
      </c>
      <c r="C530" s="324"/>
      <c r="D530" s="324"/>
      <c r="E530" s="324"/>
      <c r="F530" s="324"/>
      <c r="G530" s="324"/>
      <c r="H530" s="324"/>
      <c r="I530" s="324"/>
      <c r="J530" s="324"/>
      <c r="K530" s="324"/>
      <c r="L530" s="324"/>
      <c r="M530" s="324"/>
      <c r="N530" s="222"/>
      <c r="O530" s="222"/>
      <c r="P530" s="222"/>
      <c r="Q530" s="222"/>
      <c r="R530" s="222"/>
      <c r="S530" s="307"/>
      <c r="T530" s="222"/>
      <c r="U530" s="222"/>
      <c r="V530" s="222"/>
    </row>
    <row r="531" spans="1:22" ht="18" hidden="1" x14ac:dyDescent="0.35">
      <c r="A531" s="222"/>
      <c r="B531" s="757" t="s">
        <v>168</v>
      </c>
      <c r="C531" s="758"/>
      <c r="D531" s="759"/>
      <c r="E531" s="390" t="s">
        <v>273</v>
      </c>
      <c r="F531" s="309" t="s">
        <v>281</v>
      </c>
      <c r="G531" s="309" t="s">
        <v>169</v>
      </c>
      <c r="H531" s="242"/>
      <c r="I531" s="242"/>
      <c r="J531" s="242"/>
      <c r="K531" s="242"/>
      <c r="L531" s="242"/>
      <c r="M531" s="222"/>
      <c r="N531" s="222"/>
      <c r="O531" s="222"/>
      <c r="P531" s="222"/>
      <c r="Q531" s="222"/>
      <c r="R531" s="222"/>
      <c r="S531" s="307"/>
      <c r="T531" s="222"/>
      <c r="U531" s="222"/>
      <c r="V531" s="222"/>
    </row>
    <row r="532" spans="1:22" ht="17.5" hidden="1" x14ac:dyDescent="0.35">
      <c r="A532" s="222"/>
      <c r="B532" s="310" t="s">
        <v>1</v>
      </c>
      <c r="C532" s="311"/>
      <c r="D532" s="312"/>
      <c r="E532" s="313">
        <f t="shared" ref="E532:E537" si="101">F500</f>
        <v>1026294.77</v>
      </c>
      <c r="F532" s="313">
        <f t="shared" ref="F532:F537" si="102">+M5</f>
        <v>1046478.7795121447</v>
      </c>
      <c r="G532" s="314">
        <f>F532-E532</f>
        <v>20184.009512144723</v>
      </c>
      <c r="H532" s="242"/>
      <c r="I532" s="315"/>
      <c r="J532" s="315"/>
      <c r="K532" s="242"/>
      <c r="L532" s="242"/>
      <c r="M532" s="222"/>
      <c r="N532" s="222"/>
      <c r="O532" s="222"/>
      <c r="P532" s="222"/>
      <c r="Q532" s="222"/>
      <c r="R532" s="222"/>
      <c r="S532" s="307"/>
      <c r="T532" s="222"/>
      <c r="U532" s="222"/>
      <c r="V532" s="222"/>
    </row>
    <row r="533" spans="1:22" ht="17.5" hidden="1" x14ac:dyDescent="0.35">
      <c r="A533" s="222"/>
      <c r="B533" s="310" t="s">
        <v>97</v>
      </c>
      <c r="C533" s="311"/>
      <c r="D533" s="312"/>
      <c r="E533" s="313">
        <f t="shared" si="101"/>
        <v>329967.56</v>
      </c>
      <c r="F533" s="313">
        <f t="shared" si="102"/>
        <v>328426.61435385712</v>
      </c>
      <c r="G533" s="314">
        <f t="shared" ref="G533:G537" si="103">F533-E533</f>
        <v>-1540.9456461428781</v>
      </c>
      <c r="H533" s="242"/>
      <c r="I533" s="315"/>
      <c r="J533" s="315"/>
      <c r="K533" s="242"/>
      <c r="L533" s="242"/>
      <c r="M533" s="222"/>
      <c r="N533" s="222"/>
      <c r="O533" s="222"/>
      <c r="P533" s="222"/>
      <c r="Q533" s="222"/>
      <c r="R533" s="222"/>
      <c r="S533" s="307"/>
      <c r="T533" s="222"/>
      <c r="U533" s="222"/>
      <c r="V533" s="222"/>
    </row>
    <row r="534" spans="1:22" ht="17.5" hidden="1" x14ac:dyDescent="0.35">
      <c r="A534" s="222"/>
      <c r="B534" s="310" t="s">
        <v>201</v>
      </c>
      <c r="C534" s="311"/>
      <c r="D534" s="312"/>
      <c r="E534" s="313">
        <f t="shared" si="101"/>
        <v>206720.09000000003</v>
      </c>
      <c r="F534" s="313">
        <f t="shared" si="102"/>
        <v>213972.02745347912</v>
      </c>
      <c r="G534" s="314">
        <f t="shared" si="103"/>
        <v>7251.9374534790986</v>
      </c>
      <c r="H534" s="242"/>
      <c r="I534" s="315"/>
      <c r="J534" s="315"/>
      <c r="K534" s="242"/>
      <c r="L534" s="242"/>
      <c r="M534" s="222"/>
      <c r="N534" s="222"/>
      <c r="O534" s="222"/>
      <c r="P534" s="222"/>
      <c r="Q534" s="222"/>
      <c r="R534" s="222"/>
      <c r="S534" s="307"/>
      <c r="T534" s="222"/>
      <c r="U534" s="222"/>
      <c r="V534" s="222"/>
    </row>
    <row r="535" spans="1:22" ht="17.5" hidden="1" x14ac:dyDescent="0.35">
      <c r="A535" s="222"/>
      <c r="B535" s="310" t="s">
        <v>120</v>
      </c>
      <c r="C535" s="311"/>
      <c r="D535" s="312"/>
      <c r="E535" s="313">
        <f t="shared" si="101"/>
        <v>1991.64</v>
      </c>
      <c r="F535" s="313">
        <f t="shared" si="102"/>
        <v>1802.3091403224505</v>
      </c>
      <c r="G535" s="314">
        <f t="shared" si="103"/>
        <v>-189.3308596775496</v>
      </c>
      <c r="H535" s="242"/>
      <c r="I535" s="315"/>
      <c r="J535" s="315"/>
      <c r="K535" s="242"/>
      <c r="L535" s="242"/>
      <c r="M535" s="222"/>
      <c r="N535" s="222"/>
      <c r="O535" s="222"/>
      <c r="P535" s="222"/>
      <c r="Q535" s="222"/>
      <c r="R535" s="222"/>
      <c r="S535" s="307"/>
      <c r="T535" s="222"/>
      <c r="U535" s="222"/>
      <c r="V535" s="222"/>
    </row>
    <row r="536" spans="1:22" ht="17.5" hidden="1" x14ac:dyDescent="0.35">
      <c r="A536" s="222"/>
      <c r="B536" s="310" t="s">
        <v>119</v>
      </c>
      <c r="C536" s="311"/>
      <c r="D536" s="312"/>
      <c r="E536" s="313">
        <f t="shared" si="101"/>
        <v>52944.36</v>
      </c>
      <c r="F536" s="313">
        <f t="shared" si="102"/>
        <v>35632.985999999961</v>
      </c>
      <c r="G536" s="314">
        <f t="shared" si="103"/>
        <v>-17311.37400000004</v>
      </c>
      <c r="H536" s="242"/>
      <c r="I536" s="315"/>
      <c r="J536" s="315"/>
      <c r="K536" s="242"/>
      <c r="L536" s="242"/>
      <c r="M536" s="222"/>
      <c r="N536" s="222"/>
      <c r="O536" s="222"/>
      <c r="P536" s="222"/>
      <c r="Q536" s="222"/>
      <c r="R536" s="222"/>
      <c r="S536" s="307"/>
      <c r="T536" s="222"/>
      <c r="U536" s="222"/>
      <c r="V536" s="222"/>
    </row>
    <row r="537" spans="1:22" ht="17.5" hidden="1" x14ac:dyDescent="0.35">
      <c r="A537" s="222"/>
      <c r="B537" s="310" t="s">
        <v>121</v>
      </c>
      <c r="C537" s="311"/>
      <c r="D537" s="312"/>
      <c r="E537" s="313">
        <f t="shared" si="101"/>
        <v>5464.08</v>
      </c>
      <c r="F537" s="313">
        <f t="shared" si="102"/>
        <v>4963.0699915487976</v>
      </c>
      <c r="G537" s="314">
        <f t="shared" si="103"/>
        <v>-501.01000845120234</v>
      </c>
      <c r="H537" s="242"/>
      <c r="I537" s="315"/>
      <c r="J537" s="315"/>
      <c r="K537" s="242"/>
      <c r="L537" s="242"/>
      <c r="M537" s="222"/>
      <c r="N537" s="222"/>
      <c r="O537" s="222"/>
      <c r="P537" s="222"/>
      <c r="Q537" s="222"/>
      <c r="R537" s="222"/>
      <c r="S537" s="307"/>
      <c r="T537" s="222"/>
      <c r="U537" s="222"/>
      <c r="V537" s="222"/>
    </row>
    <row r="538" spans="1:22" ht="18" hidden="1" x14ac:dyDescent="0.4">
      <c r="A538" s="222"/>
      <c r="B538" s="349" t="s">
        <v>24</v>
      </c>
      <c r="C538" s="350"/>
      <c r="D538" s="351"/>
      <c r="E538" s="353">
        <f>SUM(E532:E537)</f>
        <v>1623382.5000000002</v>
      </c>
      <c r="F538" s="353">
        <f>SUM(F532:F537)</f>
        <v>1631275.7864513523</v>
      </c>
      <c r="G538" s="353">
        <f>SUM(G532:G537)</f>
        <v>7893.2864513521517</v>
      </c>
      <c r="H538" s="242"/>
      <c r="I538" s="242"/>
      <c r="J538" s="242"/>
      <c r="K538" s="242"/>
      <c r="L538" s="242"/>
      <c r="M538" s="222"/>
      <c r="N538" s="222"/>
      <c r="O538" s="222"/>
      <c r="P538" s="222"/>
      <c r="Q538" s="222"/>
      <c r="R538" s="222"/>
      <c r="S538" s="307"/>
      <c r="T538" s="222"/>
      <c r="U538" s="222"/>
      <c r="V538" s="222"/>
    </row>
    <row r="539" spans="1:22" ht="18" x14ac:dyDescent="0.4">
      <c r="A539" s="222"/>
      <c r="B539" s="703"/>
      <c r="C539" s="703"/>
      <c r="D539" s="703"/>
      <c r="E539" s="710"/>
      <c r="F539" s="710"/>
      <c r="G539" s="710"/>
      <c r="H539" s="242"/>
      <c r="I539" s="242"/>
      <c r="J539" s="242"/>
      <c r="K539" s="242"/>
      <c r="L539" s="242"/>
      <c r="M539" s="222"/>
      <c r="N539" s="222"/>
      <c r="O539" s="222"/>
      <c r="P539" s="222"/>
      <c r="Q539" s="222"/>
      <c r="R539" s="222"/>
      <c r="S539" s="307"/>
      <c r="T539" s="222"/>
      <c r="U539" s="222"/>
      <c r="V539" s="222"/>
    </row>
    <row r="540" spans="1:22" ht="18" x14ac:dyDescent="0.35">
      <c r="A540" s="222"/>
      <c r="B540" s="754" t="s">
        <v>402</v>
      </c>
      <c r="C540" s="754"/>
      <c r="D540" s="754"/>
      <c r="E540" s="754"/>
      <c r="F540" s="754"/>
      <c r="G540" s="754"/>
      <c r="H540" s="754"/>
      <c r="I540" s="754"/>
      <c r="J540" s="754"/>
      <c r="K540" s="754"/>
      <c r="L540" s="754"/>
      <c r="M540" s="754"/>
      <c r="N540" s="222"/>
      <c r="O540" s="222"/>
      <c r="P540" s="222"/>
      <c r="Q540" s="222"/>
      <c r="R540" s="222"/>
      <c r="S540" s="307"/>
      <c r="T540" s="222"/>
      <c r="U540" s="222"/>
      <c r="V540" s="222"/>
    </row>
    <row r="541" spans="1:22" ht="18" x14ac:dyDescent="0.4">
      <c r="A541" s="222"/>
      <c r="B541" s="755" t="s">
        <v>391</v>
      </c>
      <c r="C541" s="703"/>
      <c r="D541" s="755" t="s">
        <v>392</v>
      </c>
      <c r="E541" s="757" t="s">
        <v>399</v>
      </c>
      <c r="F541" s="758"/>
      <c r="G541" s="759"/>
      <c r="H541" s="757" t="s">
        <v>400</v>
      </c>
      <c r="I541" s="758"/>
      <c r="J541" s="759"/>
      <c r="K541" s="242"/>
      <c r="L541" s="222"/>
      <c r="M541" s="222"/>
      <c r="N541" s="222"/>
      <c r="O541" s="222"/>
      <c r="P541" s="222"/>
      <c r="Q541" s="222"/>
      <c r="R541" s="222"/>
      <c r="S541" s="307"/>
      <c r="T541" s="222"/>
      <c r="U541" s="222"/>
      <c r="V541" s="222"/>
    </row>
    <row r="542" spans="1:22" ht="18" x14ac:dyDescent="0.4">
      <c r="A542" s="222"/>
      <c r="B542" s="756"/>
      <c r="C542" s="703"/>
      <c r="D542" s="756"/>
      <c r="E542" s="699">
        <v>2018</v>
      </c>
      <c r="F542" s="699">
        <v>2019</v>
      </c>
      <c r="G542" s="699" t="s">
        <v>169</v>
      </c>
      <c r="H542" s="699">
        <v>2018</v>
      </c>
      <c r="I542" s="699">
        <v>2019</v>
      </c>
      <c r="J542" s="699" t="s">
        <v>169</v>
      </c>
      <c r="K542" s="242"/>
      <c r="L542" s="242"/>
      <c r="M542" s="242"/>
      <c r="N542" s="222"/>
      <c r="O542" s="222"/>
      <c r="P542" s="222"/>
      <c r="Q542" s="222"/>
      <c r="R542" s="222"/>
      <c r="S542" s="307"/>
      <c r="T542" s="222"/>
      <c r="U542" s="222"/>
      <c r="V542" s="222"/>
    </row>
    <row r="543" spans="1:22" ht="17.5" x14ac:dyDescent="0.35">
      <c r="A543" s="222"/>
      <c r="B543" s="310" t="s">
        <v>1</v>
      </c>
      <c r="C543" s="311"/>
      <c r="D543" s="317" t="s">
        <v>50</v>
      </c>
      <c r="E543" s="723">
        <f>F511</f>
        <v>10752.815238919662</v>
      </c>
      <c r="F543" s="724">
        <f>I521/F521</f>
        <v>10954.003116166838</v>
      </c>
      <c r="G543" s="715">
        <f>(F543-E543)/E543</f>
        <v>1.8710251480838137E-2</v>
      </c>
      <c r="H543" s="723">
        <f>I511</f>
        <v>10568.469693983909</v>
      </c>
      <c r="I543" s="724">
        <f>F543*$I$167</f>
        <v>10951.992370399694</v>
      </c>
      <c r="J543" s="715">
        <f>(I543-H543)/H543</f>
        <v>3.628932925209645E-2</v>
      </c>
      <c r="K543" s="242"/>
      <c r="L543" s="242"/>
      <c r="M543" s="242"/>
      <c r="N543" s="222"/>
      <c r="O543" s="222"/>
      <c r="P543" s="222"/>
      <c r="Q543" s="222"/>
      <c r="R543" s="222"/>
      <c r="S543" s="307"/>
      <c r="T543" s="222"/>
      <c r="U543" s="222"/>
      <c r="V543" s="222"/>
    </row>
    <row r="544" spans="1:22" ht="17.5" x14ac:dyDescent="0.35">
      <c r="A544" s="222"/>
      <c r="B544" s="310" t="s">
        <v>97</v>
      </c>
      <c r="C544" s="311"/>
      <c r="D544" s="317" t="s">
        <v>50</v>
      </c>
      <c r="E544" s="723">
        <f t="shared" ref="E544:E548" si="104">F512</f>
        <v>26342.911726804123</v>
      </c>
      <c r="F544" s="724">
        <f t="shared" ref="F544:F548" si="105">I522/F522</f>
        <v>27017.93668421053</v>
      </c>
      <c r="G544" s="715">
        <f t="shared" ref="G544:G548" si="106">(F544-E544)/E544</f>
        <v>2.5624538563045939E-2</v>
      </c>
      <c r="H544" s="723">
        <f t="shared" ref="H544:H548" si="107">I512</f>
        <v>25891.290610885084</v>
      </c>
      <c r="I544" s="724">
        <f t="shared" ref="I544:I548" si="108">F544*$I$167</f>
        <v>27012.977200335219</v>
      </c>
      <c r="J544" s="715">
        <f t="shared" ref="J544:J548" si="109">(I544-H544)/H544</f>
        <v>4.3322930722447708E-2</v>
      </c>
      <c r="K544" s="242"/>
      <c r="L544" s="242"/>
      <c r="M544" s="242"/>
      <c r="N544" s="222"/>
      <c r="O544" s="222"/>
      <c r="P544" s="222"/>
      <c r="Q544" s="222"/>
      <c r="R544" s="222"/>
      <c r="S544" s="307"/>
      <c r="T544" s="222"/>
      <c r="U544" s="222"/>
      <c r="V544" s="222"/>
    </row>
    <row r="545" spans="1:22" ht="17.5" x14ac:dyDescent="0.35">
      <c r="A545" s="222"/>
      <c r="B545" s="310" t="s">
        <v>202</v>
      </c>
      <c r="C545" s="311"/>
      <c r="D545" s="317" t="s">
        <v>51</v>
      </c>
      <c r="E545" s="723">
        <f t="shared" si="104"/>
        <v>568780.88481481478</v>
      </c>
      <c r="F545" s="724">
        <f t="shared" si="105"/>
        <v>533912.18285714288</v>
      </c>
      <c r="G545" s="715">
        <f t="shared" si="106"/>
        <v>-6.1304278833182922E-2</v>
      </c>
      <c r="H545" s="723">
        <f t="shared" si="107"/>
        <v>559029.74338529259</v>
      </c>
      <c r="I545" s="724">
        <f t="shared" si="108"/>
        <v>533814.17652554682</v>
      </c>
      <c r="J545" s="715">
        <f t="shared" si="109"/>
        <v>-4.5105948579853616E-2</v>
      </c>
      <c r="K545" s="242"/>
      <c r="L545" s="242"/>
      <c r="M545" s="242"/>
      <c r="N545" s="222"/>
      <c r="O545" s="222"/>
      <c r="P545" s="222"/>
      <c r="Q545" s="222"/>
      <c r="R545" s="222"/>
      <c r="S545" s="307"/>
      <c r="T545" s="222"/>
      <c r="U545" s="222"/>
      <c r="V545" s="222"/>
    </row>
    <row r="546" spans="1:22" ht="17.5" x14ac:dyDescent="0.35">
      <c r="A546" s="222"/>
      <c r="B546" s="310" t="s">
        <v>120</v>
      </c>
      <c r="C546" s="311"/>
      <c r="D546" s="317" t="s">
        <v>51</v>
      </c>
      <c r="E546" s="723">
        <f t="shared" si="104"/>
        <v>969.4079999999999</v>
      </c>
      <c r="F546" s="724">
        <f t="shared" si="105"/>
        <v>969.4079999999999</v>
      </c>
      <c r="G546" s="715">
        <f t="shared" si="106"/>
        <v>0</v>
      </c>
      <c r="H546" s="723">
        <f t="shared" si="107"/>
        <v>952.78853411554439</v>
      </c>
      <c r="I546" s="724">
        <f t="shared" si="108"/>
        <v>969.23005290504614</v>
      </c>
      <c r="J546" s="715">
        <f t="shared" si="109"/>
        <v>1.7256209747280486E-2</v>
      </c>
      <c r="K546" s="242"/>
      <c r="L546" s="242"/>
      <c r="M546" s="242"/>
      <c r="N546" s="222"/>
      <c r="O546" s="222"/>
      <c r="P546" s="222"/>
      <c r="Q546" s="222"/>
      <c r="R546" s="222"/>
      <c r="S546" s="307"/>
      <c r="T546" s="222"/>
      <c r="U546" s="222"/>
      <c r="V546" s="222"/>
    </row>
    <row r="547" spans="1:22" ht="17.5" x14ac:dyDescent="0.35">
      <c r="A547" s="222"/>
      <c r="B547" s="310" t="s">
        <v>119</v>
      </c>
      <c r="C547" s="311"/>
      <c r="D547" s="317" t="s">
        <v>51</v>
      </c>
      <c r="E547" s="723">
        <f t="shared" si="104"/>
        <v>321.12693032015062</v>
      </c>
      <c r="F547" s="724">
        <f t="shared" si="105"/>
        <v>321.12693032015062</v>
      </c>
      <c r="G547" s="715">
        <f t="shared" si="106"/>
        <v>0</v>
      </c>
      <c r="H547" s="723">
        <f t="shared" si="107"/>
        <v>315.62155171482073</v>
      </c>
      <c r="I547" s="724">
        <f t="shared" si="108"/>
        <v>321.06798341197378</v>
      </c>
      <c r="J547" s="715">
        <f t="shared" si="109"/>
        <v>1.7256209747280416E-2</v>
      </c>
      <c r="K547" s="242"/>
      <c r="L547" s="242"/>
      <c r="M547" s="242"/>
      <c r="N547" s="222"/>
      <c r="O547" s="222"/>
      <c r="P547" s="222"/>
      <c r="Q547" s="222"/>
      <c r="R547" s="222"/>
      <c r="S547" s="307"/>
      <c r="T547" s="222"/>
      <c r="U547" s="222"/>
      <c r="V547" s="222"/>
    </row>
    <row r="548" spans="1:22" ht="18" thickBot="1" x14ac:dyDescent="0.4">
      <c r="A548" s="222"/>
      <c r="B548" s="310" t="s">
        <v>121</v>
      </c>
      <c r="C548" s="311"/>
      <c r="D548" s="317" t="s">
        <v>50</v>
      </c>
      <c r="E548" s="725">
        <f t="shared" si="104"/>
        <v>5887.4285714285716</v>
      </c>
      <c r="F548" s="724">
        <f t="shared" si="105"/>
        <v>5887.4285714285716</v>
      </c>
      <c r="G548" s="715">
        <f t="shared" si="106"/>
        <v>0</v>
      </c>
      <c r="H548" s="725">
        <f t="shared" si="107"/>
        <v>5786.4948899549036</v>
      </c>
      <c r="I548" s="724">
        <f t="shared" si="108"/>
        <v>5886.3478594775324</v>
      </c>
      <c r="J548" s="715">
        <f t="shared" si="109"/>
        <v>1.7256209747280548E-2</v>
      </c>
      <c r="K548" s="242"/>
      <c r="L548" s="242"/>
      <c r="M548" s="242"/>
      <c r="N548" s="222"/>
      <c r="O548" s="222"/>
      <c r="P548" s="222"/>
      <c r="Q548" s="222"/>
      <c r="R548" s="222"/>
      <c r="S548" s="307"/>
      <c r="T548" s="222"/>
      <c r="U548" s="222"/>
      <c r="V548" s="222"/>
    </row>
    <row r="549" spans="1:22" ht="17.5" x14ac:dyDescent="0.35">
      <c r="A549" s="222"/>
      <c r="B549" s="322"/>
      <c r="C549" s="322"/>
      <c r="D549" s="707"/>
      <c r="E549" s="711"/>
      <c r="F549" s="711"/>
      <c r="G549" s="708"/>
      <c r="H549" s="708"/>
      <c r="I549" s="712"/>
      <c r="J549" s="708"/>
      <c r="K549" s="242"/>
      <c r="L549" s="242"/>
      <c r="M549" s="242"/>
      <c r="N549" s="222"/>
      <c r="O549" s="222"/>
      <c r="P549" s="222"/>
      <c r="Q549" s="222"/>
      <c r="R549" s="222"/>
      <c r="S549" s="307"/>
      <c r="T549" s="222"/>
      <c r="U549" s="222"/>
      <c r="V549" s="222"/>
    </row>
    <row r="550" spans="1:22" ht="18" x14ac:dyDescent="0.35">
      <c r="A550" s="222"/>
      <c r="B550" s="763" t="s">
        <v>403</v>
      </c>
      <c r="C550" s="754"/>
      <c r="D550" s="754"/>
      <c r="E550" s="754"/>
      <c r="F550" s="754"/>
      <c r="G550" s="754"/>
      <c r="H550" s="754"/>
      <c r="I550" s="754"/>
      <c r="J550" s="754"/>
      <c r="K550" s="754"/>
      <c r="L550" s="754"/>
      <c r="M550" s="754"/>
      <c r="N550" s="222"/>
      <c r="O550" s="222"/>
      <c r="P550" s="222"/>
      <c r="Q550" s="222"/>
      <c r="R550" s="222"/>
      <c r="S550" s="222"/>
      <c r="T550" s="222"/>
      <c r="U550" s="222"/>
      <c r="V550" s="222"/>
    </row>
    <row r="551" spans="1:22" ht="18" x14ac:dyDescent="0.35">
      <c r="A551" s="222"/>
      <c r="B551" s="757"/>
      <c r="C551" s="758"/>
      <c r="D551" s="759"/>
      <c r="E551" s="757" t="s">
        <v>160</v>
      </c>
      <c r="F551" s="758"/>
      <c r="G551" s="759"/>
      <c r="H551" s="764" t="s">
        <v>50</v>
      </c>
      <c r="I551" s="764"/>
      <c r="J551" s="672"/>
      <c r="K551" s="764" t="s">
        <v>161</v>
      </c>
      <c r="L551" s="764"/>
      <c r="M551" s="316"/>
      <c r="N551" s="222"/>
      <c r="O551" s="222"/>
      <c r="P551" s="222"/>
      <c r="Q551" s="222"/>
      <c r="R551" s="222"/>
      <c r="S551" s="222"/>
      <c r="T551" s="222"/>
      <c r="U551" s="222"/>
      <c r="V551" s="222"/>
    </row>
    <row r="552" spans="1:22" ht="54" x14ac:dyDescent="0.4">
      <c r="A552" s="222"/>
      <c r="B552" s="760" t="s">
        <v>162</v>
      </c>
      <c r="C552" s="761"/>
      <c r="D552" s="762"/>
      <c r="E552" s="348" t="s">
        <v>273</v>
      </c>
      <c r="F552" s="348" t="s">
        <v>281</v>
      </c>
      <c r="G552" s="348" t="s">
        <v>30</v>
      </c>
      <c r="H552" s="348" t="s">
        <v>273</v>
      </c>
      <c r="I552" s="348" t="s">
        <v>281</v>
      </c>
      <c r="J552" s="348" t="s">
        <v>357</v>
      </c>
      <c r="K552" s="348" t="s">
        <v>273</v>
      </c>
      <c r="L552" s="348" t="s">
        <v>281</v>
      </c>
      <c r="M552" s="347" t="s">
        <v>163</v>
      </c>
      <c r="N552" s="222"/>
      <c r="O552" s="222"/>
      <c r="P552" s="222"/>
      <c r="Q552" s="222"/>
      <c r="R552" s="222"/>
      <c r="S552" s="222"/>
      <c r="T552" s="222"/>
      <c r="U552" s="222"/>
      <c r="V552" s="222"/>
    </row>
    <row r="553" spans="1:22" ht="17.5" x14ac:dyDescent="0.35">
      <c r="A553" s="222"/>
      <c r="B553" s="310" t="s">
        <v>1</v>
      </c>
      <c r="C553" s="311"/>
      <c r="D553" s="312"/>
      <c r="E553" s="317">
        <f>Summary!K$14</f>
        <v>2901</v>
      </c>
      <c r="F553" s="317">
        <f>Summary!L$14</f>
        <v>2905.3354231059589</v>
      </c>
      <c r="G553" s="318">
        <f>F553-E553</f>
        <v>4.3354231059588528</v>
      </c>
      <c r="H553" s="319">
        <f t="shared" ref="H553:H558" si="110">I521</f>
        <v>31777563.039999995</v>
      </c>
      <c r="I553" s="319">
        <f>Summary!L15</f>
        <v>32702467.451466747</v>
      </c>
      <c r="J553" s="319">
        <f>I553-H553</f>
        <v>924904.41146675125</v>
      </c>
      <c r="K553" s="317"/>
      <c r="L553" s="320"/>
      <c r="M553" s="321">
        <f>L553-K553</f>
        <v>0</v>
      </c>
      <c r="N553" s="222"/>
      <c r="O553" s="222"/>
      <c r="P553" s="222"/>
      <c r="Q553" s="222"/>
      <c r="R553" s="222"/>
      <c r="S553" s="222"/>
      <c r="T553" s="222"/>
      <c r="U553" s="222"/>
      <c r="V553" s="222"/>
    </row>
    <row r="554" spans="1:22" ht="17.5" x14ac:dyDescent="0.35">
      <c r="A554" s="222"/>
      <c r="B554" s="310" t="s">
        <v>97</v>
      </c>
      <c r="C554" s="311"/>
      <c r="D554" s="312"/>
      <c r="E554" s="317">
        <f>Summary!K$18</f>
        <v>380</v>
      </c>
      <c r="F554" s="317">
        <f>Summary!L$18</f>
        <v>374.55491835736069</v>
      </c>
      <c r="G554" s="318">
        <f t="shared" ref="G554:G558" si="111">F554-E554</f>
        <v>-5.4450816426393089</v>
      </c>
      <c r="H554" s="319">
        <f t="shared" si="110"/>
        <v>10266815.940000001</v>
      </c>
      <c r="I554" s="319">
        <f>Summary!L19</f>
        <v>10389918.544066932</v>
      </c>
      <c r="J554" s="319">
        <f t="shared" ref="J554:J558" si="112">I554-H554</f>
        <v>123102.60406693071</v>
      </c>
      <c r="K554" s="317"/>
      <c r="L554" s="320"/>
      <c r="M554" s="321">
        <f t="shared" ref="M554:M558" si="113">L554-K554</f>
        <v>0</v>
      </c>
      <c r="N554" s="222"/>
      <c r="O554" s="222"/>
      <c r="P554" s="222"/>
      <c r="Q554" s="222"/>
      <c r="R554" s="222"/>
      <c r="S554" s="222"/>
      <c r="T554" s="222"/>
      <c r="U554" s="222"/>
      <c r="V554" s="222"/>
    </row>
    <row r="555" spans="1:22" ht="17.5" x14ac:dyDescent="0.35">
      <c r="A555" s="222"/>
      <c r="B555" s="310" t="s">
        <v>201</v>
      </c>
      <c r="C555" s="311"/>
      <c r="D555" s="312"/>
      <c r="E555" s="317">
        <f>Summary!K$22</f>
        <v>28</v>
      </c>
      <c r="F555" s="317">
        <f>Summary!L$22</f>
        <v>28.958151435622646</v>
      </c>
      <c r="G555" s="318">
        <f t="shared" si="111"/>
        <v>0.95815143562264637</v>
      </c>
      <c r="H555" s="319">
        <f t="shared" si="110"/>
        <v>14949541.120000001</v>
      </c>
      <c r="I555" s="319">
        <f>O398</f>
        <v>15417467.870985707</v>
      </c>
      <c r="J555" s="319">
        <f t="shared" si="112"/>
        <v>467926.75098570623</v>
      </c>
      <c r="K555" s="317">
        <f>Summary!K24</f>
        <v>37231.699999999997</v>
      </c>
      <c r="L555" s="317">
        <f>Summary!L24</f>
        <v>38397.067436687881</v>
      </c>
      <c r="M555" s="321">
        <f t="shared" si="113"/>
        <v>1165.367436687884</v>
      </c>
      <c r="N555" s="222"/>
      <c r="O555" s="222"/>
      <c r="P555" s="222"/>
      <c r="Q555" s="222"/>
      <c r="R555" s="222"/>
      <c r="S555" s="222"/>
      <c r="T555" s="222"/>
      <c r="U555" s="222"/>
      <c r="V555" s="222"/>
    </row>
    <row r="556" spans="1:22" ht="17.5" x14ac:dyDescent="0.35">
      <c r="A556" s="222"/>
      <c r="B556" s="310" t="s">
        <v>120</v>
      </c>
      <c r="C556" s="311"/>
      <c r="D556" s="312"/>
      <c r="E556" s="317">
        <f>Summary!K$27</f>
        <v>25</v>
      </c>
      <c r="F556" s="317">
        <f>Summary!L$27</f>
        <v>24.90214024902302</v>
      </c>
      <c r="G556" s="318">
        <f>F556-E556</f>
        <v>-9.7859750976979853E-2</v>
      </c>
      <c r="H556" s="319">
        <f t="shared" si="110"/>
        <v>24235.199999999997</v>
      </c>
      <c r="I556" s="319">
        <f>O408</f>
        <v>24151.492038982986</v>
      </c>
      <c r="J556" s="319">
        <f t="shared" si="112"/>
        <v>-83.707961017011257</v>
      </c>
      <c r="K556" s="317">
        <f>Summary!K29</f>
        <v>67.319999999999993</v>
      </c>
      <c r="L556" s="317">
        <f>Summary!L29</f>
        <v>67.382247233170062</v>
      </c>
      <c r="M556" s="321">
        <f t="shared" si="113"/>
        <v>6.2247233170069194E-2</v>
      </c>
      <c r="N556" s="222"/>
      <c r="O556" s="222"/>
      <c r="P556" s="222"/>
      <c r="Q556" s="222"/>
      <c r="R556" s="222"/>
      <c r="S556" s="222"/>
      <c r="T556" s="222"/>
      <c r="U556" s="222"/>
      <c r="V556" s="222"/>
    </row>
    <row r="557" spans="1:22" ht="17.5" x14ac:dyDescent="0.35">
      <c r="A557" s="222"/>
      <c r="B557" s="310" t="s">
        <v>119</v>
      </c>
      <c r="C557" s="311"/>
      <c r="D557" s="312"/>
      <c r="E557" s="317">
        <f>Summary!K$32</f>
        <v>1062</v>
      </c>
      <c r="F557" s="317">
        <f>Summary!L$32</f>
        <v>799</v>
      </c>
      <c r="G557" s="750">
        <f t="shared" si="111"/>
        <v>-263</v>
      </c>
      <c r="H557" s="751">
        <f t="shared" si="110"/>
        <v>341036.79999999999</v>
      </c>
      <c r="I557" s="751">
        <f>O403</f>
        <v>224918.5</v>
      </c>
      <c r="J557" s="751">
        <f t="shared" si="112"/>
        <v>-116118.29999999999</v>
      </c>
      <c r="K557" s="317">
        <f>Summary!K34</f>
        <v>1081.5999999999999</v>
      </c>
      <c r="L557" s="317">
        <f>Summary!L34</f>
        <v>659.99999999999829</v>
      </c>
      <c r="M557" s="321">
        <f t="shared" si="113"/>
        <v>-421.60000000000161</v>
      </c>
      <c r="N557" s="222"/>
      <c r="O557" s="222"/>
      <c r="P557" s="222"/>
      <c r="Q557" s="222"/>
      <c r="R557" s="222"/>
      <c r="S557" s="222"/>
      <c r="T557" s="222"/>
      <c r="U557" s="222"/>
      <c r="V557" s="222"/>
    </row>
    <row r="558" spans="1:22" ht="17.5" x14ac:dyDescent="0.35">
      <c r="A558" s="222"/>
      <c r="B558" s="310" t="s">
        <v>121</v>
      </c>
      <c r="C558" s="311"/>
      <c r="D558" s="312"/>
      <c r="E558" s="317">
        <f>Summary!K$37</f>
        <v>21</v>
      </c>
      <c r="F558" s="317">
        <f>Summary!L$37</f>
        <v>21</v>
      </c>
      <c r="G558" s="750">
        <f t="shared" si="111"/>
        <v>0</v>
      </c>
      <c r="H558" s="751">
        <f t="shared" si="110"/>
        <v>123636</v>
      </c>
      <c r="I558" s="751">
        <f>Summary!L38</f>
        <v>119334.39436616548</v>
      </c>
      <c r="J558" s="751">
        <f t="shared" si="112"/>
        <v>-4301.6056338345225</v>
      </c>
      <c r="K558" s="317"/>
      <c r="L558" s="320"/>
      <c r="M558" s="321">
        <f t="shared" si="113"/>
        <v>0</v>
      </c>
      <c r="N558" s="222"/>
      <c r="O558" s="222"/>
      <c r="P558" s="222"/>
      <c r="Q558" s="222"/>
      <c r="R558" s="222"/>
      <c r="S558" s="222"/>
      <c r="T558" s="222"/>
      <c r="U558" s="222"/>
      <c r="V558" s="222"/>
    </row>
    <row r="559" spans="1:22" ht="18" x14ac:dyDescent="0.4">
      <c r="A559" s="222"/>
      <c r="B559" s="349" t="s">
        <v>24</v>
      </c>
      <c r="C559" s="350"/>
      <c r="D559" s="351"/>
      <c r="E559" s="352">
        <f t="shared" ref="E559:M559" si="114">SUM(E553:E558)</f>
        <v>4417</v>
      </c>
      <c r="F559" s="352">
        <f t="shared" si="114"/>
        <v>4153.7506331479653</v>
      </c>
      <c r="G559" s="752">
        <f t="shared" si="114"/>
        <v>-263.24936685203477</v>
      </c>
      <c r="H559" s="752">
        <f t="shared" si="114"/>
        <v>57482828.099999994</v>
      </c>
      <c r="I559" s="752">
        <f t="shared" si="114"/>
        <v>58878258.252924532</v>
      </c>
      <c r="J559" s="752">
        <f>SUM(J553:J558)</f>
        <v>1395430.1529245365</v>
      </c>
      <c r="K559" s="352">
        <f t="shared" si="114"/>
        <v>38380.619999999995</v>
      </c>
      <c r="L559" s="352">
        <f t="shared" si="114"/>
        <v>39124.449683921048</v>
      </c>
      <c r="M559" s="352">
        <f t="shared" si="114"/>
        <v>743.82968392105261</v>
      </c>
      <c r="N559" s="222"/>
      <c r="O559" s="222"/>
      <c r="P559" s="222"/>
      <c r="Q559" s="222"/>
      <c r="R559" s="222"/>
      <c r="S559" s="222"/>
      <c r="T559" s="222"/>
      <c r="U559" s="222"/>
      <c r="V559" s="222"/>
    </row>
    <row r="560" spans="1:22" ht="18" x14ac:dyDescent="0.4">
      <c r="A560" s="222"/>
      <c r="B560" s="349" t="s">
        <v>358</v>
      </c>
      <c r="C560" s="350"/>
      <c r="D560" s="351"/>
      <c r="E560" s="352"/>
      <c r="F560" s="352"/>
      <c r="G560" s="753">
        <f>G559/E559</f>
        <v>-5.9599132182937463E-2</v>
      </c>
      <c r="H560" s="752"/>
      <c r="I560" s="752"/>
      <c r="J560" s="687">
        <f>J559/H559</f>
        <v>2.4275600193104218E-2</v>
      </c>
      <c r="K560" s="352"/>
      <c r="L560" s="352"/>
      <c r="M560" s="683">
        <f>M559/K559</f>
        <v>1.93803457036664E-2</v>
      </c>
      <c r="N560" s="222"/>
      <c r="O560" s="222"/>
      <c r="P560" s="222"/>
      <c r="Q560" s="222"/>
      <c r="R560" s="222"/>
      <c r="S560" s="222"/>
      <c r="T560" s="222"/>
      <c r="U560" s="222"/>
      <c r="V560" s="222"/>
    </row>
    <row r="561" spans="1:22" ht="18" x14ac:dyDescent="0.4">
      <c r="A561" s="222"/>
      <c r="B561" s="703"/>
      <c r="C561" s="703"/>
      <c r="D561" s="703"/>
      <c r="E561" s="704"/>
      <c r="F561" s="704"/>
      <c r="G561" s="728"/>
      <c r="H561" s="729"/>
      <c r="I561" s="729"/>
      <c r="J561" s="730"/>
      <c r="K561" s="704"/>
      <c r="L561" s="704"/>
      <c r="M561" s="705"/>
      <c r="N561" s="222"/>
      <c r="O561" s="222"/>
      <c r="P561" s="222"/>
      <c r="Q561" s="222"/>
      <c r="R561" s="222"/>
      <c r="S561" s="222"/>
      <c r="T561" s="222"/>
      <c r="U561" s="222"/>
      <c r="V561" s="222"/>
    </row>
    <row r="562" spans="1:22" ht="18" x14ac:dyDescent="0.35">
      <c r="A562" s="222"/>
      <c r="B562" s="754" t="s">
        <v>404</v>
      </c>
      <c r="C562" s="754"/>
      <c r="D562" s="754"/>
      <c r="E562" s="754"/>
      <c r="F562" s="754"/>
      <c r="G562" s="754"/>
      <c r="H562" s="754"/>
      <c r="I562" s="754"/>
      <c r="J562" s="754"/>
      <c r="K562" s="754"/>
      <c r="L562" s="754"/>
      <c r="M562" s="754"/>
      <c r="N562" s="222"/>
      <c r="O562" s="222"/>
      <c r="P562" s="222"/>
      <c r="Q562" s="222"/>
      <c r="R562" s="222"/>
      <c r="S562" s="222"/>
      <c r="T562" s="222"/>
      <c r="U562" s="222"/>
      <c r="V562" s="222"/>
    </row>
    <row r="563" spans="1:22" ht="18" x14ac:dyDescent="0.4">
      <c r="A563" s="222"/>
      <c r="B563" s="755" t="s">
        <v>391</v>
      </c>
      <c r="C563" s="703"/>
      <c r="D563" s="755" t="s">
        <v>392</v>
      </c>
      <c r="E563" s="757" t="s">
        <v>399</v>
      </c>
      <c r="F563" s="758"/>
      <c r="G563" s="759"/>
      <c r="H563" s="757" t="s">
        <v>400</v>
      </c>
      <c r="I563" s="758"/>
      <c r="J563" s="759"/>
      <c r="K563" s="242"/>
      <c r="L563" s="222"/>
      <c r="M563" s="222"/>
      <c r="N563" s="222"/>
      <c r="O563" s="222"/>
      <c r="P563" s="222"/>
      <c r="Q563" s="222"/>
      <c r="R563" s="222"/>
      <c r="S563" s="222"/>
      <c r="T563" s="222"/>
      <c r="U563" s="222"/>
      <c r="V563" s="222"/>
    </row>
    <row r="564" spans="1:22" ht="18" x14ac:dyDescent="0.4">
      <c r="A564" s="222"/>
      <c r="B564" s="756"/>
      <c r="C564" s="703"/>
      <c r="D564" s="756"/>
      <c r="E564" s="699">
        <v>2019</v>
      </c>
      <c r="F564" s="699">
        <v>2020</v>
      </c>
      <c r="G564" s="699" t="s">
        <v>169</v>
      </c>
      <c r="H564" s="699">
        <v>2019</v>
      </c>
      <c r="I564" s="699">
        <v>2020</v>
      </c>
      <c r="J564" s="699" t="s">
        <v>169</v>
      </c>
      <c r="K564" s="242"/>
      <c r="L564" s="242"/>
      <c r="M564" s="242"/>
      <c r="N564" s="222"/>
      <c r="O564" s="222"/>
      <c r="P564" s="222"/>
      <c r="Q564" s="222"/>
      <c r="R564" s="222"/>
      <c r="S564" s="222"/>
      <c r="T564" s="222"/>
      <c r="U564" s="222"/>
      <c r="V564" s="222"/>
    </row>
    <row r="565" spans="1:22" ht="17.5" x14ac:dyDescent="0.35">
      <c r="A565" s="222"/>
      <c r="B565" s="310" t="s">
        <v>1</v>
      </c>
      <c r="C565" s="311"/>
      <c r="D565" s="317" t="s">
        <v>50</v>
      </c>
      <c r="E565" s="723">
        <f t="shared" ref="E565:E570" si="115">F543</f>
        <v>10954.003116166838</v>
      </c>
      <c r="F565" s="724">
        <f t="shared" ref="F565:F570" si="116">I553/F553</f>
        <v>11256.004105889453</v>
      </c>
      <c r="G565" s="715">
        <f t="shared" ref="G565:G570" si="117">(F565-E565)/E565</f>
        <v>2.7569920011881049E-2</v>
      </c>
      <c r="H565" s="723">
        <f t="shared" ref="H565:H570" si="118">I543</f>
        <v>10951.992370399694</v>
      </c>
      <c r="I565" s="724">
        <f t="shared" ref="I565:I570" si="119">F565*$I$168</f>
        <v>11256.004105889453</v>
      </c>
      <c r="J565" s="715">
        <f t="shared" ref="J565:J570" si="120">(I565-H565)/H565</f>
        <v>2.7758578093189847E-2</v>
      </c>
      <c r="K565" s="242"/>
      <c r="L565" s="242"/>
      <c r="M565" s="242"/>
      <c r="N565" s="222"/>
      <c r="O565" s="222"/>
      <c r="P565" s="222"/>
      <c r="Q565" s="222"/>
      <c r="R565" s="222"/>
      <c r="S565" s="222"/>
      <c r="T565" s="222"/>
      <c r="U565" s="222"/>
      <c r="V565" s="222"/>
    </row>
    <row r="566" spans="1:22" ht="17.5" x14ac:dyDescent="0.35">
      <c r="A566" s="222"/>
      <c r="B566" s="310" t="s">
        <v>97</v>
      </c>
      <c r="C566" s="311"/>
      <c r="D566" s="317" t="s">
        <v>50</v>
      </c>
      <c r="E566" s="723">
        <f t="shared" si="115"/>
        <v>27017.93668421053</v>
      </c>
      <c r="F566" s="724">
        <f t="shared" si="116"/>
        <v>27739.37287923682</v>
      </c>
      <c r="G566" s="715">
        <f t="shared" si="117"/>
        <v>2.6702120278781407E-2</v>
      </c>
      <c r="H566" s="723">
        <f t="shared" si="118"/>
        <v>27012.977200335219</v>
      </c>
      <c r="I566" s="724">
        <f t="shared" si="119"/>
        <v>27739.37287923682</v>
      </c>
      <c r="J566" s="715">
        <f t="shared" si="120"/>
        <v>2.6890619035231215E-2</v>
      </c>
      <c r="K566" s="242"/>
      <c r="L566" s="242"/>
      <c r="M566" s="242"/>
      <c r="N566" s="222"/>
      <c r="O566" s="222"/>
      <c r="P566" s="222"/>
      <c r="Q566" s="222"/>
      <c r="R566" s="222"/>
      <c r="S566" s="222"/>
      <c r="T566" s="222"/>
      <c r="U566" s="222"/>
      <c r="V566" s="222"/>
    </row>
    <row r="567" spans="1:22" ht="17.5" x14ac:dyDescent="0.35">
      <c r="A567" s="222"/>
      <c r="B567" s="310" t="s">
        <v>202</v>
      </c>
      <c r="C567" s="311"/>
      <c r="D567" s="317" t="s">
        <v>51</v>
      </c>
      <c r="E567" s="723">
        <f t="shared" si="115"/>
        <v>533912.18285714288</v>
      </c>
      <c r="F567" s="724">
        <f t="shared" si="116"/>
        <v>532405.11243476777</v>
      </c>
      <c r="G567" s="715">
        <f t="shared" si="117"/>
        <v>-2.8226934517775388E-3</v>
      </c>
      <c r="H567" s="723">
        <f t="shared" si="118"/>
        <v>533814.17652554682</v>
      </c>
      <c r="I567" s="724">
        <f t="shared" si="119"/>
        <v>532405.11243476777</v>
      </c>
      <c r="J567" s="715">
        <f t="shared" si="120"/>
        <v>-2.6396153432085134E-3</v>
      </c>
      <c r="K567" s="242"/>
      <c r="L567" s="242"/>
      <c r="M567" s="242"/>
      <c r="N567" s="222"/>
      <c r="O567" s="222"/>
      <c r="P567" s="222"/>
      <c r="Q567" s="222"/>
      <c r="R567" s="222"/>
      <c r="S567" s="222"/>
      <c r="T567" s="222"/>
      <c r="U567" s="222"/>
      <c r="V567" s="222"/>
    </row>
    <row r="568" spans="1:22" ht="17.5" x14ac:dyDescent="0.35">
      <c r="A568" s="222"/>
      <c r="B568" s="310" t="s">
        <v>120</v>
      </c>
      <c r="C568" s="311"/>
      <c r="D568" s="317" t="s">
        <v>51</v>
      </c>
      <c r="E568" s="723">
        <f t="shared" si="115"/>
        <v>969.4079999999999</v>
      </c>
      <c r="F568" s="724">
        <f t="shared" si="116"/>
        <v>969.85607652460783</v>
      </c>
      <c r="G568" s="715">
        <f t="shared" si="117"/>
        <v>4.6221665656558157E-4</v>
      </c>
      <c r="H568" s="723">
        <f t="shared" si="118"/>
        <v>969.23005290504614</v>
      </c>
      <c r="I568" s="724">
        <f t="shared" si="119"/>
        <v>969.85607652460783</v>
      </c>
      <c r="J568" s="715">
        <f t="shared" si="120"/>
        <v>6.4589786262335706E-4</v>
      </c>
      <c r="K568" s="242"/>
      <c r="L568" s="242"/>
      <c r="M568" s="242"/>
      <c r="N568" s="222"/>
      <c r="O568" s="222"/>
      <c r="P568" s="222"/>
      <c r="Q568" s="222"/>
      <c r="R568" s="222"/>
      <c r="S568" s="222"/>
      <c r="T568" s="222"/>
      <c r="U568" s="222"/>
      <c r="V568" s="222"/>
    </row>
    <row r="569" spans="1:22" ht="17.5" x14ac:dyDescent="0.35">
      <c r="A569" s="222"/>
      <c r="B569" s="310" t="s">
        <v>119</v>
      </c>
      <c r="C569" s="311"/>
      <c r="D569" s="317" t="s">
        <v>51</v>
      </c>
      <c r="E569" s="723">
        <f t="shared" si="115"/>
        <v>321.12693032015062</v>
      </c>
      <c r="F569" s="724">
        <f t="shared" si="116"/>
        <v>281.5</v>
      </c>
      <c r="G569" s="715">
        <f t="shared" si="117"/>
        <v>-0.12339958620301376</v>
      </c>
      <c r="H569" s="723">
        <f t="shared" si="118"/>
        <v>321.06798341197378</v>
      </c>
      <c r="I569" s="724">
        <f t="shared" si="119"/>
        <v>281.5</v>
      </c>
      <c r="J569" s="715">
        <f t="shared" si="120"/>
        <v>-0.12323864557121753</v>
      </c>
      <c r="K569" s="242"/>
      <c r="L569" s="242"/>
      <c r="M569" s="242"/>
      <c r="N569" s="222"/>
      <c r="O569" s="222"/>
      <c r="P569" s="222"/>
      <c r="Q569" s="222"/>
      <c r="R569" s="222"/>
      <c r="S569" s="222"/>
      <c r="T569" s="222"/>
      <c r="U569" s="222"/>
      <c r="V569" s="222"/>
    </row>
    <row r="570" spans="1:22" ht="17.5" x14ac:dyDescent="0.35">
      <c r="A570" s="222"/>
      <c r="B570" s="310" t="s">
        <v>121</v>
      </c>
      <c r="C570" s="311"/>
      <c r="D570" s="317" t="s">
        <v>50</v>
      </c>
      <c r="E570" s="723">
        <f t="shared" si="115"/>
        <v>5887.4285714285716</v>
      </c>
      <c r="F570" s="724">
        <f t="shared" si="116"/>
        <v>5682.5902079126417</v>
      </c>
      <c r="G570" s="715">
        <f t="shared" si="117"/>
        <v>-3.4792500839840548E-2</v>
      </c>
      <c r="H570" s="723">
        <f t="shared" si="118"/>
        <v>5886.3478594775324</v>
      </c>
      <c r="I570" s="724">
        <f t="shared" si="119"/>
        <v>5682.5902079126417</v>
      </c>
      <c r="J570" s="715">
        <f t="shared" si="120"/>
        <v>-3.4615292271051076E-2</v>
      </c>
      <c r="K570" s="242"/>
      <c r="L570" s="242"/>
      <c r="M570" s="242"/>
      <c r="N570" s="222"/>
      <c r="O570" s="222"/>
      <c r="P570" s="222"/>
      <c r="Q570" s="222"/>
      <c r="R570" s="222"/>
      <c r="S570" s="222"/>
      <c r="T570" s="222"/>
      <c r="U570" s="222"/>
      <c r="V570" s="222"/>
    </row>
    <row r="571" spans="1:22" ht="17.5" x14ac:dyDescent="0.35">
      <c r="A571" s="222"/>
      <c r="B571" s="322"/>
      <c r="C571" s="322"/>
      <c r="D571" s="707"/>
      <c r="E571" s="727"/>
      <c r="F571" s="727"/>
      <c r="G571" s="708"/>
      <c r="H571" s="727"/>
      <c r="I571" s="727"/>
      <c r="J571" s="708"/>
      <c r="K571" s="242"/>
      <c r="L571" s="242"/>
      <c r="M571" s="242"/>
      <c r="N571" s="222"/>
      <c r="O571" s="222"/>
      <c r="P571" s="222"/>
      <c r="Q571" s="222"/>
      <c r="R571" s="222"/>
      <c r="S571" s="222"/>
      <c r="T571" s="222"/>
      <c r="U571" s="222"/>
      <c r="V571" s="222"/>
    </row>
    <row r="572" spans="1:22" ht="18" x14ac:dyDescent="0.35">
      <c r="A572" s="222"/>
      <c r="B572" s="763" t="s">
        <v>420</v>
      </c>
      <c r="C572" s="754"/>
      <c r="D572" s="754"/>
      <c r="E572" s="754"/>
      <c r="F572" s="754"/>
      <c r="G572" s="754"/>
      <c r="H572" s="754"/>
      <c r="I572" s="754"/>
      <c r="J572" s="754"/>
      <c r="K572" s="754"/>
      <c r="L572" s="754"/>
      <c r="M572" s="754"/>
      <c r="N572" s="222"/>
      <c r="O572" s="222"/>
      <c r="P572" s="222"/>
      <c r="Q572" s="222"/>
      <c r="R572" s="222"/>
      <c r="S572" s="222"/>
      <c r="T572" s="222"/>
      <c r="U572" s="222"/>
      <c r="V572" s="222"/>
    </row>
    <row r="573" spans="1:22" ht="18" x14ac:dyDescent="0.35">
      <c r="A573" s="222"/>
      <c r="B573" s="757"/>
      <c r="C573" s="758"/>
      <c r="D573" s="759"/>
      <c r="E573" s="757" t="s">
        <v>160</v>
      </c>
      <c r="F573" s="758"/>
      <c r="G573" s="759"/>
      <c r="H573" s="764" t="s">
        <v>50</v>
      </c>
      <c r="I573" s="764"/>
      <c r="J573" s="699"/>
      <c r="K573" s="764" t="s">
        <v>161</v>
      </c>
      <c r="L573" s="764"/>
      <c r="M573" s="316"/>
      <c r="N573" s="222"/>
      <c r="O573" s="222"/>
      <c r="P573" s="222"/>
      <c r="Q573" s="222"/>
      <c r="R573" s="222"/>
      <c r="S573" s="222"/>
      <c r="T573" s="222"/>
      <c r="U573" s="222"/>
      <c r="V573" s="222"/>
    </row>
    <row r="574" spans="1:22" ht="54" x14ac:dyDescent="0.4">
      <c r="A574" s="222"/>
      <c r="B574" s="760" t="s">
        <v>162</v>
      </c>
      <c r="C574" s="761"/>
      <c r="D574" s="762"/>
      <c r="E574" s="389" t="s">
        <v>164</v>
      </c>
      <c r="F574" s="389" t="s">
        <v>284</v>
      </c>
      <c r="G574" s="348" t="s">
        <v>30</v>
      </c>
      <c r="H574" s="389" t="s">
        <v>164</v>
      </c>
      <c r="I574" s="389" t="s">
        <v>284</v>
      </c>
      <c r="J574" s="348" t="s">
        <v>357</v>
      </c>
      <c r="K574" s="389" t="s">
        <v>164</v>
      </c>
      <c r="L574" s="389" t="s">
        <v>284</v>
      </c>
      <c r="M574" s="347" t="s">
        <v>163</v>
      </c>
      <c r="N574" s="222"/>
      <c r="O574" s="222"/>
      <c r="P574" s="222"/>
      <c r="Q574" s="222"/>
      <c r="R574" s="222"/>
      <c r="S574" s="222"/>
      <c r="T574" s="222"/>
      <c r="U574" s="222"/>
      <c r="V574" s="222"/>
    </row>
    <row r="575" spans="1:22" ht="17.5" x14ac:dyDescent="0.35">
      <c r="A575" s="222"/>
      <c r="B575" s="310" t="s">
        <v>1</v>
      </c>
      <c r="C575" s="311"/>
      <c r="D575" s="312"/>
      <c r="E575" s="317">
        <f>E433</f>
        <v>2847</v>
      </c>
      <c r="F575" s="317">
        <f>F609</f>
        <v>2910</v>
      </c>
      <c r="G575" s="318">
        <f>F575-E575</f>
        <v>63</v>
      </c>
      <c r="H575" s="317">
        <f>H433</f>
        <v>32680720.615815494</v>
      </c>
      <c r="I575" s="317">
        <f>I609</f>
        <v>32639691.743550409</v>
      </c>
      <c r="J575" s="319">
        <f>I575-H575</f>
        <v>-41028.872265085578</v>
      </c>
      <c r="K575" s="317"/>
      <c r="L575" s="317">
        <f>L609</f>
        <v>0</v>
      </c>
      <c r="M575" s="321">
        <f>L575-K575</f>
        <v>0</v>
      </c>
      <c r="N575" s="222"/>
      <c r="O575" s="222"/>
      <c r="P575" s="222"/>
      <c r="Q575" s="222"/>
      <c r="R575" s="222"/>
      <c r="S575" s="222"/>
      <c r="T575" s="222"/>
      <c r="U575" s="222"/>
      <c r="V575" s="222"/>
    </row>
    <row r="576" spans="1:22" ht="17.5" x14ac:dyDescent="0.35">
      <c r="A576" s="222"/>
      <c r="B576" s="310" t="s">
        <v>97</v>
      </c>
      <c r="C576" s="311"/>
      <c r="D576" s="312"/>
      <c r="E576" s="317">
        <f t="shared" ref="E576:E580" si="121">E434</f>
        <v>425</v>
      </c>
      <c r="F576" s="317">
        <f t="shared" ref="F576:F580" si="122">F610</f>
        <v>369</v>
      </c>
      <c r="G576" s="318">
        <f t="shared" ref="G576:G577" si="123">F576-E576</f>
        <v>-56</v>
      </c>
      <c r="H576" s="317">
        <f t="shared" ref="H576:H580" si="124">H434</f>
        <v>11265898.807393868</v>
      </c>
      <c r="I576" s="317">
        <f t="shared" ref="I576:I580" si="125">I610</f>
        <v>10191189.978466244</v>
      </c>
      <c r="J576" s="319">
        <f t="shared" ref="J576:J580" si="126">I576-H576</f>
        <v>-1074708.8289276231</v>
      </c>
      <c r="K576" s="317"/>
      <c r="L576" s="317"/>
      <c r="M576" s="321">
        <f t="shared" ref="M576:M580" si="127">L576-K576</f>
        <v>0</v>
      </c>
      <c r="N576" s="222"/>
      <c r="O576" s="222"/>
      <c r="P576" s="222"/>
      <c r="Q576" s="222"/>
      <c r="R576" s="222"/>
      <c r="S576" s="222"/>
      <c r="T576" s="222"/>
      <c r="U576" s="222"/>
      <c r="V576" s="222"/>
    </row>
    <row r="577" spans="1:22" ht="17.5" x14ac:dyDescent="0.35">
      <c r="A577" s="222"/>
      <c r="B577" s="310" t="s">
        <v>201</v>
      </c>
      <c r="C577" s="311"/>
      <c r="D577" s="312"/>
      <c r="E577" s="317">
        <f t="shared" si="121"/>
        <v>27</v>
      </c>
      <c r="F577" s="317">
        <f t="shared" si="122"/>
        <v>30</v>
      </c>
      <c r="G577" s="318">
        <f t="shared" si="123"/>
        <v>3</v>
      </c>
      <c r="H577" s="317">
        <f t="shared" si="124"/>
        <v>17442771.902540661</v>
      </c>
      <c r="I577" s="317">
        <f t="shared" si="125"/>
        <v>15482365.194211636</v>
      </c>
      <c r="J577" s="319">
        <f t="shared" si="126"/>
        <v>-1960406.7083290257</v>
      </c>
      <c r="K577" s="317">
        <f t="shared" ref="K577:K579" si="128">K435</f>
        <v>44044.813874676875</v>
      </c>
      <c r="L577" s="317">
        <f>L611</f>
        <v>38558.693646466199</v>
      </c>
      <c r="M577" s="321">
        <f t="shared" si="127"/>
        <v>-5486.1202282106751</v>
      </c>
      <c r="N577" s="222"/>
      <c r="O577" s="222"/>
      <c r="P577" s="222"/>
      <c r="Q577" s="222"/>
      <c r="R577" s="222"/>
      <c r="S577" s="222"/>
      <c r="T577" s="222"/>
      <c r="U577" s="222"/>
      <c r="V577" s="222"/>
    </row>
    <row r="578" spans="1:22" ht="17.5" x14ac:dyDescent="0.35">
      <c r="A578" s="222"/>
      <c r="B578" s="310" t="s">
        <v>120</v>
      </c>
      <c r="C578" s="311"/>
      <c r="D578" s="312"/>
      <c r="E578" s="317">
        <f t="shared" si="121"/>
        <v>26</v>
      </c>
      <c r="F578" s="317">
        <f t="shared" si="122"/>
        <v>25</v>
      </c>
      <c r="G578" s="318">
        <f>F578-E578</f>
        <v>-1</v>
      </c>
      <c r="H578" s="317">
        <f t="shared" si="124"/>
        <v>24161.476831425207</v>
      </c>
      <c r="I578" s="317">
        <f t="shared" si="125"/>
        <v>24257.609003941219</v>
      </c>
      <c r="J578" s="319">
        <f t="shared" si="126"/>
        <v>96.132172516012361</v>
      </c>
      <c r="K578" s="317">
        <f t="shared" si="128"/>
        <v>66.043645360305987</v>
      </c>
      <c r="L578" s="317">
        <f>L612</f>
        <v>67.382247233170062</v>
      </c>
      <c r="M578" s="321">
        <f t="shared" si="127"/>
        <v>1.3386018728640749</v>
      </c>
      <c r="N578" s="222"/>
      <c r="O578" s="222"/>
      <c r="P578" s="222"/>
      <c r="Q578" s="222"/>
      <c r="R578" s="222"/>
      <c r="S578" s="222"/>
      <c r="T578" s="222"/>
      <c r="U578" s="222"/>
      <c r="V578" s="222"/>
    </row>
    <row r="579" spans="1:22" ht="17.5" x14ac:dyDescent="0.35">
      <c r="A579" s="222"/>
      <c r="B579" s="310" t="s">
        <v>119</v>
      </c>
      <c r="C579" s="311"/>
      <c r="D579" s="312"/>
      <c r="E579" s="317">
        <f t="shared" si="121"/>
        <v>1053</v>
      </c>
      <c r="F579" s="317">
        <f t="shared" si="122"/>
        <v>799</v>
      </c>
      <c r="G579" s="318">
        <f t="shared" ref="G579:G580" si="129">F579-E579</f>
        <v>-254</v>
      </c>
      <c r="H579" s="317">
        <f t="shared" si="124"/>
        <v>623166.1401328271</v>
      </c>
      <c r="I579" s="317">
        <f t="shared" si="125"/>
        <v>224918.5</v>
      </c>
      <c r="J579" s="319">
        <f t="shared" si="126"/>
        <v>-398247.6401328271</v>
      </c>
      <c r="K579" s="317">
        <f t="shared" si="128"/>
        <v>1766.1512878456372</v>
      </c>
      <c r="L579" s="317">
        <f>L613</f>
        <v>659.99999999999829</v>
      </c>
      <c r="M579" s="321">
        <f t="shared" si="127"/>
        <v>-1106.1512878456388</v>
      </c>
      <c r="N579" s="222"/>
      <c r="O579" s="222"/>
      <c r="P579" s="222"/>
      <c r="Q579" s="222"/>
      <c r="R579" s="222"/>
      <c r="S579" s="222"/>
      <c r="T579" s="222"/>
      <c r="U579" s="222"/>
      <c r="V579" s="222"/>
    </row>
    <row r="580" spans="1:22" ht="17.5" x14ac:dyDescent="0.35">
      <c r="A580" s="222"/>
      <c r="B580" s="310" t="s">
        <v>121</v>
      </c>
      <c r="C580" s="311"/>
      <c r="D580" s="312"/>
      <c r="E580" s="317">
        <f t="shared" si="121"/>
        <v>32</v>
      </c>
      <c r="F580" s="317">
        <f t="shared" si="122"/>
        <v>21</v>
      </c>
      <c r="G580" s="318">
        <f t="shared" si="129"/>
        <v>-11</v>
      </c>
      <c r="H580" s="317">
        <f t="shared" si="124"/>
        <v>213280.13985039626</v>
      </c>
      <c r="I580" s="317">
        <f t="shared" si="125"/>
        <v>115182.4523499588</v>
      </c>
      <c r="J580" s="319">
        <f t="shared" si="126"/>
        <v>-98097.68750043746</v>
      </c>
      <c r="K580" s="317"/>
      <c r="L580" s="317"/>
      <c r="M580" s="321">
        <f t="shared" si="127"/>
        <v>0</v>
      </c>
      <c r="N580" s="222"/>
      <c r="O580" s="222"/>
      <c r="P580" s="222"/>
      <c r="Q580" s="222"/>
      <c r="R580" s="222"/>
      <c r="S580" s="222"/>
      <c r="T580" s="222"/>
      <c r="U580" s="222"/>
      <c r="V580" s="222"/>
    </row>
    <row r="581" spans="1:22" ht="18" x14ac:dyDescent="0.4">
      <c r="A581" s="222"/>
      <c r="B581" s="349" t="s">
        <v>24</v>
      </c>
      <c r="C581" s="350"/>
      <c r="D581" s="351"/>
      <c r="E581" s="352">
        <f t="shared" ref="E581:M581" si="130">SUM(E575:E580)</f>
        <v>4410</v>
      </c>
      <c r="F581" s="352">
        <f t="shared" si="130"/>
        <v>4154</v>
      </c>
      <c r="G581" s="352">
        <f t="shared" si="130"/>
        <v>-256</v>
      </c>
      <c r="H581" s="352">
        <f t="shared" si="130"/>
        <v>62249999.082564674</v>
      </c>
      <c r="I581" s="352">
        <f t="shared" si="130"/>
        <v>58677605.477582194</v>
      </c>
      <c r="J581" s="685">
        <f t="shared" si="130"/>
        <v>-3572393.6049824827</v>
      </c>
      <c r="K581" s="352">
        <f t="shared" si="130"/>
        <v>45877.008807882812</v>
      </c>
      <c r="L581" s="352">
        <f t="shared" si="130"/>
        <v>39286.075893699366</v>
      </c>
      <c r="M581" s="352">
        <f t="shared" si="130"/>
        <v>-6590.9329141834496</v>
      </c>
      <c r="N581" s="222"/>
      <c r="O581" s="222"/>
      <c r="P581" s="222"/>
      <c r="Q581" s="222"/>
      <c r="R581" s="222"/>
      <c r="S581" s="222"/>
      <c r="T581" s="222"/>
      <c r="U581" s="222"/>
      <c r="V581" s="222"/>
    </row>
    <row r="582" spans="1:22" ht="18" x14ac:dyDescent="0.4">
      <c r="A582" s="222"/>
      <c r="B582" s="349" t="s">
        <v>358</v>
      </c>
      <c r="C582" s="350"/>
      <c r="D582" s="351"/>
      <c r="E582" s="352"/>
      <c r="F582" s="352"/>
      <c r="G582" s="686">
        <f>G581/E581</f>
        <v>-5.8049886621315196E-2</v>
      </c>
      <c r="H582" s="352"/>
      <c r="I582" s="352"/>
      <c r="J582" s="687">
        <f>J581/H581</f>
        <v>-5.7387849921801182E-2</v>
      </c>
      <c r="K582" s="352"/>
      <c r="L582" s="352"/>
      <c r="M582" s="683">
        <f>M581/K581</f>
        <v>-0.14366527124259598</v>
      </c>
      <c r="N582" s="222"/>
      <c r="O582" s="222"/>
      <c r="P582" s="222"/>
      <c r="Q582" s="222"/>
      <c r="R582" s="222"/>
      <c r="S582" s="222"/>
      <c r="T582" s="222"/>
      <c r="U582" s="222"/>
      <c r="V582" s="222"/>
    </row>
    <row r="583" spans="1:22" ht="17.5" x14ac:dyDescent="0.35">
      <c r="A583" s="222"/>
      <c r="B583" s="322"/>
      <c r="C583" s="322"/>
      <c r="D583" s="707"/>
      <c r="E583" s="727"/>
      <c r="F583" s="727"/>
      <c r="G583" s="708"/>
      <c r="H583" s="727"/>
      <c r="I583" s="727"/>
      <c r="J583" s="708"/>
      <c r="K583" s="242"/>
      <c r="L583" s="242"/>
      <c r="M583" s="242"/>
      <c r="N583" s="222"/>
      <c r="O583" s="222"/>
      <c r="P583" s="222"/>
      <c r="Q583" s="222"/>
      <c r="R583" s="222"/>
      <c r="S583" s="222"/>
      <c r="T583" s="222"/>
      <c r="U583" s="222"/>
      <c r="V583" s="222"/>
    </row>
    <row r="584" spans="1:22" ht="17.5" x14ac:dyDescent="0.35">
      <c r="A584" s="222"/>
      <c r="B584" s="322"/>
      <c r="C584" s="322"/>
      <c r="D584" s="707"/>
      <c r="E584" s="727"/>
      <c r="F584" s="727"/>
      <c r="G584" s="708"/>
      <c r="H584" s="727"/>
      <c r="I584" s="727"/>
      <c r="J584" s="708"/>
      <c r="K584" s="242"/>
      <c r="L584" s="242"/>
      <c r="M584" s="242"/>
      <c r="N584" s="222"/>
      <c r="O584" s="222"/>
      <c r="P584" s="222"/>
      <c r="Q584" s="222"/>
      <c r="R584" s="222"/>
      <c r="S584" s="222"/>
      <c r="T584" s="222"/>
      <c r="U584" s="222"/>
      <c r="V584" s="222"/>
    </row>
    <row r="585" spans="1:22" ht="18" x14ac:dyDescent="0.35">
      <c r="A585" s="222"/>
      <c r="B585" s="754" t="s">
        <v>421</v>
      </c>
      <c r="C585" s="754"/>
      <c r="D585" s="754"/>
      <c r="E585" s="754"/>
      <c r="F585" s="754"/>
      <c r="G585" s="754"/>
      <c r="H585" s="754"/>
      <c r="I585" s="754"/>
      <c r="J585" s="754"/>
      <c r="K585" s="754"/>
      <c r="L585" s="754"/>
      <c r="M585" s="754"/>
      <c r="N585" s="222"/>
      <c r="O585" s="222"/>
      <c r="P585" s="222"/>
      <c r="Q585" s="222"/>
      <c r="R585" s="222"/>
      <c r="S585" s="222"/>
      <c r="T585" s="222"/>
      <c r="U585" s="222"/>
      <c r="V585" s="222"/>
    </row>
    <row r="586" spans="1:22" ht="18" x14ac:dyDescent="0.4">
      <c r="A586" s="222"/>
      <c r="B586" s="755" t="s">
        <v>391</v>
      </c>
      <c r="C586" s="703"/>
      <c r="D586" s="755" t="s">
        <v>392</v>
      </c>
      <c r="E586" s="757" t="s">
        <v>399</v>
      </c>
      <c r="F586" s="758"/>
      <c r="G586" s="759"/>
      <c r="H586" s="757" t="s">
        <v>400</v>
      </c>
      <c r="I586" s="758"/>
      <c r="J586" s="759"/>
      <c r="K586" s="242"/>
      <c r="L586" s="222"/>
      <c r="M586" s="222"/>
      <c r="N586" s="222"/>
      <c r="O586" s="222"/>
      <c r="P586" s="222"/>
      <c r="Q586" s="222"/>
      <c r="R586" s="222"/>
      <c r="S586" s="222"/>
      <c r="T586" s="222"/>
      <c r="U586" s="222"/>
      <c r="V586" s="222"/>
    </row>
    <row r="587" spans="1:22" ht="18" x14ac:dyDescent="0.4">
      <c r="A587" s="222"/>
      <c r="B587" s="756"/>
      <c r="C587" s="703"/>
      <c r="D587" s="756"/>
      <c r="E587" s="699">
        <v>2012</v>
      </c>
      <c r="F587" s="699">
        <v>2021</v>
      </c>
      <c r="G587" s="699" t="s">
        <v>169</v>
      </c>
      <c r="H587" s="699">
        <v>2012</v>
      </c>
      <c r="I587" s="699">
        <v>2021</v>
      </c>
      <c r="J587" s="699" t="s">
        <v>169</v>
      </c>
      <c r="K587" s="242"/>
      <c r="L587" s="242"/>
      <c r="M587" s="242"/>
      <c r="N587" s="222"/>
      <c r="O587" s="222"/>
      <c r="P587" s="222"/>
      <c r="Q587" s="222"/>
      <c r="R587" s="222"/>
      <c r="S587" s="222"/>
      <c r="T587" s="222"/>
      <c r="U587" s="222"/>
      <c r="V587" s="222"/>
    </row>
    <row r="588" spans="1:22" ht="17.5" x14ac:dyDescent="0.35">
      <c r="A588" s="222"/>
      <c r="B588" s="310" t="s">
        <v>1</v>
      </c>
      <c r="C588" s="311"/>
      <c r="D588" s="317" t="s">
        <v>50</v>
      </c>
      <c r="E588" s="723"/>
      <c r="F588" s="724"/>
      <c r="G588" s="715"/>
      <c r="H588" s="723">
        <f t="shared" ref="H588:H593" si="131">E445</f>
        <v>11705.607146269314</v>
      </c>
      <c r="I588" s="724">
        <f>I609/F609</f>
        <v>11216.388915309419</v>
      </c>
      <c r="J588" s="715">
        <f>(I588-H588)/H588</f>
        <v>-4.179349476253473E-2</v>
      </c>
      <c r="K588" s="242"/>
      <c r="L588" s="242"/>
      <c r="M588" s="242"/>
      <c r="N588" s="222"/>
      <c r="O588" s="222"/>
      <c r="P588" s="222"/>
      <c r="Q588" s="222"/>
      <c r="R588" s="222"/>
      <c r="S588" s="222"/>
      <c r="T588" s="222"/>
      <c r="U588" s="222"/>
      <c r="V588" s="222"/>
    </row>
    <row r="589" spans="1:22" ht="17.5" x14ac:dyDescent="0.35">
      <c r="A589" s="222"/>
      <c r="B589" s="310" t="s">
        <v>97</v>
      </c>
      <c r="C589" s="311"/>
      <c r="D589" s="317" t="s">
        <v>50</v>
      </c>
      <c r="E589" s="723"/>
      <c r="F589" s="724"/>
      <c r="G589" s="715"/>
      <c r="H589" s="723">
        <f t="shared" si="131"/>
        <v>27031.285745820947</v>
      </c>
      <c r="I589" s="724">
        <f t="shared" ref="I589:I593" si="132">I610/F610</f>
        <v>27618.40102565378</v>
      </c>
      <c r="J589" s="715">
        <f t="shared" ref="J589:J593" si="133">(I589-H589)/H589</f>
        <v>2.1719842901797647E-2</v>
      </c>
      <c r="K589" s="242"/>
      <c r="L589" s="242"/>
      <c r="M589" s="242"/>
      <c r="N589" s="222"/>
      <c r="O589" s="222"/>
      <c r="P589" s="222"/>
      <c r="Q589" s="222"/>
      <c r="R589" s="222"/>
      <c r="S589" s="222"/>
      <c r="T589" s="222"/>
      <c r="U589" s="222"/>
      <c r="V589" s="222"/>
    </row>
    <row r="590" spans="1:22" ht="17.5" x14ac:dyDescent="0.35">
      <c r="A590" s="222"/>
      <c r="B590" s="310" t="s">
        <v>202</v>
      </c>
      <c r="C590" s="311"/>
      <c r="D590" s="317" t="s">
        <v>51</v>
      </c>
      <c r="E590" s="723"/>
      <c r="F590" s="724"/>
      <c r="G590" s="715"/>
      <c r="H590" s="723">
        <f t="shared" si="131"/>
        <v>658781.69750253146</v>
      </c>
      <c r="I590" s="724">
        <f t="shared" si="132"/>
        <v>516078.83980705455</v>
      </c>
      <c r="J590" s="715">
        <f t="shared" si="133"/>
        <v>-0.21661630588170455</v>
      </c>
      <c r="K590" s="242"/>
      <c r="L590" s="242"/>
      <c r="M590" s="242"/>
      <c r="N590" s="222"/>
      <c r="O590" s="222"/>
      <c r="P590" s="222"/>
      <c r="Q590" s="222"/>
      <c r="R590" s="222"/>
      <c r="S590" s="222"/>
      <c r="T590" s="222"/>
      <c r="U590" s="222"/>
      <c r="V590" s="222"/>
    </row>
    <row r="591" spans="1:22" ht="17.5" x14ac:dyDescent="0.35">
      <c r="A591" s="222"/>
      <c r="B591" s="310" t="s">
        <v>120</v>
      </c>
      <c r="C591" s="311"/>
      <c r="D591" s="317" t="s">
        <v>51</v>
      </c>
      <c r="E591" s="723"/>
      <c r="F591" s="724"/>
      <c r="G591" s="715"/>
      <c r="H591" s="723">
        <f t="shared" si="131"/>
        <v>947.6324323136314</v>
      </c>
      <c r="I591" s="724">
        <f t="shared" si="132"/>
        <v>970.30436015764872</v>
      </c>
      <c r="J591" s="715">
        <f t="shared" si="133"/>
        <v>2.392481205889516E-2</v>
      </c>
      <c r="K591" s="242"/>
      <c r="L591" s="242"/>
      <c r="M591" s="242"/>
      <c r="N591" s="222"/>
      <c r="O591" s="222"/>
      <c r="P591" s="222"/>
      <c r="Q591" s="222"/>
      <c r="R591" s="222"/>
      <c r="S591" s="222"/>
      <c r="T591" s="222"/>
      <c r="U591" s="222"/>
      <c r="V591" s="222"/>
    </row>
    <row r="592" spans="1:22" ht="17.5" x14ac:dyDescent="0.35">
      <c r="A592" s="222"/>
      <c r="B592" s="310" t="s">
        <v>119</v>
      </c>
      <c r="C592" s="311"/>
      <c r="D592" s="317" t="s">
        <v>51</v>
      </c>
      <c r="E592" s="723"/>
      <c r="F592" s="724"/>
      <c r="G592" s="715"/>
      <c r="H592" s="723">
        <f t="shared" si="131"/>
        <v>603.48331060757664</v>
      </c>
      <c r="I592" s="724">
        <f t="shared" si="132"/>
        <v>281.5</v>
      </c>
      <c r="J592" s="715">
        <f t="shared" si="133"/>
        <v>-0.53354136717287071</v>
      </c>
      <c r="K592" s="242"/>
      <c r="L592" s="242"/>
      <c r="M592" s="242"/>
      <c r="N592" s="222"/>
      <c r="O592" s="222"/>
      <c r="P592" s="222"/>
      <c r="Q592" s="222"/>
      <c r="R592" s="222"/>
      <c r="S592" s="222"/>
      <c r="T592" s="222"/>
      <c r="U592" s="222"/>
      <c r="V592" s="222"/>
    </row>
    <row r="593" spans="1:22" ht="17.5" x14ac:dyDescent="0.35">
      <c r="A593" s="222"/>
      <c r="B593" s="310" t="s">
        <v>121</v>
      </c>
      <c r="C593" s="311"/>
      <c r="D593" s="317" t="s">
        <v>50</v>
      </c>
      <c r="E593" s="723"/>
      <c r="F593" s="724"/>
      <c r="G593" s="715"/>
      <c r="H593" s="723">
        <f t="shared" si="131"/>
        <v>6796.5767580914971</v>
      </c>
      <c r="I593" s="724">
        <f t="shared" si="132"/>
        <v>5484.8786833313716</v>
      </c>
      <c r="J593" s="715">
        <f t="shared" si="133"/>
        <v>-0.19299393230548242</v>
      </c>
      <c r="K593" s="242"/>
      <c r="L593" s="242"/>
      <c r="M593" s="242"/>
      <c r="N593" s="222"/>
      <c r="O593" s="222"/>
      <c r="P593" s="222"/>
      <c r="Q593" s="222"/>
      <c r="R593" s="222"/>
      <c r="S593" s="222"/>
      <c r="T593" s="222"/>
      <c r="U593" s="222"/>
      <c r="V593" s="222"/>
    </row>
    <row r="594" spans="1:22" ht="17.5" hidden="1" x14ac:dyDescent="0.35">
      <c r="A594" s="222"/>
      <c r="B594" s="222"/>
      <c r="C594" s="222"/>
      <c r="D594" s="222"/>
      <c r="E594" s="222"/>
      <c r="F594" s="222"/>
      <c r="G594" s="222"/>
      <c r="H594" s="222"/>
      <c r="I594" s="222"/>
      <c r="J594" s="222"/>
      <c r="K594" s="222"/>
      <c r="L594" s="222"/>
      <c r="M594" s="222"/>
      <c r="N594" s="222"/>
      <c r="O594" s="222"/>
      <c r="P594" s="222"/>
      <c r="Q594" s="222"/>
      <c r="R594" s="222"/>
      <c r="S594" s="222"/>
      <c r="T594" s="222"/>
      <c r="U594" s="222"/>
      <c r="V594" s="222"/>
    </row>
    <row r="595" spans="1:22" ht="18" hidden="1" x14ac:dyDescent="0.35">
      <c r="A595" s="222"/>
      <c r="B595" s="698" t="s">
        <v>364</v>
      </c>
      <c r="C595" s="324"/>
      <c r="D595" s="324"/>
      <c r="E595" s="324"/>
      <c r="F595" s="324"/>
      <c r="G595" s="324"/>
      <c r="H595" s="324"/>
      <c r="I595" s="324"/>
      <c r="J595" s="324"/>
      <c r="K595" s="324"/>
      <c r="L595" s="324"/>
      <c r="M595" s="324"/>
      <c r="N595" s="222"/>
      <c r="O595" s="222"/>
      <c r="P595" s="222"/>
      <c r="Q595" s="222"/>
      <c r="R595" s="222"/>
      <c r="S595" s="307"/>
      <c r="T595" s="222"/>
      <c r="U595" s="222"/>
      <c r="V595" s="222"/>
    </row>
    <row r="596" spans="1:22" ht="18" hidden="1" x14ac:dyDescent="0.35">
      <c r="A596" s="222"/>
      <c r="B596" s="757" t="s">
        <v>168</v>
      </c>
      <c r="C596" s="758"/>
      <c r="D596" s="759"/>
      <c r="E596" s="390" t="s">
        <v>281</v>
      </c>
      <c r="F596" s="390" t="s">
        <v>284</v>
      </c>
      <c r="G596" s="309" t="s">
        <v>169</v>
      </c>
      <c r="H596" s="242"/>
      <c r="I596" s="242"/>
      <c r="J596" s="242"/>
      <c r="K596" s="242"/>
      <c r="L596" s="242"/>
      <c r="M596" s="222"/>
      <c r="N596" s="222"/>
      <c r="O596" s="222"/>
      <c r="P596" s="222"/>
      <c r="Q596" s="222"/>
      <c r="R596" s="222"/>
      <c r="S596" s="307"/>
      <c r="T596" s="222"/>
      <c r="U596" s="222"/>
      <c r="V596" s="222"/>
    </row>
    <row r="597" spans="1:22" ht="17.5" hidden="1" x14ac:dyDescent="0.35">
      <c r="A597" s="222"/>
      <c r="B597" s="310" t="s">
        <v>1</v>
      </c>
      <c r="C597" s="311"/>
      <c r="D597" s="312"/>
      <c r="E597" s="313">
        <f t="shared" ref="E597:E602" si="134">F532</f>
        <v>1046478.7795121447</v>
      </c>
      <c r="F597" s="313">
        <f t="shared" ref="F597:F602" si="135">+N5</f>
        <v>1046199.159640357</v>
      </c>
      <c r="G597" s="314">
        <f>F597-E597</f>
        <v>-279.61987178772688</v>
      </c>
      <c r="H597" s="242"/>
      <c r="I597" s="315"/>
      <c r="J597" s="315"/>
      <c r="K597" s="242"/>
      <c r="L597" s="242"/>
      <c r="M597" s="222"/>
      <c r="N597" s="222"/>
      <c r="O597" s="222"/>
      <c r="P597" s="222"/>
      <c r="Q597" s="222"/>
      <c r="R597" s="222"/>
      <c r="S597" s="307"/>
      <c r="T597" s="222"/>
      <c r="U597" s="222"/>
      <c r="V597" s="222"/>
    </row>
    <row r="598" spans="1:22" ht="17.5" hidden="1" x14ac:dyDescent="0.35">
      <c r="A598" s="222"/>
      <c r="B598" s="310" t="s">
        <v>97</v>
      </c>
      <c r="C598" s="311"/>
      <c r="D598" s="312"/>
      <c r="E598" s="313">
        <f t="shared" si="134"/>
        <v>328426.61435385712</v>
      </c>
      <c r="F598" s="313">
        <f t="shared" si="135"/>
        <v>322631.79255425127</v>
      </c>
      <c r="G598" s="314">
        <f t="shared" ref="G598:G602" si="136">F598-E598</f>
        <v>-5794.821799605852</v>
      </c>
      <c r="H598" s="242"/>
      <c r="I598" s="315"/>
      <c r="J598" s="315"/>
      <c r="K598" s="242"/>
      <c r="L598" s="242"/>
      <c r="M598" s="222"/>
      <c r="N598" s="222"/>
      <c r="O598" s="222"/>
      <c r="P598" s="222"/>
      <c r="Q598" s="222"/>
      <c r="R598" s="222"/>
      <c r="S598" s="307"/>
      <c r="T598" s="222"/>
      <c r="U598" s="222"/>
      <c r="V598" s="222"/>
    </row>
    <row r="599" spans="1:22" ht="17.5" hidden="1" x14ac:dyDescent="0.35">
      <c r="A599" s="222"/>
      <c r="B599" s="310" t="s">
        <v>201</v>
      </c>
      <c r="C599" s="311"/>
      <c r="D599" s="312"/>
      <c r="E599" s="313">
        <f t="shared" si="134"/>
        <v>213972.02745347912</v>
      </c>
      <c r="F599" s="313">
        <f t="shared" si="135"/>
        <v>217041.1865189746</v>
      </c>
      <c r="G599" s="314">
        <f t="shared" si="136"/>
        <v>3069.159065495478</v>
      </c>
      <c r="H599" s="242"/>
      <c r="I599" s="315"/>
      <c r="J599" s="315"/>
      <c r="K599" s="242"/>
      <c r="L599" s="242"/>
      <c r="M599" s="222"/>
      <c r="N599" s="222"/>
      <c r="O599" s="222"/>
      <c r="P599" s="222"/>
      <c r="Q599" s="222"/>
      <c r="R599" s="222"/>
      <c r="S599" s="307"/>
      <c r="T599" s="222"/>
      <c r="U599" s="222"/>
      <c r="V599" s="222"/>
    </row>
    <row r="600" spans="1:22" ht="17.5" hidden="1" x14ac:dyDescent="0.35">
      <c r="A600" s="222"/>
      <c r="B600" s="310" t="s">
        <v>120</v>
      </c>
      <c r="C600" s="311"/>
      <c r="D600" s="312"/>
      <c r="E600" s="313">
        <f t="shared" si="134"/>
        <v>1802.3091403224505</v>
      </c>
      <c r="F600" s="313">
        <f t="shared" si="135"/>
        <v>1804.8221787275393</v>
      </c>
      <c r="G600" s="314">
        <f t="shared" si="136"/>
        <v>2.5130384050887642</v>
      </c>
      <c r="H600" s="242"/>
      <c r="I600" s="315"/>
      <c r="J600" s="315"/>
      <c r="K600" s="242"/>
      <c r="L600" s="242"/>
      <c r="M600" s="222"/>
      <c r="N600" s="222"/>
      <c r="O600" s="222"/>
      <c r="P600" s="222"/>
      <c r="Q600" s="222"/>
      <c r="R600" s="222"/>
      <c r="S600" s="307"/>
      <c r="T600" s="222"/>
      <c r="U600" s="222"/>
      <c r="V600" s="222"/>
    </row>
    <row r="601" spans="1:22" ht="17.5" hidden="1" x14ac:dyDescent="0.35">
      <c r="A601" s="222"/>
      <c r="B601" s="310" t="s">
        <v>119</v>
      </c>
      <c r="C601" s="311"/>
      <c r="D601" s="312"/>
      <c r="E601" s="313">
        <f t="shared" si="134"/>
        <v>35632.985999999961</v>
      </c>
      <c r="F601" s="313">
        <f t="shared" si="135"/>
        <v>35632.985999999961</v>
      </c>
      <c r="G601" s="314">
        <f t="shared" si="136"/>
        <v>0</v>
      </c>
      <c r="H601" s="242"/>
      <c r="I601" s="315"/>
      <c r="J601" s="315"/>
      <c r="K601" s="242"/>
      <c r="L601" s="242"/>
      <c r="M601" s="222"/>
      <c r="N601" s="222"/>
      <c r="O601" s="222"/>
      <c r="P601" s="222"/>
      <c r="Q601" s="222"/>
      <c r="R601" s="222"/>
      <c r="S601" s="307"/>
      <c r="T601" s="222"/>
      <c r="U601" s="222"/>
      <c r="V601" s="222"/>
    </row>
    <row r="602" spans="1:22" ht="17.5" hidden="1" x14ac:dyDescent="0.35">
      <c r="A602" s="222"/>
      <c r="B602" s="310" t="s">
        <v>121</v>
      </c>
      <c r="C602" s="311"/>
      <c r="D602" s="312"/>
      <c r="E602" s="313">
        <f t="shared" si="134"/>
        <v>4963.0699915487976</v>
      </c>
      <c r="F602" s="313">
        <f t="shared" si="135"/>
        <v>4897.8845018943521</v>
      </c>
      <c r="G602" s="314">
        <f t="shared" si="136"/>
        <v>-65.185489654445519</v>
      </c>
      <c r="H602" s="242"/>
      <c r="I602" s="315"/>
      <c r="J602" s="315"/>
      <c r="K602" s="242"/>
      <c r="L602" s="242"/>
      <c r="M602" s="222"/>
      <c r="N602" s="222"/>
      <c r="O602" s="222"/>
      <c r="P602" s="222"/>
      <c r="Q602" s="222"/>
      <c r="R602" s="222"/>
      <c r="S602" s="307"/>
      <c r="T602" s="222"/>
      <c r="U602" s="222"/>
      <c r="V602" s="222"/>
    </row>
    <row r="603" spans="1:22" ht="18" hidden="1" x14ac:dyDescent="0.4">
      <c r="A603" s="222"/>
      <c r="B603" s="349" t="s">
        <v>24</v>
      </c>
      <c r="C603" s="350"/>
      <c r="D603" s="351"/>
      <c r="E603" s="353">
        <f>SUM(E597:E602)</f>
        <v>1631275.7864513523</v>
      </c>
      <c r="F603" s="353">
        <f>SUM(F597:F602)</f>
        <v>1628207.8313942046</v>
      </c>
      <c r="G603" s="353">
        <f>SUM(G597:G602)</f>
        <v>-3067.9550571474574</v>
      </c>
      <c r="H603" s="242"/>
      <c r="I603" s="242"/>
      <c r="J603" s="242"/>
      <c r="K603" s="242"/>
      <c r="L603" s="242"/>
      <c r="M603" s="222"/>
      <c r="N603" s="222"/>
      <c r="O603" s="222"/>
      <c r="P603" s="222"/>
      <c r="Q603" s="222"/>
      <c r="R603" s="222"/>
      <c r="S603" s="307"/>
      <c r="T603" s="222"/>
      <c r="U603" s="222"/>
      <c r="V603" s="222"/>
    </row>
    <row r="604" spans="1:22" ht="18" x14ac:dyDescent="0.4">
      <c r="A604" s="222"/>
      <c r="B604" s="703"/>
      <c r="C604" s="703"/>
      <c r="D604" s="703"/>
      <c r="E604" s="710"/>
      <c r="F604" s="710"/>
      <c r="G604" s="710"/>
      <c r="H604" s="242"/>
      <c r="I604" s="242"/>
      <c r="J604" s="242"/>
      <c r="K604" s="242"/>
      <c r="L604" s="242"/>
      <c r="M604" s="222"/>
      <c r="N604" s="222"/>
      <c r="O604" s="222"/>
      <c r="P604" s="222"/>
      <c r="Q604" s="222"/>
      <c r="R604" s="222"/>
      <c r="S604" s="307"/>
      <c r="T604" s="222"/>
      <c r="U604" s="222"/>
      <c r="V604" s="222"/>
    </row>
    <row r="605" spans="1:22" ht="17.5" x14ac:dyDescent="0.35">
      <c r="A605" s="222"/>
      <c r="B605" s="322"/>
      <c r="C605" s="322"/>
      <c r="D605" s="707"/>
      <c r="E605" s="727"/>
      <c r="F605" s="727"/>
      <c r="G605" s="708"/>
      <c r="H605" s="727"/>
      <c r="I605" s="727"/>
      <c r="J605" s="708"/>
      <c r="K605" s="242"/>
      <c r="L605" s="242"/>
      <c r="M605" s="242"/>
      <c r="N605" s="222"/>
      <c r="O605" s="222"/>
      <c r="P605" s="222"/>
      <c r="Q605" s="222"/>
      <c r="R605" s="222"/>
      <c r="S605" s="307"/>
      <c r="T605" s="222"/>
      <c r="U605" s="222"/>
      <c r="V605" s="222"/>
    </row>
    <row r="606" spans="1:22" ht="18" x14ac:dyDescent="0.35">
      <c r="A606" s="222"/>
      <c r="B606" s="763" t="s">
        <v>422</v>
      </c>
      <c r="C606" s="754"/>
      <c r="D606" s="754"/>
      <c r="E606" s="754"/>
      <c r="F606" s="754"/>
      <c r="G606" s="754"/>
      <c r="H606" s="754"/>
      <c r="I606" s="754"/>
      <c r="J606" s="754"/>
      <c r="K606" s="754"/>
      <c r="L606" s="754"/>
      <c r="M606" s="754"/>
      <c r="N606" s="222"/>
      <c r="O606" s="222"/>
      <c r="P606" s="222"/>
      <c r="Q606" s="222"/>
      <c r="R606" s="222"/>
      <c r="S606" s="222"/>
      <c r="T606" s="222"/>
      <c r="U606" s="222"/>
      <c r="V606" s="222"/>
    </row>
    <row r="607" spans="1:22" ht="18" x14ac:dyDescent="0.35">
      <c r="A607" s="222"/>
      <c r="B607" s="757"/>
      <c r="C607" s="758"/>
      <c r="D607" s="759"/>
      <c r="E607" s="757" t="s">
        <v>160</v>
      </c>
      <c r="F607" s="758"/>
      <c r="G607" s="759"/>
      <c r="H607" s="764" t="s">
        <v>50</v>
      </c>
      <c r="I607" s="764"/>
      <c r="J607" s="672"/>
      <c r="K607" s="764" t="s">
        <v>161</v>
      </c>
      <c r="L607" s="764"/>
      <c r="M607" s="316"/>
      <c r="N607" s="222"/>
      <c r="O607" s="222"/>
      <c r="P607" s="222"/>
      <c r="Q607" s="222"/>
      <c r="R607" s="222"/>
      <c r="S607" s="222"/>
      <c r="T607" s="222"/>
      <c r="U607" s="222"/>
      <c r="V607" s="222"/>
    </row>
    <row r="608" spans="1:22" ht="54" x14ac:dyDescent="0.4">
      <c r="A608" s="222"/>
      <c r="B608" s="760" t="s">
        <v>162</v>
      </c>
      <c r="C608" s="761"/>
      <c r="D608" s="762"/>
      <c r="E608" s="389" t="s">
        <v>281</v>
      </c>
      <c r="F608" s="389" t="s">
        <v>284</v>
      </c>
      <c r="G608" s="348" t="s">
        <v>30</v>
      </c>
      <c r="H608" s="389" t="s">
        <v>281</v>
      </c>
      <c r="I608" s="389" t="s">
        <v>284</v>
      </c>
      <c r="J608" s="348" t="s">
        <v>357</v>
      </c>
      <c r="K608" s="389" t="s">
        <v>281</v>
      </c>
      <c r="L608" s="389" t="s">
        <v>284</v>
      </c>
      <c r="M608" s="347" t="s">
        <v>163</v>
      </c>
      <c r="N608" s="222"/>
      <c r="O608" s="222"/>
      <c r="P608" s="222"/>
      <c r="Q608" s="222"/>
      <c r="R608" s="222"/>
      <c r="S608" s="222"/>
      <c r="T608" s="222"/>
      <c r="U608" s="222"/>
      <c r="V608" s="222"/>
    </row>
    <row r="609" spans="1:22" ht="17.5" x14ac:dyDescent="0.35">
      <c r="A609" s="222"/>
      <c r="B609" s="310" t="s">
        <v>1</v>
      </c>
      <c r="C609" s="311"/>
      <c r="D609" s="312"/>
      <c r="E609" s="317">
        <f>Summary!L$14</f>
        <v>2905.3354231059589</v>
      </c>
      <c r="F609" s="317">
        <f>Summary!M14</f>
        <v>2910</v>
      </c>
      <c r="G609" s="318">
        <f>F609-E609</f>
        <v>4.6645768940411472</v>
      </c>
      <c r="H609" s="319">
        <f t="shared" ref="H609:H614" si="137">I553</f>
        <v>32702467.451466747</v>
      </c>
      <c r="I609" s="319">
        <f>Summary!M15</f>
        <v>32639691.743550409</v>
      </c>
      <c r="J609" s="319">
        <f>I609-H609</f>
        <v>-62775.707916337997</v>
      </c>
      <c r="K609" s="317"/>
      <c r="L609" s="320"/>
      <c r="M609" s="321">
        <f>L609-K609</f>
        <v>0</v>
      </c>
      <c r="N609" s="222"/>
      <c r="O609" s="222"/>
      <c r="P609" s="222"/>
      <c r="Q609" s="222"/>
      <c r="R609" s="222"/>
      <c r="S609" s="222"/>
      <c r="T609" s="222"/>
      <c r="U609" s="222"/>
      <c r="V609" s="222"/>
    </row>
    <row r="610" spans="1:22" ht="17.5" x14ac:dyDescent="0.35">
      <c r="A610" s="222"/>
      <c r="B610" s="310" t="s">
        <v>97</v>
      </c>
      <c r="C610" s="311"/>
      <c r="D610" s="312"/>
      <c r="E610" s="317">
        <f>Summary!L$18</f>
        <v>374.55491835736069</v>
      </c>
      <c r="F610" s="317">
        <f>Summary!M18</f>
        <v>369</v>
      </c>
      <c r="G610" s="318">
        <f t="shared" ref="G610:G611" si="138">F610-E610</f>
        <v>-5.5549183573606911</v>
      </c>
      <c r="H610" s="319">
        <f t="shared" si="137"/>
        <v>10389918.544066932</v>
      </c>
      <c r="I610" s="319">
        <f>Summary!M19</f>
        <v>10191189.978466244</v>
      </c>
      <c r="J610" s="319">
        <f t="shared" ref="J610:J614" si="139">I610-H610</f>
        <v>-198728.56560068764</v>
      </c>
      <c r="K610" s="317"/>
      <c r="L610" s="320"/>
      <c r="M610" s="321">
        <f t="shared" ref="M610:M614" si="140">L610-K610</f>
        <v>0</v>
      </c>
      <c r="N610" s="222"/>
      <c r="O610" s="222"/>
      <c r="P610" s="222"/>
      <c r="Q610" s="222"/>
      <c r="R610" s="222"/>
      <c r="S610" s="222"/>
      <c r="T610" s="222"/>
      <c r="U610" s="222"/>
      <c r="V610" s="222"/>
    </row>
    <row r="611" spans="1:22" ht="17.5" x14ac:dyDescent="0.35">
      <c r="A611" s="222"/>
      <c r="B611" s="310" t="s">
        <v>201</v>
      </c>
      <c r="C611" s="311"/>
      <c r="D611" s="312"/>
      <c r="E611" s="317">
        <f>Summary!L$22</f>
        <v>28.958151435622646</v>
      </c>
      <c r="F611" s="317">
        <f>Summary!M22</f>
        <v>30</v>
      </c>
      <c r="G611" s="318">
        <f t="shared" si="138"/>
        <v>1.0418485643773536</v>
      </c>
      <c r="H611" s="319">
        <f t="shared" si="137"/>
        <v>15417467.870985707</v>
      </c>
      <c r="I611" s="319">
        <f>P398</f>
        <v>15482365.194211636</v>
      </c>
      <c r="J611" s="319">
        <f t="shared" si="139"/>
        <v>64897.32322592847</v>
      </c>
      <c r="K611" s="317">
        <f>Summary!L24</f>
        <v>38397.067436687881</v>
      </c>
      <c r="L611" s="317">
        <f>Summary!M24</f>
        <v>38558.693646466199</v>
      </c>
      <c r="M611" s="321">
        <f t="shared" si="140"/>
        <v>161.6262097783183</v>
      </c>
      <c r="N611" s="222"/>
      <c r="O611" s="222"/>
      <c r="P611" s="222"/>
      <c r="Q611" s="222"/>
      <c r="R611" s="222"/>
      <c r="S611" s="222"/>
      <c r="T611" s="222"/>
      <c r="U611" s="222"/>
      <c r="V611" s="222"/>
    </row>
    <row r="612" spans="1:22" ht="17.5" x14ac:dyDescent="0.35">
      <c r="A612" s="222"/>
      <c r="B612" s="310" t="s">
        <v>120</v>
      </c>
      <c r="C612" s="311"/>
      <c r="D612" s="312"/>
      <c r="E612" s="317">
        <f>Summary!L$27</f>
        <v>24.90214024902302</v>
      </c>
      <c r="F612" s="317">
        <f>Summary!M27</f>
        <v>25</v>
      </c>
      <c r="G612" s="318">
        <f>F612-E612</f>
        <v>9.7859750976979853E-2</v>
      </c>
      <c r="H612" s="319">
        <f t="shared" si="137"/>
        <v>24151.492038982986</v>
      </c>
      <c r="I612" s="319">
        <f>P408</f>
        <v>24257.609003941219</v>
      </c>
      <c r="J612" s="319">
        <f t="shared" si="139"/>
        <v>106.11696495823344</v>
      </c>
      <c r="K612" s="317">
        <f>Summary!L29</f>
        <v>67.382247233170062</v>
      </c>
      <c r="L612" s="317">
        <f>Summary!M29</f>
        <v>67.382247233170062</v>
      </c>
      <c r="M612" s="321">
        <f t="shared" si="140"/>
        <v>0</v>
      </c>
      <c r="N612" s="222"/>
      <c r="O612" s="222"/>
      <c r="P612" s="222"/>
      <c r="Q612" s="222"/>
      <c r="R612" s="222"/>
      <c r="S612" s="222"/>
      <c r="T612" s="222"/>
      <c r="U612" s="222"/>
      <c r="V612" s="222"/>
    </row>
    <row r="613" spans="1:22" ht="17.5" x14ac:dyDescent="0.35">
      <c r="A613" s="222"/>
      <c r="B613" s="310" t="s">
        <v>119</v>
      </c>
      <c r="C613" s="311"/>
      <c r="D613" s="312"/>
      <c r="E613" s="317">
        <f>Summary!L$32</f>
        <v>799</v>
      </c>
      <c r="F613" s="317">
        <f>Summary!M32</f>
        <v>799</v>
      </c>
      <c r="G613" s="318">
        <f t="shared" ref="G613:G614" si="141">F613-E613</f>
        <v>0</v>
      </c>
      <c r="H613" s="319">
        <f t="shared" si="137"/>
        <v>224918.5</v>
      </c>
      <c r="I613" s="319">
        <f>P403</f>
        <v>224918.5</v>
      </c>
      <c r="J613" s="319">
        <f t="shared" si="139"/>
        <v>0</v>
      </c>
      <c r="K613" s="317">
        <f>Summary!L34</f>
        <v>659.99999999999829</v>
      </c>
      <c r="L613" s="317">
        <f>Summary!M34</f>
        <v>659.99999999999829</v>
      </c>
      <c r="M613" s="321">
        <f t="shared" si="140"/>
        <v>0</v>
      </c>
      <c r="N613" s="222"/>
      <c r="O613" s="222"/>
      <c r="P613" s="222"/>
      <c r="Q613" s="222"/>
      <c r="R613" s="222"/>
      <c r="S613" s="222"/>
      <c r="T613" s="222"/>
      <c r="U613" s="222"/>
      <c r="V613" s="222"/>
    </row>
    <row r="614" spans="1:22" ht="17.5" x14ac:dyDescent="0.35">
      <c r="A614" s="222"/>
      <c r="B614" s="310" t="s">
        <v>121</v>
      </c>
      <c r="C614" s="311"/>
      <c r="D614" s="312"/>
      <c r="E614" s="317">
        <f>Summary!L$37</f>
        <v>21</v>
      </c>
      <c r="F614" s="317">
        <f>Summary!M37</f>
        <v>21</v>
      </c>
      <c r="G614" s="318">
        <f t="shared" si="141"/>
        <v>0</v>
      </c>
      <c r="H614" s="319">
        <f t="shared" si="137"/>
        <v>119334.39436616548</v>
      </c>
      <c r="I614" s="319">
        <f>Summary!M38</f>
        <v>115182.4523499588</v>
      </c>
      <c r="J614" s="319">
        <f t="shared" si="139"/>
        <v>-4151.9420162066817</v>
      </c>
      <c r="K614" s="317"/>
      <c r="L614" s="320"/>
      <c r="M614" s="321">
        <f t="shared" si="140"/>
        <v>0</v>
      </c>
      <c r="N614" s="222"/>
      <c r="O614" s="222"/>
      <c r="P614" s="222"/>
      <c r="Q614" s="222"/>
      <c r="R614" s="222"/>
      <c r="S614" s="222"/>
      <c r="T614" s="222"/>
      <c r="U614" s="222"/>
      <c r="V614" s="222"/>
    </row>
    <row r="615" spans="1:22" ht="18" x14ac:dyDescent="0.4">
      <c r="A615" s="222"/>
      <c r="B615" s="349" t="s">
        <v>24</v>
      </c>
      <c r="C615" s="350"/>
      <c r="D615" s="351"/>
      <c r="E615" s="352">
        <f t="shared" ref="E615:M615" si="142">SUM(E609:E614)</f>
        <v>4153.7506331479653</v>
      </c>
      <c r="F615" s="352">
        <f t="shared" si="142"/>
        <v>4154</v>
      </c>
      <c r="G615" s="352">
        <f t="shared" si="142"/>
        <v>0.24936685203478959</v>
      </c>
      <c r="H615" s="352">
        <f t="shared" si="142"/>
        <v>58878258.252924532</v>
      </c>
      <c r="I615" s="352">
        <f t="shared" si="142"/>
        <v>58677605.477582194</v>
      </c>
      <c r="J615" s="685">
        <f t="shared" si="142"/>
        <v>-200652.77534234562</v>
      </c>
      <c r="K615" s="352">
        <f t="shared" si="142"/>
        <v>39124.449683921048</v>
      </c>
      <c r="L615" s="352">
        <f t="shared" si="142"/>
        <v>39286.075893699366</v>
      </c>
      <c r="M615" s="352">
        <f t="shared" si="142"/>
        <v>161.6262097783183</v>
      </c>
      <c r="N615" s="222"/>
      <c r="O615" s="222"/>
      <c r="P615" s="222"/>
      <c r="Q615" s="222"/>
      <c r="R615" s="222"/>
      <c r="S615" s="222"/>
      <c r="T615" s="222"/>
      <c r="U615" s="222"/>
      <c r="V615" s="222"/>
    </row>
    <row r="616" spans="1:22" ht="18" x14ac:dyDescent="0.4">
      <c r="A616" s="222"/>
      <c r="B616" s="349" t="s">
        <v>358</v>
      </c>
      <c r="C616" s="350"/>
      <c r="D616" s="351"/>
      <c r="E616" s="352"/>
      <c r="F616" s="352"/>
      <c r="G616" s="686">
        <f>G615/E615</f>
        <v>6.0034141203561899E-5</v>
      </c>
      <c r="H616" s="352"/>
      <c r="I616" s="352"/>
      <c r="J616" s="687">
        <f>J615/H615</f>
        <v>-3.407926479081589E-3</v>
      </c>
      <c r="K616" s="352"/>
      <c r="L616" s="352"/>
      <c r="M616" s="683">
        <f>M615/K615</f>
        <v>4.1310794422430366E-3</v>
      </c>
      <c r="N616" s="222"/>
      <c r="O616" s="222"/>
      <c r="P616" s="222"/>
      <c r="Q616" s="222"/>
      <c r="R616" s="222"/>
      <c r="S616" s="222"/>
      <c r="T616" s="222"/>
      <c r="U616" s="222"/>
      <c r="V616" s="222"/>
    </row>
    <row r="617" spans="1:22" ht="17.5" x14ac:dyDescent="0.35">
      <c r="A617" s="222"/>
      <c r="B617" s="222"/>
      <c r="C617" s="222"/>
      <c r="D617" s="222"/>
      <c r="E617" s="222"/>
      <c r="F617" s="222"/>
      <c r="G617" s="222"/>
      <c r="H617" s="222"/>
      <c r="I617" s="222"/>
      <c r="J617" s="222"/>
      <c r="K617" s="222"/>
      <c r="L617" s="222"/>
      <c r="M617" s="222"/>
      <c r="N617" s="222"/>
      <c r="O617" s="222"/>
      <c r="P617" s="222"/>
      <c r="Q617" s="222"/>
      <c r="R617" s="222"/>
      <c r="S617" s="222"/>
      <c r="T617" s="222"/>
      <c r="U617" s="222"/>
      <c r="V617" s="222"/>
    </row>
    <row r="618" spans="1:22" ht="18" x14ac:dyDescent="0.35">
      <c r="A618" s="222"/>
      <c r="B618" s="754" t="s">
        <v>423</v>
      </c>
      <c r="C618" s="754"/>
      <c r="D618" s="754"/>
      <c r="E618" s="754"/>
      <c r="F618" s="754"/>
      <c r="G618" s="754"/>
      <c r="H618" s="754"/>
      <c r="I618" s="754"/>
      <c r="J618" s="754"/>
      <c r="K618" s="754"/>
      <c r="L618" s="754"/>
      <c r="M618" s="754"/>
      <c r="N618" s="222"/>
      <c r="O618" s="222"/>
      <c r="P618" s="222"/>
      <c r="Q618" s="222"/>
      <c r="R618" s="222"/>
      <c r="S618" s="222"/>
      <c r="T618" s="222"/>
      <c r="U618" s="222"/>
      <c r="V618" s="222"/>
    </row>
    <row r="619" spans="1:22" ht="18" x14ac:dyDescent="0.4">
      <c r="A619" s="222"/>
      <c r="B619" s="755" t="s">
        <v>391</v>
      </c>
      <c r="C619" s="703"/>
      <c r="D619" s="755" t="s">
        <v>392</v>
      </c>
      <c r="E619" s="757" t="s">
        <v>399</v>
      </c>
      <c r="F619" s="758"/>
      <c r="G619" s="759"/>
      <c r="H619" s="757" t="s">
        <v>400</v>
      </c>
      <c r="I619" s="758"/>
      <c r="J619" s="759"/>
      <c r="K619" s="242"/>
      <c r="L619" s="222"/>
      <c r="M619" s="222"/>
      <c r="N619" s="222"/>
      <c r="O619" s="222"/>
      <c r="P619" s="222"/>
      <c r="Q619" s="222"/>
      <c r="R619" s="222"/>
      <c r="S619" s="222"/>
      <c r="T619" s="222"/>
      <c r="U619" s="222"/>
      <c r="V619" s="222"/>
    </row>
    <row r="620" spans="1:22" ht="18" x14ac:dyDescent="0.4">
      <c r="A620" s="222"/>
      <c r="B620" s="756"/>
      <c r="C620" s="703"/>
      <c r="D620" s="756"/>
      <c r="E620" s="699">
        <v>2020</v>
      </c>
      <c r="F620" s="699">
        <v>2021</v>
      </c>
      <c r="G620" s="699" t="s">
        <v>169</v>
      </c>
      <c r="H620" s="699">
        <v>2020</v>
      </c>
      <c r="I620" s="699">
        <v>2021</v>
      </c>
      <c r="J620" s="699" t="s">
        <v>169</v>
      </c>
      <c r="K620" s="242"/>
      <c r="L620" s="242"/>
      <c r="M620" s="242"/>
      <c r="N620" s="222"/>
      <c r="O620" s="222"/>
      <c r="P620" s="222"/>
      <c r="Q620" s="222"/>
      <c r="R620" s="222"/>
      <c r="S620" s="222"/>
      <c r="T620" s="222"/>
      <c r="U620" s="222"/>
      <c r="V620" s="222"/>
    </row>
    <row r="621" spans="1:22" ht="17.5" x14ac:dyDescent="0.35">
      <c r="A621" s="222"/>
      <c r="B621" s="310" t="s">
        <v>1</v>
      </c>
      <c r="C621" s="311"/>
      <c r="D621" s="317" t="s">
        <v>50</v>
      </c>
      <c r="E621" s="723"/>
      <c r="F621" s="724"/>
      <c r="G621" s="715"/>
      <c r="H621" s="723">
        <f t="shared" ref="H621:H626" si="143">I565</f>
        <v>11256.004105889453</v>
      </c>
      <c r="I621" s="724">
        <f>I609/F609</f>
        <v>11216.388915309419</v>
      </c>
      <c r="J621" s="715">
        <f>(I621-H621)/H621</f>
        <v>-3.5194719375863195E-3</v>
      </c>
      <c r="K621" s="242"/>
      <c r="L621" s="242"/>
      <c r="M621" s="242"/>
      <c r="N621" s="222"/>
      <c r="O621" s="222"/>
      <c r="P621" s="222"/>
      <c r="Q621" s="222"/>
      <c r="R621" s="222"/>
      <c r="S621" s="222"/>
      <c r="T621" s="222"/>
      <c r="U621" s="222"/>
      <c r="V621" s="222"/>
    </row>
    <row r="622" spans="1:22" ht="17.5" x14ac:dyDescent="0.35">
      <c r="A622" s="222"/>
      <c r="B622" s="310" t="s">
        <v>97</v>
      </c>
      <c r="C622" s="311"/>
      <c r="D622" s="317" t="s">
        <v>50</v>
      </c>
      <c r="E622" s="723"/>
      <c r="F622" s="724"/>
      <c r="G622" s="715"/>
      <c r="H622" s="723">
        <f t="shared" si="143"/>
        <v>27739.37287923682</v>
      </c>
      <c r="I622" s="724">
        <f t="shared" ref="I622:I626" si="144">I610/F610</f>
        <v>27618.40102565378</v>
      </c>
      <c r="J622" s="715">
        <f t="shared" ref="J622:J626" si="145">(I622-H622)/H622</f>
        <v>-4.3610161667925933E-3</v>
      </c>
      <c r="K622" s="242"/>
      <c r="L622" s="242"/>
      <c r="M622" s="242"/>
      <c r="N622" s="222"/>
      <c r="O622" s="222"/>
      <c r="P622" s="222"/>
      <c r="Q622" s="222"/>
      <c r="R622" s="222"/>
      <c r="S622" s="222"/>
      <c r="T622" s="222"/>
      <c r="U622" s="222"/>
      <c r="V622" s="222"/>
    </row>
    <row r="623" spans="1:22" ht="17.5" x14ac:dyDescent="0.35">
      <c r="A623" s="222"/>
      <c r="B623" s="310" t="s">
        <v>202</v>
      </c>
      <c r="C623" s="311"/>
      <c r="D623" s="317" t="s">
        <v>51</v>
      </c>
      <c r="E623" s="723"/>
      <c r="F623" s="724"/>
      <c r="G623" s="715"/>
      <c r="H623" s="723">
        <f t="shared" si="143"/>
        <v>532405.11243476777</v>
      </c>
      <c r="I623" s="724">
        <f t="shared" si="144"/>
        <v>516078.83980705455</v>
      </c>
      <c r="J623" s="715">
        <f t="shared" si="145"/>
        <v>-3.0665131206292787E-2</v>
      </c>
      <c r="K623" s="242"/>
      <c r="L623" s="242"/>
      <c r="M623" s="242"/>
      <c r="N623" s="222"/>
      <c r="O623" s="222"/>
      <c r="P623" s="222"/>
      <c r="Q623" s="222"/>
      <c r="R623" s="222"/>
      <c r="S623" s="222"/>
      <c r="T623" s="222"/>
      <c r="U623" s="222"/>
      <c r="V623" s="222"/>
    </row>
    <row r="624" spans="1:22" ht="17.5" x14ac:dyDescent="0.35">
      <c r="A624" s="222"/>
      <c r="B624" s="310" t="s">
        <v>120</v>
      </c>
      <c r="C624" s="311"/>
      <c r="D624" s="317" t="s">
        <v>51</v>
      </c>
      <c r="E624" s="723"/>
      <c r="F624" s="724"/>
      <c r="G624" s="715"/>
      <c r="H624" s="723">
        <f t="shared" si="143"/>
        <v>969.85607652460783</v>
      </c>
      <c r="I624" s="724">
        <f t="shared" si="144"/>
        <v>970.30436015764872</v>
      </c>
      <c r="J624" s="715">
        <f t="shared" si="145"/>
        <v>4.6221665656544773E-4</v>
      </c>
      <c r="K624" s="242"/>
      <c r="L624" s="242"/>
      <c r="M624" s="242"/>
      <c r="N624" s="222"/>
      <c r="O624" s="222"/>
      <c r="P624" s="222"/>
      <c r="Q624" s="222"/>
      <c r="R624" s="222"/>
      <c r="S624" s="222"/>
      <c r="T624" s="222"/>
      <c r="U624" s="222"/>
      <c r="V624" s="222"/>
    </row>
    <row r="625" spans="1:22" ht="17.5" x14ac:dyDescent="0.35">
      <c r="A625" s="222"/>
      <c r="B625" s="310" t="s">
        <v>119</v>
      </c>
      <c r="C625" s="311"/>
      <c r="D625" s="317" t="s">
        <v>51</v>
      </c>
      <c r="E625" s="723"/>
      <c r="F625" s="724"/>
      <c r="G625" s="715"/>
      <c r="H625" s="723">
        <f t="shared" si="143"/>
        <v>281.5</v>
      </c>
      <c r="I625" s="724">
        <f t="shared" si="144"/>
        <v>281.5</v>
      </c>
      <c r="J625" s="715">
        <f t="shared" si="145"/>
        <v>0</v>
      </c>
      <c r="K625" s="242"/>
      <c r="L625" s="242"/>
      <c r="M625" s="242"/>
      <c r="N625" s="222"/>
      <c r="O625" s="222"/>
      <c r="P625" s="222"/>
      <c r="Q625" s="222"/>
      <c r="R625" s="222"/>
      <c r="S625" s="222"/>
      <c r="T625" s="222"/>
      <c r="U625" s="222"/>
      <c r="V625" s="222"/>
    </row>
    <row r="626" spans="1:22" ht="17.5" x14ac:dyDescent="0.35">
      <c r="A626" s="222"/>
      <c r="B626" s="310" t="s">
        <v>121</v>
      </c>
      <c r="C626" s="311"/>
      <c r="D626" s="317" t="s">
        <v>50</v>
      </c>
      <c r="E626" s="723"/>
      <c r="F626" s="724"/>
      <c r="G626" s="715"/>
      <c r="H626" s="723">
        <f t="shared" si="143"/>
        <v>5682.5902079126417</v>
      </c>
      <c r="I626" s="724">
        <f t="shared" si="144"/>
        <v>5484.8786833313716</v>
      </c>
      <c r="J626" s="715">
        <f t="shared" si="145"/>
        <v>-3.4792500839840534E-2</v>
      </c>
      <c r="K626" s="242"/>
      <c r="L626" s="242"/>
      <c r="M626" s="242"/>
      <c r="N626" s="222"/>
      <c r="O626" s="222"/>
      <c r="P626" s="222"/>
      <c r="Q626" s="222"/>
      <c r="R626" s="222"/>
      <c r="S626" s="222"/>
      <c r="T626" s="222"/>
      <c r="U626" s="222"/>
      <c r="V626" s="222"/>
    </row>
    <row r="627" spans="1:22" ht="17.5" x14ac:dyDescent="0.35">
      <c r="A627" s="222"/>
      <c r="B627" s="322"/>
      <c r="C627" s="322"/>
      <c r="D627" s="707"/>
      <c r="E627" s="727"/>
      <c r="F627" s="727"/>
      <c r="G627" s="708"/>
      <c r="H627" s="727"/>
      <c r="I627" s="727"/>
      <c r="J627" s="708"/>
      <c r="K627" s="242"/>
      <c r="L627" s="242"/>
      <c r="M627" s="242"/>
      <c r="N627" s="222"/>
      <c r="O627" s="222"/>
      <c r="P627" s="222"/>
      <c r="Q627" s="222"/>
      <c r="R627" s="222"/>
      <c r="S627" s="222"/>
      <c r="T627" s="222"/>
      <c r="U627" s="222"/>
      <c r="V627" s="222"/>
    </row>
    <row r="628" spans="1:22" ht="18" x14ac:dyDescent="0.4">
      <c r="A628" s="222"/>
      <c r="B628" s="703" t="s">
        <v>413</v>
      </c>
      <c r="C628" s="322"/>
      <c r="D628" s="707"/>
      <c r="E628" s="727"/>
      <c r="F628" s="727"/>
      <c r="G628" s="708"/>
      <c r="H628" s="727"/>
      <c r="I628" s="727"/>
      <c r="J628" s="708"/>
      <c r="K628" s="242"/>
      <c r="L628" s="242"/>
      <c r="M628" s="242"/>
      <c r="N628" s="222"/>
      <c r="O628" s="222"/>
      <c r="P628" s="222"/>
      <c r="Q628" s="222"/>
      <c r="R628" s="222"/>
      <c r="S628" s="222"/>
      <c r="T628" s="222"/>
      <c r="U628" s="222"/>
      <c r="V628" s="222"/>
    </row>
    <row r="629" spans="1:22" ht="72" x14ac:dyDescent="0.35">
      <c r="A629" s="222"/>
      <c r="B629" s="699" t="s">
        <v>405</v>
      </c>
      <c r="C629" s="322"/>
      <c r="D629" s="309" t="s">
        <v>406</v>
      </c>
      <c r="E629" s="309" t="s">
        <v>407</v>
      </c>
      <c r="F629" s="309" t="s">
        <v>412</v>
      </c>
      <c r="G629" s="309" t="s">
        <v>408</v>
      </c>
      <c r="H629" s="309" t="s">
        <v>409</v>
      </c>
      <c r="I629" s="309" t="s">
        <v>410</v>
      </c>
      <c r="J629" s="309" t="s">
        <v>411</v>
      </c>
      <c r="K629" s="309" t="s">
        <v>168</v>
      </c>
      <c r="L629" s="242"/>
      <c r="M629" s="242"/>
      <c r="N629" s="222"/>
      <c r="O629" s="222"/>
      <c r="P629" s="222"/>
      <c r="Q629" s="222"/>
      <c r="R629" s="222"/>
      <c r="S629" s="222"/>
      <c r="T629" s="222"/>
      <c r="U629" s="222"/>
      <c r="V629" s="222"/>
    </row>
    <row r="630" spans="1:22" ht="17.5" x14ac:dyDescent="0.35">
      <c r="A630" s="222"/>
      <c r="B630" s="310" t="s">
        <v>1</v>
      </c>
      <c r="C630" s="311"/>
      <c r="D630" s="317">
        <f>H609</f>
        <v>32702467.451466747</v>
      </c>
      <c r="E630" s="732">
        <f>K609</f>
        <v>0</v>
      </c>
      <c r="F630" s="732">
        <f>E609</f>
        <v>2905.3354231059589</v>
      </c>
      <c r="G630" s="733">
        <f>Summary!N14</f>
        <v>14.07</v>
      </c>
      <c r="H630" s="733">
        <f>Summary!N15</f>
        <v>1.7000000000000001E-2</v>
      </c>
      <c r="I630" s="724">
        <f>(G630*F630*12)+H630*D630</f>
        <v>1046478.7795121447</v>
      </c>
      <c r="J630" s="709"/>
      <c r="K630" s="731">
        <f>I630-J630</f>
        <v>1046478.7795121447</v>
      </c>
      <c r="L630" s="242"/>
      <c r="M630" s="242"/>
      <c r="N630" s="222"/>
      <c r="O630" s="222"/>
      <c r="P630" s="222"/>
      <c r="Q630" s="222"/>
      <c r="R630" s="222"/>
      <c r="S630" s="222"/>
      <c r="T630" s="222"/>
      <c r="U630" s="222"/>
      <c r="V630" s="222"/>
    </row>
    <row r="631" spans="1:22" ht="17.5" x14ac:dyDescent="0.35">
      <c r="A631" s="222"/>
      <c r="B631" s="310" t="s">
        <v>97</v>
      </c>
      <c r="C631" s="311"/>
      <c r="D631" s="317">
        <f t="shared" ref="D631:D635" si="146">H610</f>
        <v>10389918.544066932</v>
      </c>
      <c r="E631" s="732">
        <f t="shared" ref="E631:E635" si="147">K610</f>
        <v>0</v>
      </c>
      <c r="F631" s="732">
        <f t="shared" ref="F631:F635" si="148">E610</f>
        <v>374.55491835736069</v>
      </c>
      <c r="G631" s="733">
        <f>Summary!N18</f>
        <v>25.22</v>
      </c>
      <c r="H631" s="733">
        <f>Summary!N19</f>
        <v>2.07E-2</v>
      </c>
      <c r="I631" s="724">
        <f t="shared" ref="I631:I635" si="149">(G631*F631*12)+H631*D631</f>
        <v>328426.61435385712</v>
      </c>
      <c r="J631" s="709"/>
      <c r="K631" s="731">
        <f t="shared" ref="K631:K635" si="150">I631-J631</f>
        <v>328426.61435385712</v>
      </c>
      <c r="L631" s="242"/>
      <c r="M631" s="242"/>
      <c r="N631" s="222"/>
      <c r="O631" s="222"/>
      <c r="P631" s="222"/>
      <c r="Q631" s="222"/>
      <c r="R631" s="222"/>
      <c r="S631" s="222"/>
      <c r="T631" s="222"/>
      <c r="U631" s="222"/>
      <c r="V631" s="222"/>
    </row>
    <row r="632" spans="1:22" ht="17.5" x14ac:dyDescent="0.35">
      <c r="A632" s="222"/>
      <c r="B632" s="310" t="s">
        <v>202</v>
      </c>
      <c r="C632" s="311"/>
      <c r="D632" s="317">
        <f t="shared" si="146"/>
        <v>15417467.870985707</v>
      </c>
      <c r="E632" s="732">
        <f t="shared" si="147"/>
        <v>38397.067436687881</v>
      </c>
      <c r="F632" s="732">
        <f t="shared" si="148"/>
        <v>28.958151435622646</v>
      </c>
      <c r="G632" s="733">
        <f>Summary!N22</f>
        <v>196.43</v>
      </c>
      <c r="H632" s="733">
        <f>Summary!N24</f>
        <v>3.7949000000000002</v>
      </c>
      <c r="I632" s="724">
        <f>(G632*F632*12)+H632*E632</f>
        <v>213972.02745347912</v>
      </c>
      <c r="J632" s="749">
        <v>6940.5641999999998</v>
      </c>
      <c r="K632" s="731">
        <f t="shared" si="150"/>
        <v>207031.46325347913</v>
      </c>
      <c r="L632" s="242"/>
      <c r="M632" s="242"/>
      <c r="N632" s="222"/>
      <c r="O632" s="222"/>
      <c r="P632" s="222"/>
      <c r="Q632" s="222"/>
      <c r="R632" s="222"/>
      <c r="S632" s="222"/>
      <c r="T632" s="222"/>
      <c r="U632" s="222"/>
      <c r="V632" s="222"/>
    </row>
    <row r="633" spans="1:22" ht="17.5" x14ac:dyDescent="0.35">
      <c r="A633" s="222"/>
      <c r="B633" s="310" t="s">
        <v>120</v>
      </c>
      <c r="C633" s="311"/>
      <c r="D633" s="317">
        <f t="shared" si="146"/>
        <v>24151.492038982986</v>
      </c>
      <c r="E633" s="732">
        <f t="shared" si="147"/>
        <v>67.382247233170062</v>
      </c>
      <c r="F633" s="732">
        <f t="shared" si="148"/>
        <v>24.90214024902302</v>
      </c>
      <c r="G633" s="733">
        <f>Summary!N27</f>
        <v>2.14</v>
      </c>
      <c r="H633" s="733">
        <f>Summary!N29</f>
        <v>17.257100000000001</v>
      </c>
      <c r="I633" s="724">
        <f>(G633*F633*12)+H633*E633</f>
        <v>1802.3091403224505</v>
      </c>
      <c r="J633" s="709"/>
      <c r="K633" s="731">
        <f t="shared" si="150"/>
        <v>1802.3091403224505</v>
      </c>
      <c r="L633" s="242"/>
      <c r="M633" s="242"/>
      <c r="N633" s="222"/>
      <c r="O633" s="222"/>
      <c r="P633" s="222"/>
      <c r="Q633" s="222"/>
      <c r="R633" s="222"/>
      <c r="S633" s="222"/>
      <c r="T633" s="222"/>
      <c r="U633" s="222"/>
      <c r="V633" s="222"/>
    </row>
    <row r="634" spans="1:22" ht="17.5" x14ac:dyDescent="0.35">
      <c r="A634" s="222"/>
      <c r="B634" s="310" t="s">
        <v>119</v>
      </c>
      <c r="C634" s="311"/>
      <c r="D634" s="317">
        <f t="shared" si="146"/>
        <v>224918.5</v>
      </c>
      <c r="E634" s="732">
        <f t="shared" si="147"/>
        <v>659.99999999999829</v>
      </c>
      <c r="F634" s="732">
        <f t="shared" si="148"/>
        <v>799</v>
      </c>
      <c r="G634" s="733">
        <f>Summary!N32</f>
        <v>1.99</v>
      </c>
      <c r="H634" s="733">
        <f>Summary!N34</f>
        <v>25.080100000000002</v>
      </c>
      <c r="I634" s="724">
        <f>(G634*F634*12)+H634*E634</f>
        <v>35632.985999999961</v>
      </c>
      <c r="J634" s="709"/>
      <c r="K634" s="731">
        <f t="shared" si="150"/>
        <v>35632.985999999961</v>
      </c>
      <c r="L634" s="222"/>
      <c r="M634" s="222"/>
      <c r="N634" s="222"/>
      <c r="O634" s="222"/>
      <c r="P634" s="222"/>
      <c r="Q634" s="222"/>
      <c r="R634" s="222"/>
      <c r="S634" s="222"/>
      <c r="T634" s="222"/>
      <c r="U634" s="222"/>
      <c r="V634" s="222"/>
    </row>
    <row r="635" spans="1:22" ht="17.5" x14ac:dyDescent="0.35">
      <c r="A635" s="222"/>
      <c r="B635" s="310" t="s">
        <v>121</v>
      </c>
      <c r="C635" s="311"/>
      <c r="D635" s="317">
        <f t="shared" si="146"/>
        <v>119334.39436616548</v>
      </c>
      <c r="E635" s="732">
        <f t="shared" si="147"/>
        <v>0</v>
      </c>
      <c r="F635" s="732">
        <f t="shared" si="148"/>
        <v>21</v>
      </c>
      <c r="G635" s="733">
        <f>Summary!N37</f>
        <v>12.26</v>
      </c>
      <c r="H635" s="733">
        <f>Summary!N38</f>
        <v>1.5699999999999999E-2</v>
      </c>
      <c r="I635" s="724">
        <f t="shared" si="149"/>
        <v>4963.0699915487976</v>
      </c>
      <c r="J635" s="709"/>
      <c r="K635" s="731">
        <f t="shared" si="150"/>
        <v>4963.0699915487976</v>
      </c>
      <c r="L635" s="222"/>
      <c r="M635" s="222"/>
      <c r="N635" s="222"/>
      <c r="O635" s="222"/>
      <c r="P635" s="222"/>
      <c r="Q635" s="222"/>
      <c r="R635" s="222"/>
      <c r="S635" s="222"/>
      <c r="T635" s="222"/>
      <c r="U635" s="222"/>
      <c r="V635" s="222"/>
    </row>
    <row r="636" spans="1:22" ht="17.5" x14ac:dyDescent="0.35">
      <c r="A636" s="222"/>
      <c r="B636" s="739" t="s">
        <v>11</v>
      </c>
      <c r="C636" s="740"/>
      <c r="D636" s="741"/>
      <c r="E636" s="742"/>
      <c r="F636" s="742"/>
      <c r="G636" s="743"/>
      <c r="H636" s="744"/>
      <c r="I636" s="742">
        <f>SUM(I630:I635)</f>
        <v>1631275.7864513523</v>
      </c>
      <c r="J636" s="745"/>
      <c r="K636" s="746">
        <f>SUM(K630:K635)</f>
        <v>1624335.2222513524</v>
      </c>
      <c r="L636" s="222"/>
      <c r="M636" s="222"/>
      <c r="N636" s="222"/>
      <c r="O636" s="222"/>
      <c r="P636" s="222"/>
      <c r="Q636" s="222"/>
      <c r="R636" s="222"/>
      <c r="S636" s="222"/>
      <c r="T636" s="222"/>
      <c r="U636" s="222"/>
      <c r="V636" s="222"/>
    </row>
    <row r="637" spans="1:22" ht="17.5" x14ac:dyDescent="0.35">
      <c r="A637" s="222"/>
      <c r="B637" s="322"/>
      <c r="C637" s="322"/>
      <c r="D637" s="707"/>
      <c r="E637" s="734"/>
      <c r="F637" s="734"/>
      <c r="G637" s="735"/>
      <c r="H637" s="735"/>
      <c r="I637" s="727"/>
      <c r="J637" s="708"/>
      <c r="K637" s="647"/>
      <c r="L637" s="222"/>
      <c r="M637" s="222"/>
      <c r="N637" s="222"/>
      <c r="O637" s="222"/>
      <c r="P637" s="222"/>
      <c r="Q637" s="222"/>
      <c r="R637" s="222"/>
      <c r="S637" s="222"/>
      <c r="T637" s="222"/>
      <c r="U637" s="222"/>
      <c r="V637" s="222"/>
    </row>
    <row r="638" spans="1:22" ht="18" x14ac:dyDescent="0.4">
      <c r="A638" s="222"/>
      <c r="B638" s="703" t="s">
        <v>415</v>
      </c>
      <c r="C638" s="322"/>
      <c r="D638" s="707"/>
      <c r="E638" s="727"/>
      <c r="F638" s="727"/>
      <c r="G638" s="708"/>
      <c r="H638" s="727"/>
      <c r="I638" s="727"/>
      <c r="J638" s="708"/>
      <c r="K638" s="242"/>
      <c r="L638" s="222"/>
      <c r="M638" s="222"/>
      <c r="N638" s="222"/>
      <c r="O638" s="222"/>
      <c r="P638" s="222"/>
      <c r="Q638" s="222"/>
      <c r="R638" s="222"/>
      <c r="S638" s="222"/>
      <c r="T638" s="222"/>
      <c r="U638" s="222"/>
      <c r="V638" s="222"/>
    </row>
    <row r="639" spans="1:22" ht="72" x14ac:dyDescent="0.35">
      <c r="A639" s="222"/>
      <c r="B639" s="699" t="s">
        <v>405</v>
      </c>
      <c r="C639" s="322"/>
      <c r="D639" s="309" t="s">
        <v>406</v>
      </c>
      <c r="E639" s="309" t="s">
        <v>407</v>
      </c>
      <c r="F639" s="309" t="s">
        <v>412</v>
      </c>
      <c r="G639" s="309" t="s">
        <v>408</v>
      </c>
      <c r="H639" s="309" t="s">
        <v>409</v>
      </c>
      <c r="I639" s="309" t="s">
        <v>410</v>
      </c>
      <c r="J639" s="309" t="s">
        <v>411</v>
      </c>
      <c r="K639" s="309" t="s">
        <v>168</v>
      </c>
      <c r="L639" s="222"/>
      <c r="M639" s="222"/>
      <c r="N639" s="222"/>
      <c r="O639" s="222"/>
      <c r="P639" s="222"/>
      <c r="Q639" s="222"/>
      <c r="R639" s="222"/>
      <c r="S639" s="222"/>
      <c r="T639" s="222"/>
      <c r="U639" s="222"/>
      <c r="V639" s="222"/>
    </row>
    <row r="640" spans="1:22" ht="17.5" x14ac:dyDescent="0.35">
      <c r="A640" s="222"/>
      <c r="B640" s="310" t="s">
        <v>1</v>
      </c>
      <c r="C640" s="311"/>
      <c r="D640" s="317">
        <f t="shared" ref="D640:D645" si="151">I609</f>
        <v>32639691.743550409</v>
      </c>
      <c r="E640" s="732">
        <f t="shared" ref="E640:E645" si="152">L609</f>
        <v>0</v>
      </c>
      <c r="F640" s="732">
        <f t="shared" ref="F640:F645" si="153">F609</f>
        <v>2910</v>
      </c>
      <c r="G640" s="733">
        <f t="shared" ref="G640:H645" si="154">G630</f>
        <v>14.07</v>
      </c>
      <c r="H640" s="733">
        <f t="shared" si="154"/>
        <v>1.7000000000000001E-2</v>
      </c>
      <c r="I640" s="724">
        <f>(G640*F640*12)+H640*D640</f>
        <v>1046199.159640357</v>
      </c>
      <c r="J640" s="709"/>
      <c r="K640" s="731">
        <f>I640-J640</f>
        <v>1046199.159640357</v>
      </c>
      <c r="L640" s="222"/>
      <c r="M640" s="222"/>
      <c r="N640" s="222"/>
      <c r="O640" s="222"/>
      <c r="P640" s="222"/>
      <c r="Q640" s="222"/>
      <c r="R640" s="222"/>
      <c r="S640" s="222"/>
      <c r="T640" s="222"/>
      <c r="U640" s="222"/>
      <c r="V640" s="222"/>
    </row>
    <row r="641" spans="1:22" ht="17.5" x14ac:dyDescent="0.35">
      <c r="A641" s="222"/>
      <c r="B641" s="310" t="s">
        <v>97</v>
      </c>
      <c r="C641" s="311"/>
      <c r="D641" s="317">
        <f t="shared" si="151"/>
        <v>10191189.978466244</v>
      </c>
      <c r="E641" s="732">
        <f t="shared" si="152"/>
        <v>0</v>
      </c>
      <c r="F641" s="732">
        <f t="shared" si="153"/>
        <v>369</v>
      </c>
      <c r="G641" s="733">
        <f t="shared" si="154"/>
        <v>25.22</v>
      </c>
      <c r="H641" s="733">
        <f t="shared" si="154"/>
        <v>2.07E-2</v>
      </c>
      <c r="I641" s="724">
        <f t="shared" ref="I641" si="155">(G641*F641*12)+H641*D641</f>
        <v>322631.79255425127</v>
      </c>
      <c r="J641" s="709"/>
      <c r="K641" s="731">
        <f t="shared" ref="K641:K645" si="156">I641-J641</f>
        <v>322631.79255425127</v>
      </c>
      <c r="L641" s="222"/>
      <c r="M641" s="222"/>
      <c r="N641" s="222"/>
      <c r="O641" s="222"/>
      <c r="P641" s="222"/>
      <c r="Q641" s="222"/>
      <c r="R641" s="222"/>
      <c r="S641" s="222"/>
      <c r="T641" s="222"/>
      <c r="U641" s="222"/>
      <c r="V641" s="222"/>
    </row>
    <row r="642" spans="1:22" ht="17.5" x14ac:dyDescent="0.35">
      <c r="A642" s="222"/>
      <c r="B642" s="310" t="s">
        <v>202</v>
      </c>
      <c r="C642" s="311"/>
      <c r="D642" s="317">
        <f t="shared" si="151"/>
        <v>15482365.194211636</v>
      </c>
      <c r="E642" s="732">
        <f t="shared" si="152"/>
        <v>38558.693646466199</v>
      </c>
      <c r="F642" s="732">
        <f t="shared" si="153"/>
        <v>30</v>
      </c>
      <c r="G642" s="733">
        <f t="shared" si="154"/>
        <v>196.43</v>
      </c>
      <c r="H642" s="733">
        <f t="shared" si="154"/>
        <v>3.7949000000000002</v>
      </c>
      <c r="I642" s="724">
        <f>(G642*F642*12)+H642*E642</f>
        <v>217041.1865189746</v>
      </c>
      <c r="J642" s="749">
        <v>6940.5641999999998</v>
      </c>
      <c r="K642" s="731">
        <f t="shared" si="156"/>
        <v>210100.62231897461</v>
      </c>
      <c r="L642" s="222"/>
      <c r="M642" s="222"/>
      <c r="N642" s="222"/>
      <c r="O642" s="222"/>
      <c r="P642" s="222"/>
      <c r="Q642" s="222"/>
      <c r="R642" s="222"/>
      <c r="S642" s="222"/>
      <c r="T642" s="222"/>
      <c r="U642" s="222"/>
      <c r="V642" s="222"/>
    </row>
    <row r="643" spans="1:22" ht="17.5" x14ac:dyDescent="0.35">
      <c r="A643" s="222"/>
      <c r="B643" s="310" t="s">
        <v>120</v>
      </c>
      <c r="C643" s="311"/>
      <c r="D643" s="317">
        <f t="shared" si="151"/>
        <v>24257.609003941219</v>
      </c>
      <c r="E643" s="732">
        <f t="shared" si="152"/>
        <v>67.382247233170062</v>
      </c>
      <c r="F643" s="732">
        <f t="shared" si="153"/>
        <v>25</v>
      </c>
      <c r="G643" s="733">
        <f t="shared" si="154"/>
        <v>2.14</v>
      </c>
      <c r="H643" s="733">
        <f t="shared" si="154"/>
        <v>17.257100000000001</v>
      </c>
      <c r="I643" s="724">
        <f>(G643*F643*12)+H643*E643</f>
        <v>1804.8221787275393</v>
      </c>
      <c r="J643" s="709"/>
      <c r="K643" s="731">
        <f t="shared" si="156"/>
        <v>1804.8221787275393</v>
      </c>
      <c r="L643" s="222"/>
      <c r="M643" s="222"/>
      <c r="N643" s="222"/>
      <c r="O643" s="222"/>
      <c r="P643" s="222"/>
      <c r="Q643" s="222"/>
      <c r="R643" s="222"/>
      <c r="S643" s="222"/>
      <c r="T643" s="222"/>
      <c r="U643" s="222"/>
      <c r="V643" s="222"/>
    </row>
    <row r="644" spans="1:22" ht="17.5" x14ac:dyDescent="0.35">
      <c r="A644" s="222"/>
      <c r="B644" s="310" t="s">
        <v>119</v>
      </c>
      <c r="C644" s="311"/>
      <c r="D644" s="317">
        <f t="shared" si="151"/>
        <v>224918.5</v>
      </c>
      <c r="E644" s="732">
        <f t="shared" si="152"/>
        <v>659.99999999999829</v>
      </c>
      <c r="F644" s="732">
        <f t="shared" si="153"/>
        <v>799</v>
      </c>
      <c r="G644" s="733">
        <f t="shared" si="154"/>
        <v>1.99</v>
      </c>
      <c r="H644" s="733">
        <f t="shared" si="154"/>
        <v>25.080100000000002</v>
      </c>
      <c r="I644" s="724">
        <f>(G644*F644*12)+H644*E644</f>
        <v>35632.985999999961</v>
      </c>
      <c r="J644" s="709"/>
      <c r="K644" s="731">
        <f t="shared" si="156"/>
        <v>35632.985999999961</v>
      </c>
      <c r="L644" s="222"/>
      <c r="M644" s="222"/>
      <c r="N644" s="222"/>
      <c r="O644" s="222"/>
      <c r="P644" s="222"/>
      <c r="Q644" s="222"/>
      <c r="R644" s="222"/>
      <c r="S644" s="222"/>
      <c r="T644" s="222"/>
      <c r="U644" s="222"/>
      <c r="V644" s="222"/>
    </row>
    <row r="645" spans="1:22" ht="17.5" x14ac:dyDescent="0.35">
      <c r="A645" s="222"/>
      <c r="B645" s="310" t="s">
        <v>121</v>
      </c>
      <c r="C645" s="311"/>
      <c r="D645" s="317">
        <f t="shared" si="151"/>
        <v>115182.4523499588</v>
      </c>
      <c r="E645" s="732">
        <f t="shared" si="152"/>
        <v>0</v>
      </c>
      <c r="F645" s="732">
        <f t="shared" si="153"/>
        <v>21</v>
      </c>
      <c r="G645" s="733">
        <f t="shared" si="154"/>
        <v>12.26</v>
      </c>
      <c r="H645" s="733">
        <f t="shared" si="154"/>
        <v>1.5699999999999999E-2</v>
      </c>
      <c r="I645" s="724">
        <f t="shared" ref="I645" si="157">(G645*F645*12)+H645*D645</f>
        <v>4897.8845018943521</v>
      </c>
      <c r="J645" s="709"/>
      <c r="K645" s="731">
        <f t="shared" si="156"/>
        <v>4897.8845018943521</v>
      </c>
      <c r="L645" s="222"/>
      <c r="M645" s="222"/>
      <c r="N645" s="222"/>
      <c r="O645" s="222"/>
      <c r="P645" s="222"/>
      <c r="Q645" s="222"/>
      <c r="R645" s="222"/>
      <c r="S645" s="222"/>
      <c r="T645" s="222"/>
      <c r="U645" s="222"/>
      <c r="V645" s="222"/>
    </row>
    <row r="646" spans="1:22" ht="17.5" x14ac:dyDescent="0.35">
      <c r="A646" s="222"/>
      <c r="B646" s="739" t="s">
        <v>11</v>
      </c>
      <c r="C646" s="740"/>
      <c r="D646" s="741"/>
      <c r="E646" s="742"/>
      <c r="F646" s="742"/>
      <c r="G646" s="743"/>
      <c r="H646" s="744"/>
      <c r="I646" s="742">
        <f>SUM(I640:I645)</f>
        <v>1628207.8313942046</v>
      </c>
      <c r="J646" s="745"/>
      <c r="K646" s="746">
        <f>SUM(K640:K645)</f>
        <v>1621267.2671942047</v>
      </c>
      <c r="L646" s="222"/>
      <c r="M646" s="222"/>
      <c r="N646" s="222"/>
      <c r="O646" s="222"/>
      <c r="P646" s="222"/>
      <c r="Q646" s="222"/>
      <c r="R646" s="222"/>
      <c r="S646" s="222"/>
      <c r="T646" s="222"/>
      <c r="U646" s="222"/>
      <c r="V646" s="222"/>
    </row>
    <row r="647" spans="1:22" ht="17.5" x14ac:dyDescent="0.35">
      <c r="A647" s="222"/>
      <c r="B647" s="322"/>
      <c r="C647" s="322"/>
      <c r="D647" s="707"/>
      <c r="E647" s="734"/>
      <c r="F647" s="734"/>
      <c r="G647" s="735"/>
      <c r="H647" s="735"/>
      <c r="I647" s="727"/>
      <c r="J647" s="708"/>
      <c r="K647" s="647"/>
      <c r="L647" s="222"/>
      <c r="M647" s="222"/>
      <c r="N647" s="222"/>
      <c r="O647" s="222"/>
      <c r="P647" s="222"/>
      <c r="Q647" s="222"/>
      <c r="R647" s="222"/>
      <c r="S647" s="222"/>
      <c r="T647" s="222"/>
      <c r="U647" s="222"/>
      <c r="V647" s="222"/>
    </row>
    <row r="648" spans="1:22" ht="18" x14ac:dyDescent="0.4">
      <c r="A648" s="222"/>
      <c r="B648" s="703" t="s">
        <v>416</v>
      </c>
      <c r="C648" s="322"/>
      <c r="D648" s="707"/>
      <c r="E648" s="727"/>
      <c r="F648" s="727"/>
      <c r="G648" s="708"/>
      <c r="H648" s="727"/>
      <c r="I648" s="727"/>
      <c r="J648" s="708"/>
      <c r="K648" s="242"/>
      <c r="L648" s="222"/>
      <c r="M648" s="222"/>
      <c r="N648" s="222"/>
      <c r="O648" s="222"/>
      <c r="P648" s="222"/>
      <c r="Q648" s="222"/>
      <c r="R648" s="222"/>
      <c r="S648" s="222"/>
      <c r="T648" s="222"/>
      <c r="U648" s="222"/>
      <c r="V648" s="222"/>
    </row>
    <row r="649" spans="1:22" ht="72" x14ac:dyDescent="0.35">
      <c r="A649" s="222"/>
      <c r="B649" s="699" t="s">
        <v>405</v>
      </c>
      <c r="C649" s="322"/>
      <c r="D649" s="309" t="s">
        <v>406</v>
      </c>
      <c r="E649" s="309" t="s">
        <v>407</v>
      </c>
      <c r="F649" s="309" t="s">
        <v>412</v>
      </c>
      <c r="G649" s="309" t="s">
        <v>424</v>
      </c>
      <c r="H649" s="309" t="s">
        <v>409</v>
      </c>
      <c r="I649" s="309" t="s">
        <v>410</v>
      </c>
      <c r="J649" s="309" t="s">
        <v>411</v>
      </c>
      <c r="K649" s="309" t="s">
        <v>168</v>
      </c>
      <c r="L649" s="309" t="s">
        <v>417</v>
      </c>
      <c r="M649" s="222"/>
      <c r="N649" s="222"/>
      <c r="O649" s="222"/>
      <c r="P649" s="222"/>
      <c r="Q649" s="222"/>
      <c r="R649" s="222"/>
      <c r="S649" s="222"/>
      <c r="T649" s="222"/>
      <c r="U649" s="222"/>
      <c r="V649" s="222"/>
    </row>
    <row r="650" spans="1:22" ht="17.5" x14ac:dyDescent="0.35">
      <c r="A650" s="222"/>
      <c r="B650" s="310" t="s">
        <v>1</v>
      </c>
      <c r="C650" s="311"/>
      <c r="D650" s="317">
        <f t="shared" ref="D650:F653" si="158">D640</f>
        <v>32639691.743550409</v>
      </c>
      <c r="E650" s="732">
        <f t="shared" si="158"/>
        <v>0</v>
      </c>
      <c r="F650" s="732">
        <f t="shared" si="158"/>
        <v>2910</v>
      </c>
      <c r="G650" s="738">
        <v>22.77</v>
      </c>
      <c r="H650" s="737">
        <v>1.7999999999999999E-2</v>
      </c>
      <c r="I650" s="732">
        <f>(G650*F650*12)+H650*D650</f>
        <v>1382642.8513839073</v>
      </c>
      <c r="J650" s="709"/>
      <c r="K650" s="731">
        <f>I650-J650</f>
        <v>1382642.8513839073</v>
      </c>
      <c r="L650" s="731">
        <f>O5</f>
        <v>1381388.039026889</v>
      </c>
      <c r="M650" s="748"/>
      <c r="N650" s="222"/>
      <c r="O650" s="222"/>
      <c r="P650" s="222"/>
      <c r="Q650" s="222"/>
      <c r="R650" s="222"/>
      <c r="S650" s="222"/>
      <c r="T650" s="222"/>
      <c r="U650" s="222"/>
      <c r="V650" s="222"/>
    </row>
    <row r="651" spans="1:22" ht="17.5" x14ac:dyDescent="0.35">
      <c r="A651" s="222"/>
      <c r="B651" s="310" t="s">
        <v>97</v>
      </c>
      <c r="C651" s="311"/>
      <c r="D651" s="317">
        <f t="shared" si="158"/>
        <v>10191189.978466244</v>
      </c>
      <c r="E651" s="732">
        <f t="shared" si="158"/>
        <v>0</v>
      </c>
      <c r="F651" s="732">
        <f t="shared" si="158"/>
        <v>369</v>
      </c>
      <c r="G651" s="738">
        <v>32.22</v>
      </c>
      <c r="H651" s="737">
        <v>2.64E-2</v>
      </c>
      <c r="I651" s="732">
        <f t="shared" ref="I651" si="159">(G651*F651*12)+H651*D651</f>
        <v>411717.57543150883</v>
      </c>
      <c r="J651" s="709"/>
      <c r="K651" s="731">
        <f t="shared" ref="K651:K655" si="160">I651-J651</f>
        <v>411717.57543150883</v>
      </c>
      <c r="L651" s="731">
        <f t="shared" ref="L651:L655" si="161">O6</f>
        <v>412128.97487291484</v>
      </c>
      <c r="M651" s="748"/>
      <c r="N651" s="222"/>
      <c r="O651" s="222"/>
      <c r="P651" s="222"/>
      <c r="Q651" s="222"/>
      <c r="R651" s="222"/>
      <c r="S651" s="222"/>
      <c r="T651" s="222"/>
      <c r="U651" s="222"/>
      <c r="V651" s="222"/>
    </row>
    <row r="652" spans="1:22" ht="17.5" x14ac:dyDescent="0.35">
      <c r="A652" s="222"/>
      <c r="B652" s="310" t="s">
        <v>202</v>
      </c>
      <c r="C652" s="311"/>
      <c r="D652" s="317">
        <f t="shared" si="158"/>
        <v>15482365.194211636</v>
      </c>
      <c r="E652" s="732">
        <f t="shared" si="158"/>
        <v>38558.693646466199</v>
      </c>
      <c r="F652" s="732">
        <f t="shared" si="158"/>
        <v>30</v>
      </c>
      <c r="G652" s="738">
        <v>229.37</v>
      </c>
      <c r="H652" s="737">
        <v>4.4010999999999996</v>
      </c>
      <c r="I652" s="732">
        <f>(G652*F652*12)+H652*E652</f>
        <v>252273.86660746238</v>
      </c>
      <c r="J652" s="749">
        <v>6940.5641999999998</v>
      </c>
      <c r="K652" s="731">
        <f t="shared" si="160"/>
        <v>245333.30240746238</v>
      </c>
      <c r="L652" s="731">
        <f t="shared" si="161"/>
        <v>245331.59928170056</v>
      </c>
      <c r="M652" s="748"/>
      <c r="N652" s="222"/>
      <c r="O652" s="222"/>
      <c r="P652" s="222"/>
      <c r="Q652" s="222"/>
      <c r="R652" s="222"/>
      <c r="S652" s="222"/>
      <c r="T652" s="222"/>
      <c r="U652" s="222"/>
      <c r="V652" s="222"/>
    </row>
    <row r="653" spans="1:22" ht="17.5" x14ac:dyDescent="0.35">
      <c r="A653" s="222"/>
      <c r="B653" s="310" t="s">
        <v>120</v>
      </c>
      <c r="C653" s="311"/>
      <c r="D653" s="317">
        <f t="shared" si="158"/>
        <v>24257.609003941219</v>
      </c>
      <c r="E653" s="732">
        <f t="shared" si="158"/>
        <v>67.382247233170062</v>
      </c>
      <c r="F653" s="732">
        <f t="shared" si="158"/>
        <v>25</v>
      </c>
      <c r="G653" s="738">
        <v>3.4</v>
      </c>
      <c r="H653" s="737">
        <v>27.434100000000001</v>
      </c>
      <c r="I653" s="732">
        <f>(G653*F653*12)+H653*E653</f>
        <v>2868.5713088195107</v>
      </c>
      <c r="J653" s="709"/>
      <c r="K653" s="731">
        <f t="shared" si="160"/>
        <v>2868.5713088195107</v>
      </c>
      <c r="L653" s="731">
        <f t="shared" si="161"/>
        <v>2869.2145291562197</v>
      </c>
      <c r="M653" s="748"/>
      <c r="N653" s="222"/>
      <c r="O653" s="222"/>
      <c r="P653" s="222"/>
      <c r="Q653" s="222"/>
      <c r="R653" s="222"/>
      <c r="S653" s="222"/>
      <c r="T653" s="222"/>
      <c r="U653" s="222"/>
      <c r="V653" s="222"/>
    </row>
    <row r="654" spans="1:22" ht="17.5" x14ac:dyDescent="0.35">
      <c r="A654" s="222"/>
      <c r="B654" s="310" t="s">
        <v>119</v>
      </c>
      <c r="C654" s="311"/>
      <c r="D654" s="317">
        <f>D644</f>
        <v>224918.5</v>
      </c>
      <c r="E654" s="732">
        <v>660.4</v>
      </c>
      <c r="F654" s="732">
        <f>F644</f>
        <v>799</v>
      </c>
      <c r="G654" s="738">
        <v>1.29</v>
      </c>
      <c r="H654" s="737">
        <v>16.2041</v>
      </c>
      <c r="I654" s="732">
        <f>(G654*F654*12)+H654*E654</f>
        <v>23069.707640000001</v>
      </c>
      <c r="J654" s="709"/>
      <c r="K654" s="731">
        <f t="shared" si="160"/>
        <v>23069.707640000001</v>
      </c>
      <c r="L654" s="731">
        <f t="shared" si="161"/>
        <v>23028.766190677736</v>
      </c>
      <c r="M654" s="748"/>
      <c r="N654" s="222"/>
      <c r="O654" s="222"/>
      <c r="P654" s="222"/>
      <c r="Q654" s="222"/>
      <c r="R654" s="222"/>
      <c r="S654" s="222"/>
      <c r="T654" s="222"/>
      <c r="U654" s="222"/>
      <c r="V654" s="222"/>
    </row>
    <row r="655" spans="1:22" ht="17.5" x14ac:dyDescent="0.35">
      <c r="A655" s="222"/>
      <c r="B655" s="310" t="s">
        <v>121</v>
      </c>
      <c r="C655" s="311"/>
      <c r="D655" s="317">
        <f>D645</f>
        <v>115182.4523499588</v>
      </c>
      <c r="E655" s="732">
        <f>E645</f>
        <v>0</v>
      </c>
      <c r="F655" s="732">
        <f>F645</f>
        <v>21</v>
      </c>
      <c r="G655" s="738">
        <v>15.66</v>
      </c>
      <c r="H655" s="737">
        <v>2.01E-2</v>
      </c>
      <c r="I655" s="732">
        <f t="shared" ref="I655" si="162">(G655*F655*12)+H655*D655</f>
        <v>6261.4872922341719</v>
      </c>
      <c r="J655" s="709"/>
      <c r="K655" s="731">
        <f t="shared" si="160"/>
        <v>6261.4872922341719</v>
      </c>
      <c r="L655" s="731">
        <f t="shared" si="161"/>
        <v>6256.544302181137</v>
      </c>
      <c r="M655" s="748"/>
      <c r="N655" s="222"/>
      <c r="O655" s="222"/>
      <c r="P655" s="222"/>
      <c r="Q655" s="222"/>
      <c r="R655" s="222"/>
      <c r="S655" s="222"/>
      <c r="T655" s="222"/>
      <c r="U655" s="222"/>
      <c r="V655" s="222"/>
    </row>
    <row r="656" spans="1:22" ht="17.5" x14ac:dyDescent="0.35">
      <c r="A656" s="222"/>
      <c r="B656" s="739" t="s">
        <v>11</v>
      </c>
      <c r="C656" s="740"/>
      <c r="D656" s="741"/>
      <c r="E656" s="742"/>
      <c r="F656" s="742"/>
      <c r="G656" s="743"/>
      <c r="H656" s="744"/>
      <c r="I656" s="742">
        <f>SUM(I650:I655)</f>
        <v>2078834.0596639321</v>
      </c>
      <c r="J656" s="745"/>
      <c r="K656" s="746">
        <f>SUM(K650:K655)</f>
        <v>2071893.4954639322</v>
      </c>
      <c r="L656" s="746">
        <f>SUM(L650:L655)</f>
        <v>2071003.1382035194</v>
      </c>
      <c r="M656" s="222"/>
      <c r="N656" s="222"/>
      <c r="O656" s="222"/>
      <c r="P656" s="222"/>
      <c r="Q656" s="222"/>
      <c r="R656" s="222"/>
      <c r="S656" s="222"/>
      <c r="T656" s="222"/>
      <c r="U656" s="222"/>
      <c r="V656" s="222"/>
    </row>
    <row r="657" spans="1:22" ht="17.5" x14ac:dyDescent="0.35">
      <c r="A657" s="222"/>
      <c r="B657" s="322"/>
      <c r="C657" s="322"/>
      <c r="D657" s="707"/>
      <c r="E657" s="734"/>
      <c r="F657" s="734"/>
      <c r="G657" s="735"/>
      <c r="H657" s="735"/>
      <c r="I657" s="727"/>
      <c r="J657" s="708"/>
      <c r="K657" s="647"/>
      <c r="L657" s="222"/>
      <c r="M657" s="222"/>
      <c r="N657" s="222"/>
      <c r="O657" s="222"/>
      <c r="P657" s="222"/>
      <c r="Q657" s="222"/>
      <c r="R657" s="222"/>
      <c r="S657" s="222"/>
      <c r="T657" s="222"/>
      <c r="U657" s="222"/>
      <c r="V657" s="222"/>
    </row>
    <row r="658" spans="1:22" ht="17.5" hidden="1" x14ac:dyDescent="0.35">
      <c r="A658" s="222"/>
      <c r="B658" s="222"/>
      <c r="C658" s="222"/>
      <c r="D658" s="222"/>
      <c r="E658" s="222"/>
      <c r="F658" s="222"/>
      <c r="G658" s="222"/>
      <c r="H658" s="222"/>
      <c r="I658" s="222"/>
      <c r="J658" s="222"/>
      <c r="K658" s="222"/>
      <c r="L658" s="222"/>
      <c r="M658" s="222"/>
      <c r="N658" s="222"/>
      <c r="O658" s="222"/>
      <c r="P658" s="222"/>
      <c r="Q658" s="222"/>
      <c r="R658" s="222"/>
      <c r="S658" s="222"/>
      <c r="T658" s="222"/>
      <c r="U658" s="222"/>
      <c r="V658" s="222"/>
    </row>
    <row r="659" spans="1:22" ht="18" hidden="1" x14ac:dyDescent="0.35">
      <c r="A659" s="222"/>
      <c r="B659" s="380" t="s">
        <v>365</v>
      </c>
      <c r="C659" s="324"/>
      <c r="D659" s="324"/>
      <c r="E659" s="324"/>
      <c r="F659" s="324"/>
      <c r="G659" s="324"/>
      <c r="H659" s="222"/>
      <c r="I659" s="222"/>
      <c r="J659" s="222"/>
      <c r="K659" s="222"/>
      <c r="L659" s="222"/>
      <c r="M659" s="222"/>
      <c r="N659" s="222"/>
      <c r="O659" s="222"/>
      <c r="P659" s="222"/>
      <c r="Q659" s="222"/>
      <c r="R659" s="222"/>
      <c r="S659" s="222"/>
      <c r="T659" s="222"/>
      <c r="U659" s="222"/>
      <c r="V659" s="222"/>
    </row>
    <row r="660" spans="1:22" ht="72" hidden="1" x14ac:dyDescent="0.35">
      <c r="A660" s="222"/>
      <c r="B660" s="325" t="s">
        <v>185</v>
      </c>
      <c r="C660" s="325" t="s">
        <v>172</v>
      </c>
      <c r="D660" s="309" t="s">
        <v>164</v>
      </c>
      <c r="E660" s="325" t="s">
        <v>170</v>
      </c>
      <c r="F660" s="309" t="s">
        <v>186</v>
      </c>
      <c r="G660" s="326" t="s">
        <v>171</v>
      </c>
      <c r="H660" s="309" t="s">
        <v>187</v>
      </c>
      <c r="I660" s="327" t="s">
        <v>158</v>
      </c>
      <c r="J660" s="671"/>
      <c r="K660" s="309" t="s">
        <v>188</v>
      </c>
      <c r="L660" s="399" t="s">
        <v>206</v>
      </c>
      <c r="M660" s="390" t="s">
        <v>227</v>
      </c>
      <c r="N660" s="390" t="s">
        <v>212</v>
      </c>
      <c r="O660" s="390" t="s">
        <v>228</v>
      </c>
      <c r="P660" s="399" t="s">
        <v>226</v>
      </c>
      <c r="Q660" s="390" t="s">
        <v>229</v>
      </c>
      <c r="R660" s="328"/>
      <c r="S660" s="222"/>
      <c r="T660" s="222"/>
      <c r="U660" s="222"/>
      <c r="V660" s="222"/>
    </row>
    <row r="661" spans="1:22" ht="17.5" hidden="1" x14ac:dyDescent="0.35">
      <c r="A661" s="222"/>
      <c r="B661" s="384">
        <v>4082</v>
      </c>
      <c r="C661" s="329" t="s">
        <v>198</v>
      </c>
      <c r="D661" s="330">
        <v>8305</v>
      </c>
      <c r="E661" s="330">
        <v>6295</v>
      </c>
      <c r="F661" s="330">
        <f t="shared" ref="F661:F675" si="163">E661-D661</f>
        <v>-2010</v>
      </c>
      <c r="G661" s="330">
        <v>6162</v>
      </c>
      <c r="H661" s="331">
        <f>G661-E661</f>
        <v>-133</v>
      </c>
      <c r="I661" s="330">
        <v>6004</v>
      </c>
      <c r="J661" s="332"/>
      <c r="K661" s="332">
        <f t="shared" ref="K661:K675" si="164">I661-G661</f>
        <v>-158</v>
      </c>
      <c r="L661" s="330">
        <v>5790</v>
      </c>
      <c r="M661" s="330">
        <f t="shared" ref="M661:M675" si="165">L661-I661</f>
        <v>-214</v>
      </c>
      <c r="N661" s="330">
        <v>5348</v>
      </c>
      <c r="O661" s="330">
        <f>N661-L661</f>
        <v>-442</v>
      </c>
      <c r="P661" s="330">
        <v>5600</v>
      </c>
      <c r="Q661" s="330">
        <f>P661-N661</f>
        <v>252</v>
      </c>
      <c r="R661" s="328"/>
      <c r="S661" s="222"/>
      <c r="T661" s="222"/>
      <c r="U661" s="222"/>
      <c r="V661" s="222"/>
    </row>
    <row r="662" spans="1:22" ht="17.5" hidden="1" x14ac:dyDescent="0.35">
      <c r="A662" s="222"/>
      <c r="B662" s="393">
        <v>4084</v>
      </c>
      <c r="C662" s="333" t="s">
        <v>199</v>
      </c>
      <c r="D662" s="331">
        <v>105</v>
      </c>
      <c r="E662" s="331">
        <v>56</v>
      </c>
      <c r="F662" s="331">
        <f t="shared" si="163"/>
        <v>-49</v>
      </c>
      <c r="G662" s="331">
        <v>45</v>
      </c>
      <c r="H662" s="331">
        <f t="shared" ref="H662:H675" si="166">G662-E662</f>
        <v>-11</v>
      </c>
      <c r="I662" s="331">
        <v>34</v>
      </c>
      <c r="J662" s="334"/>
      <c r="K662" s="334">
        <f t="shared" si="164"/>
        <v>-11</v>
      </c>
      <c r="L662" s="331">
        <v>28</v>
      </c>
      <c r="M662" s="331">
        <f t="shared" si="165"/>
        <v>-6</v>
      </c>
      <c r="N662" s="331">
        <v>24</v>
      </c>
      <c r="O662" s="331">
        <f t="shared" ref="O662:O675" si="167">N662-L662</f>
        <v>-4</v>
      </c>
      <c r="P662" s="331">
        <v>30</v>
      </c>
      <c r="Q662" s="331">
        <f t="shared" ref="Q662:Q675" si="168">P662-N662</f>
        <v>6</v>
      </c>
      <c r="R662" s="328"/>
      <c r="S662" s="222"/>
      <c r="T662" s="222"/>
      <c r="U662" s="222"/>
      <c r="V662" s="222"/>
    </row>
    <row r="663" spans="1:22" ht="17.5" hidden="1" x14ac:dyDescent="0.35">
      <c r="A663" s="222"/>
      <c r="B663" s="393">
        <v>4086</v>
      </c>
      <c r="C663" s="333" t="s">
        <v>189</v>
      </c>
      <c r="D663" s="331"/>
      <c r="E663" s="331">
        <v>12342</v>
      </c>
      <c r="F663" s="331">
        <f t="shared" si="163"/>
        <v>12342</v>
      </c>
      <c r="G663" s="331">
        <v>12412</v>
      </c>
      <c r="H663" s="331">
        <f t="shared" si="166"/>
        <v>70</v>
      </c>
      <c r="I663" s="331">
        <v>10912</v>
      </c>
      <c r="J663" s="334"/>
      <c r="K663" s="334">
        <f t="shared" si="164"/>
        <v>-1500</v>
      </c>
      <c r="L663" s="331">
        <v>12000</v>
      </c>
      <c r="M663" s="331">
        <f t="shared" si="165"/>
        <v>1088</v>
      </c>
      <c r="N663" s="331">
        <v>0</v>
      </c>
      <c r="O663" s="331">
        <f t="shared" si="167"/>
        <v>-12000</v>
      </c>
      <c r="P663" s="331">
        <v>0</v>
      </c>
      <c r="Q663" s="331">
        <f t="shared" si="168"/>
        <v>0</v>
      </c>
      <c r="R663" s="328"/>
      <c r="S663" s="222"/>
      <c r="T663" s="222"/>
      <c r="U663" s="222"/>
      <c r="V663" s="222"/>
    </row>
    <row r="664" spans="1:22" ht="17.5" hidden="1" x14ac:dyDescent="0.35">
      <c r="A664" s="222"/>
      <c r="B664" s="393">
        <v>4210</v>
      </c>
      <c r="C664" s="333" t="s">
        <v>190</v>
      </c>
      <c r="D664" s="331">
        <v>38000</v>
      </c>
      <c r="E664" s="331">
        <v>38414</v>
      </c>
      <c r="F664" s="331">
        <f t="shared" si="163"/>
        <v>414</v>
      </c>
      <c r="G664" s="331">
        <v>39902</v>
      </c>
      <c r="H664" s="331">
        <f t="shared" si="166"/>
        <v>1488</v>
      </c>
      <c r="I664" s="331">
        <v>38327</v>
      </c>
      <c r="J664" s="334"/>
      <c r="K664" s="334">
        <f t="shared" si="164"/>
        <v>-1575</v>
      </c>
      <c r="L664" s="331">
        <v>38349</v>
      </c>
      <c r="M664" s="331">
        <f t="shared" si="165"/>
        <v>22</v>
      </c>
      <c r="N664" s="331">
        <v>38682</v>
      </c>
      <c r="O664" s="331">
        <f t="shared" si="167"/>
        <v>333</v>
      </c>
      <c r="P664" s="331">
        <v>38718</v>
      </c>
      <c r="Q664" s="331">
        <f t="shared" si="168"/>
        <v>36</v>
      </c>
      <c r="R664" s="328"/>
      <c r="S664" s="222"/>
      <c r="T664" s="222"/>
      <c r="U664" s="222"/>
      <c r="V664" s="222"/>
    </row>
    <row r="665" spans="1:22" ht="17.5" hidden="1" x14ac:dyDescent="0.35">
      <c r="A665" s="222"/>
      <c r="B665" s="393">
        <v>4220</v>
      </c>
      <c r="C665" s="333" t="s">
        <v>200</v>
      </c>
      <c r="D665" s="331"/>
      <c r="E665" s="331">
        <v>4668</v>
      </c>
      <c r="F665" s="331">
        <f t="shared" si="163"/>
        <v>4668</v>
      </c>
      <c r="G665" s="331">
        <v>5348</v>
      </c>
      <c r="H665" s="331">
        <f t="shared" si="166"/>
        <v>680</v>
      </c>
      <c r="I665" s="331">
        <v>6755</v>
      </c>
      <c r="J665" s="334"/>
      <c r="K665" s="334">
        <f t="shared" si="164"/>
        <v>1407</v>
      </c>
      <c r="L665" s="331">
        <v>0</v>
      </c>
      <c r="M665" s="331">
        <f t="shared" si="165"/>
        <v>-6755</v>
      </c>
      <c r="N665" s="331">
        <v>0</v>
      </c>
      <c r="O665" s="331">
        <f t="shared" si="167"/>
        <v>0</v>
      </c>
      <c r="P665" s="331">
        <v>0</v>
      </c>
      <c r="Q665" s="331">
        <f t="shared" si="168"/>
        <v>0</v>
      </c>
      <c r="R665" s="328"/>
      <c r="S665" s="222"/>
      <c r="T665" s="222"/>
      <c r="U665" s="222"/>
      <c r="V665" s="222"/>
    </row>
    <row r="666" spans="1:22" ht="17.5" hidden="1" x14ac:dyDescent="0.35">
      <c r="A666" s="222"/>
      <c r="B666" s="393">
        <v>4225</v>
      </c>
      <c r="C666" s="333" t="s">
        <v>191</v>
      </c>
      <c r="D666" s="331">
        <v>16700</v>
      </c>
      <c r="E666" s="331">
        <v>6421</v>
      </c>
      <c r="F666" s="331">
        <f t="shared" si="163"/>
        <v>-10279</v>
      </c>
      <c r="G666" s="331">
        <v>15411</v>
      </c>
      <c r="H666" s="331">
        <f t="shared" si="166"/>
        <v>8990</v>
      </c>
      <c r="I666" s="331">
        <v>19622</v>
      </c>
      <c r="J666" s="334"/>
      <c r="K666" s="334">
        <f t="shared" si="164"/>
        <v>4211</v>
      </c>
      <c r="L666" s="331">
        <v>31404</v>
      </c>
      <c r="M666" s="331">
        <f t="shared" si="165"/>
        <v>11782</v>
      </c>
      <c r="N666" s="331">
        <v>16758</v>
      </c>
      <c r="O666" s="331">
        <f t="shared" si="167"/>
        <v>-14646</v>
      </c>
      <c r="P666" s="331">
        <v>18500</v>
      </c>
      <c r="Q666" s="331">
        <f t="shared" si="168"/>
        <v>1742</v>
      </c>
      <c r="R666" s="222"/>
      <c r="S666" s="222"/>
      <c r="T666" s="222"/>
      <c r="U666" s="222"/>
      <c r="V666" s="222"/>
    </row>
    <row r="667" spans="1:22" ht="17.5" hidden="1" x14ac:dyDescent="0.35">
      <c r="A667" s="222"/>
      <c r="B667" s="393">
        <v>4235</v>
      </c>
      <c r="C667" s="333" t="s">
        <v>193</v>
      </c>
      <c r="D667" s="331">
        <v>68500</v>
      </c>
      <c r="E667" s="331">
        <v>68517</v>
      </c>
      <c r="F667" s="331">
        <f t="shared" si="163"/>
        <v>17</v>
      </c>
      <c r="G667" s="331">
        <v>74156</v>
      </c>
      <c r="H667" s="331">
        <f t="shared" si="166"/>
        <v>5639</v>
      </c>
      <c r="I667" s="331">
        <v>64048</v>
      </c>
      <c r="J667" s="334"/>
      <c r="K667" s="334">
        <f t="shared" si="164"/>
        <v>-10108</v>
      </c>
      <c r="L667" s="331">
        <v>39562</v>
      </c>
      <c r="M667" s="331">
        <f t="shared" si="165"/>
        <v>-24486</v>
      </c>
      <c r="N667" s="331">
        <v>39350</v>
      </c>
      <c r="O667" s="331">
        <f t="shared" si="167"/>
        <v>-212</v>
      </c>
      <c r="P667" s="331">
        <v>38000</v>
      </c>
      <c r="Q667" s="331">
        <f t="shared" si="168"/>
        <v>-1350</v>
      </c>
      <c r="R667" s="222"/>
      <c r="S667" s="222"/>
      <c r="T667" s="222"/>
      <c r="U667" s="222"/>
      <c r="V667" s="222"/>
    </row>
    <row r="668" spans="1:22" ht="17.5" hidden="1" x14ac:dyDescent="0.35">
      <c r="A668" s="222"/>
      <c r="B668" s="393">
        <v>4245</v>
      </c>
      <c r="C668" s="333" t="s">
        <v>232</v>
      </c>
      <c r="D668" s="331">
        <v>0</v>
      </c>
      <c r="E668" s="331">
        <v>0</v>
      </c>
      <c r="F668" s="331">
        <f t="shared" si="163"/>
        <v>0</v>
      </c>
      <c r="G668" s="331">
        <v>0</v>
      </c>
      <c r="H668" s="331">
        <f t="shared" si="166"/>
        <v>0</v>
      </c>
      <c r="I668" s="331">
        <v>0</v>
      </c>
      <c r="J668" s="334"/>
      <c r="K668" s="334">
        <f t="shared" si="164"/>
        <v>0</v>
      </c>
      <c r="L668" s="331">
        <v>0</v>
      </c>
      <c r="M668" s="331">
        <f t="shared" si="165"/>
        <v>0</v>
      </c>
      <c r="N668" s="331">
        <v>1257</v>
      </c>
      <c r="O668" s="331">
        <f t="shared" si="167"/>
        <v>1257</v>
      </c>
      <c r="P668" s="331">
        <v>0</v>
      </c>
      <c r="Q668" s="331">
        <f t="shared" si="168"/>
        <v>-1257</v>
      </c>
      <c r="R668" s="222"/>
      <c r="S668" s="222"/>
      <c r="T668" s="222"/>
      <c r="U668" s="222"/>
      <c r="V668" s="222"/>
    </row>
    <row r="669" spans="1:22" ht="17.5" hidden="1" x14ac:dyDescent="0.35">
      <c r="A669" s="222"/>
      <c r="B669" s="393">
        <v>4325</v>
      </c>
      <c r="C669" s="333" t="s">
        <v>192</v>
      </c>
      <c r="D669" s="331">
        <v>5000</v>
      </c>
      <c r="E669" s="331">
        <v>4106</v>
      </c>
      <c r="F669" s="331">
        <f t="shared" si="163"/>
        <v>-894</v>
      </c>
      <c r="G669" s="331">
        <v>277</v>
      </c>
      <c r="H669" s="331">
        <f t="shared" si="166"/>
        <v>-3829</v>
      </c>
      <c r="I669" s="331">
        <v>2620</v>
      </c>
      <c r="J669" s="334"/>
      <c r="K669" s="334">
        <f t="shared" si="164"/>
        <v>2343</v>
      </c>
      <c r="L669" s="331">
        <v>547</v>
      </c>
      <c r="M669" s="331">
        <f t="shared" si="165"/>
        <v>-2073</v>
      </c>
      <c r="N669" s="331">
        <v>1722</v>
      </c>
      <c r="O669" s="331">
        <f t="shared" si="167"/>
        <v>1175</v>
      </c>
      <c r="P669" s="331">
        <v>1000</v>
      </c>
      <c r="Q669" s="331">
        <f t="shared" si="168"/>
        <v>-722</v>
      </c>
      <c r="R669" s="222"/>
      <c r="S669" s="222"/>
      <c r="T669" s="222"/>
      <c r="U669" s="222"/>
      <c r="V669" s="222"/>
    </row>
    <row r="670" spans="1:22" ht="17.5" hidden="1" x14ac:dyDescent="0.35">
      <c r="A670" s="222"/>
      <c r="B670" s="393">
        <v>4360</v>
      </c>
      <c r="C670" s="333" t="s">
        <v>230</v>
      </c>
      <c r="D670" s="331">
        <v>0</v>
      </c>
      <c r="E670" s="331">
        <v>0</v>
      </c>
      <c r="F670" s="331">
        <f t="shared" si="163"/>
        <v>0</v>
      </c>
      <c r="G670" s="331">
        <v>0</v>
      </c>
      <c r="H670" s="331">
        <f t="shared" si="166"/>
        <v>0</v>
      </c>
      <c r="I670" s="331">
        <v>0</v>
      </c>
      <c r="J670" s="334"/>
      <c r="K670" s="334">
        <f t="shared" si="164"/>
        <v>0</v>
      </c>
      <c r="L670" s="331">
        <v>-4329</v>
      </c>
      <c r="M670" s="331">
        <f t="shared" si="165"/>
        <v>-4329</v>
      </c>
      <c r="N670" s="331">
        <v>0</v>
      </c>
      <c r="O670" s="331">
        <f t="shared" si="167"/>
        <v>4329</v>
      </c>
      <c r="P670" s="331">
        <v>0</v>
      </c>
      <c r="Q670" s="331">
        <f t="shared" si="168"/>
        <v>0</v>
      </c>
      <c r="R670" s="222"/>
      <c r="S670" s="222"/>
      <c r="T670" s="222"/>
      <c r="U670" s="222"/>
      <c r="V670" s="222"/>
    </row>
    <row r="671" spans="1:22" ht="17.5" hidden="1" x14ac:dyDescent="0.35">
      <c r="A671" s="222"/>
      <c r="B671" s="393">
        <v>4375</v>
      </c>
      <c r="C671" s="333" t="s">
        <v>195</v>
      </c>
      <c r="D671" s="331">
        <v>33475</v>
      </c>
      <c r="E671" s="331">
        <v>24792</v>
      </c>
      <c r="F671" s="331">
        <f t="shared" si="163"/>
        <v>-8683</v>
      </c>
      <c r="G671" s="331">
        <v>34289</v>
      </c>
      <c r="H671" s="331">
        <f t="shared" si="166"/>
        <v>9497</v>
      </c>
      <c r="I671" s="331">
        <v>21582</v>
      </c>
      <c r="J671" s="334"/>
      <c r="K671" s="334">
        <f t="shared" si="164"/>
        <v>-12707</v>
      </c>
      <c r="L671" s="331">
        <v>7236</v>
      </c>
      <c r="M671" s="331">
        <f t="shared" si="165"/>
        <v>-14346</v>
      </c>
      <c r="N671" s="331">
        <v>15554</v>
      </c>
      <c r="O671" s="331">
        <f t="shared" si="167"/>
        <v>8318</v>
      </c>
      <c r="P671" s="331">
        <v>118000</v>
      </c>
      <c r="Q671" s="331">
        <f t="shared" si="168"/>
        <v>102446</v>
      </c>
      <c r="R671" s="222"/>
      <c r="S671" s="222"/>
      <c r="T671" s="222"/>
      <c r="U671" s="222"/>
      <c r="V671" s="222"/>
    </row>
    <row r="672" spans="1:22" ht="17.5" hidden="1" x14ac:dyDescent="0.35">
      <c r="A672" s="222"/>
      <c r="B672" s="393">
        <v>4380</v>
      </c>
      <c r="C672" s="333" t="s">
        <v>194</v>
      </c>
      <c r="D672" s="331">
        <v>-27686</v>
      </c>
      <c r="E672" s="331">
        <v>-17881</v>
      </c>
      <c r="F672" s="331">
        <f t="shared" si="163"/>
        <v>9805</v>
      </c>
      <c r="G672" s="331">
        <v>-26622</v>
      </c>
      <c r="H672" s="331">
        <f t="shared" si="166"/>
        <v>-8741</v>
      </c>
      <c r="I672" s="331">
        <v>-16054</v>
      </c>
      <c r="J672" s="334"/>
      <c r="K672" s="334">
        <f t="shared" si="164"/>
        <v>10568</v>
      </c>
      <c r="L672" s="331">
        <v>-6173</v>
      </c>
      <c r="M672" s="331">
        <f t="shared" si="165"/>
        <v>9881</v>
      </c>
      <c r="N672" s="331">
        <v>-14458</v>
      </c>
      <c r="O672" s="331">
        <f t="shared" si="167"/>
        <v>-8285</v>
      </c>
      <c r="P672" s="331">
        <v>-115754</v>
      </c>
      <c r="Q672" s="331">
        <f t="shared" si="168"/>
        <v>-101296</v>
      </c>
      <c r="R672" s="222"/>
      <c r="S672" s="222"/>
      <c r="T672" s="222"/>
      <c r="U672" s="222"/>
      <c r="V672" s="222"/>
    </row>
    <row r="673" spans="1:23" ht="17.5" hidden="1" x14ac:dyDescent="0.35">
      <c r="A673" s="222"/>
      <c r="B673" s="393">
        <v>4390</v>
      </c>
      <c r="C673" s="333" t="s">
        <v>196</v>
      </c>
      <c r="D673" s="331"/>
      <c r="E673" s="331">
        <v>3980</v>
      </c>
      <c r="F673" s="331">
        <f t="shared" si="163"/>
        <v>3980</v>
      </c>
      <c r="G673" s="331">
        <v>0</v>
      </c>
      <c r="H673" s="331">
        <f t="shared" si="166"/>
        <v>-3980</v>
      </c>
      <c r="I673" s="331">
        <v>886</v>
      </c>
      <c r="J673" s="334"/>
      <c r="K673" s="334">
        <f t="shared" si="164"/>
        <v>886</v>
      </c>
      <c r="L673" s="331">
        <v>1381</v>
      </c>
      <c r="M673" s="331">
        <f t="shared" si="165"/>
        <v>495</v>
      </c>
      <c r="N673" s="331"/>
      <c r="O673" s="331">
        <f t="shared" si="167"/>
        <v>-1381</v>
      </c>
      <c r="P673" s="331">
        <v>0</v>
      </c>
      <c r="Q673" s="331">
        <f t="shared" si="168"/>
        <v>0</v>
      </c>
      <c r="R673" s="222"/>
      <c r="S673" s="222"/>
      <c r="T673" s="222"/>
      <c r="U673" s="222"/>
      <c r="V673" s="222"/>
    </row>
    <row r="674" spans="1:23" ht="17.5" hidden="1" x14ac:dyDescent="0.35">
      <c r="A674" s="222"/>
      <c r="B674" s="393">
        <v>4398</v>
      </c>
      <c r="C674" s="333" t="s">
        <v>231</v>
      </c>
      <c r="D674" s="331">
        <v>0</v>
      </c>
      <c r="E674" s="331">
        <v>0</v>
      </c>
      <c r="F674" s="331">
        <f t="shared" si="163"/>
        <v>0</v>
      </c>
      <c r="G674" s="331">
        <v>0</v>
      </c>
      <c r="H674" s="331">
        <f t="shared" si="166"/>
        <v>0</v>
      </c>
      <c r="I674" s="331">
        <v>0</v>
      </c>
      <c r="J674" s="334"/>
      <c r="K674" s="334">
        <f t="shared" si="164"/>
        <v>0</v>
      </c>
      <c r="L674" s="331">
        <v>0</v>
      </c>
      <c r="M674" s="331">
        <f t="shared" si="165"/>
        <v>0</v>
      </c>
      <c r="N674" s="331">
        <v>264</v>
      </c>
      <c r="O674" s="331">
        <f t="shared" si="167"/>
        <v>264</v>
      </c>
      <c r="P674" s="331">
        <v>0</v>
      </c>
      <c r="Q674" s="331"/>
      <c r="R674" s="222"/>
      <c r="S674" s="222"/>
      <c r="T674" s="222"/>
      <c r="U674" s="222"/>
      <c r="V674" s="222"/>
    </row>
    <row r="675" spans="1:23" ht="17.5" hidden="1" x14ac:dyDescent="0.35">
      <c r="A675" s="222"/>
      <c r="B675" s="393">
        <v>4405</v>
      </c>
      <c r="C675" s="335" t="s">
        <v>197</v>
      </c>
      <c r="D675" s="336"/>
      <c r="E675" s="336">
        <v>16266</v>
      </c>
      <c r="F675" s="336">
        <f t="shared" si="163"/>
        <v>16266</v>
      </c>
      <c r="G675" s="336">
        <v>15418</v>
      </c>
      <c r="H675" s="336">
        <f t="shared" si="166"/>
        <v>-848</v>
      </c>
      <c r="I675" s="336">
        <v>15364</v>
      </c>
      <c r="J675" s="337"/>
      <c r="K675" s="337">
        <f t="shared" si="164"/>
        <v>-54</v>
      </c>
      <c r="L675" s="336">
        <v>33884</v>
      </c>
      <c r="M675" s="336">
        <f t="shared" si="165"/>
        <v>18520</v>
      </c>
      <c r="N675" s="336">
        <v>30926</v>
      </c>
      <c r="O675" s="336">
        <f t="shared" si="167"/>
        <v>-2958</v>
      </c>
      <c r="P675" s="336">
        <v>31000</v>
      </c>
      <c r="Q675" s="336">
        <f t="shared" si="168"/>
        <v>74</v>
      </c>
      <c r="R675" s="222"/>
      <c r="S675" s="222"/>
      <c r="T675" s="222"/>
      <c r="U675" s="222"/>
      <c r="V675" s="222"/>
    </row>
    <row r="676" spans="1:23" ht="18" hidden="1" x14ac:dyDescent="0.4">
      <c r="A676" s="222"/>
      <c r="B676" s="335"/>
      <c r="C676" s="338" t="s">
        <v>172</v>
      </c>
      <c r="D676" s="339">
        <f t="shared" ref="D676:N676" si="169">SUM(D661:D675)</f>
        <v>142399</v>
      </c>
      <c r="E676" s="339">
        <f t="shared" si="169"/>
        <v>167976</v>
      </c>
      <c r="F676" s="339">
        <f t="shared" si="169"/>
        <v>25577</v>
      </c>
      <c r="G676" s="339">
        <f t="shared" si="169"/>
        <v>176798</v>
      </c>
      <c r="H676" s="339">
        <f t="shared" si="169"/>
        <v>8822</v>
      </c>
      <c r="I676" s="339">
        <f t="shared" si="169"/>
        <v>170100</v>
      </c>
      <c r="J676" s="339"/>
      <c r="K676" s="339">
        <f t="shared" si="169"/>
        <v>-6698</v>
      </c>
      <c r="L676" s="339">
        <f t="shared" si="169"/>
        <v>159679</v>
      </c>
      <c r="M676" s="339">
        <f t="shared" si="169"/>
        <v>-10421</v>
      </c>
      <c r="N676" s="339">
        <f t="shared" si="169"/>
        <v>135427</v>
      </c>
      <c r="O676" s="340">
        <f>SUM(O661:O675)</f>
        <v>-24252</v>
      </c>
      <c r="P676" s="339">
        <f t="shared" ref="P676" si="170">SUM(P661:P675)</f>
        <v>135094</v>
      </c>
      <c r="Q676" s="340">
        <f>SUM(Q661:Q675)</f>
        <v>-69</v>
      </c>
      <c r="R676" s="222"/>
      <c r="S676" s="222"/>
      <c r="T676" s="222"/>
      <c r="U676" s="222"/>
      <c r="V676" s="222"/>
    </row>
    <row r="677" spans="1:23" hidden="1" x14ac:dyDescent="0.25">
      <c r="D677" s="190"/>
      <c r="E677" s="190"/>
      <c r="F677" s="190"/>
      <c r="G677" s="190"/>
      <c r="H677" s="190"/>
      <c r="I677" s="190"/>
      <c r="J677" s="190"/>
      <c r="K677" s="190"/>
      <c r="L677" s="190"/>
      <c r="M677" s="190"/>
      <c r="N677" s="190"/>
      <c r="O677" s="190"/>
    </row>
    <row r="678" spans="1:23" hidden="1" x14ac:dyDescent="0.25"/>
    <row r="679" spans="1:23" ht="18" hidden="1" x14ac:dyDescent="0.25">
      <c r="B679" s="380" t="s">
        <v>366</v>
      </c>
      <c r="C679" s="324"/>
      <c r="D679" s="324"/>
      <c r="E679" s="324"/>
      <c r="F679" s="324"/>
    </row>
    <row r="680" spans="1:23" ht="72" hidden="1" x14ac:dyDescent="0.25">
      <c r="B680" s="369" t="s">
        <v>185</v>
      </c>
      <c r="C680" s="369" t="s">
        <v>172</v>
      </c>
      <c r="D680" s="309" t="s">
        <v>164</v>
      </c>
      <c r="E680" s="369" t="s">
        <v>170</v>
      </c>
      <c r="F680" s="309" t="s">
        <v>186</v>
      </c>
    </row>
    <row r="681" spans="1:23" ht="17.5" hidden="1" x14ac:dyDescent="0.35">
      <c r="A681" s="222"/>
      <c r="B681" s="229">
        <v>4225</v>
      </c>
      <c r="C681" s="229" t="str">
        <f>+$C$666</f>
        <v>Late Payment Charges</v>
      </c>
      <c r="D681" s="264">
        <f>+D666</f>
        <v>16700</v>
      </c>
      <c r="E681" s="264">
        <f>+E666</f>
        <v>6421</v>
      </c>
      <c r="F681" s="264">
        <f>+E681-D681</f>
        <v>-10279</v>
      </c>
      <c r="G681" s="222"/>
      <c r="H681" s="222"/>
      <c r="I681" s="222"/>
      <c r="J681" s="222"/>
      <c r="K681" s="222"/>
      <c r="L681" s="222"/>
      <c r="M681" s="222"/>
      <c r="N681" s="222"/>
      <c r="O681" s="222"/>
      <c r="P681" s="222"/>
      <c r="Q681" s="222"/>
      <c r="R681" s="222"/>
      <c r="S681" s="222"/>
      <c r="T681" s="222"/>
      <c r="U681" s="222"/>
      <c r="V681" s="222"/>
      <c r="W681" s="222"/>
    </row>
    <row r="682" spans="1:23" ht="17.5" hidden="1" x14ac:dyDescent="0.35">
      <c r="A682" s="222"/>
      <c r="B682" s="229">
        <v>4375</v>
      </c>
      <c r="C682" s="229" t="str">
        <f>+$C$671</f>
        <v>Revenues from Non-Utility Operations</v>
      </c>
      <c r="D682" s="264">
        <f>+D671</f>
        <v>33475</v>
      </c>
      <c r="E682" s="264">
        <f>+E671</f>
        <v>24792</v>
      </c>
      <c r="F682" s="264">
        <f>+E682-D682</f>
        <v>-8683</v>
      </c>
      <c r="G682" s="222"/>
      <c r="H682" s="222"/>
      <c r="I682" s="222"/>
      <c r="J682" s="222"/>
      <c r="K682" s="222"/>
      <c r="L682" s="222"/>
      <c r="M682" s="222"/>
      <c r="N682" s="222"/>
      <c r="O682" s="222"/>
      <c r="P682" s="222"/>
      <c r="Q682" s="222"/>
      <c r="R682" s="222"/>
      <c r="S682" s="222"/>
      <c r="T682" s="222"/>
      <c r="U682" s="222"/>
      <c r="V682" s="222"/>
      <c r="W682" s="222"/>
    </row>
    <row r="683" spans="1:23" ht="17.5" hidden="1" x14ac:dyDescent="0.35">
      <c r="A683" s="222"/>
      <c r="B683" s="229">
        <v>4380</v>
      </c>
      <c r="C683" s="229" t="str">
        <f>+$C$672</f>
        <v>Expenses of Non-Utility Operations</v>
      </c>
      <c r="D683" s="264">
        <f>+D672</f>
        <v>-27686</v>
      </c>
      <c r="E683" s="264">
        <f>+E672</f>
        <v>-17881</v>
      </c>
      <c r="F683" s="264">
        <f>+E683-D683</f>
        <v>9805</v>
      </c>
      <c r="G683" s="222"/>
      <c r="H683" s="222"/>
      <c r="I683" s="222"/>
      <c r="J683" s="222"/>
      <c r="K683" s="222"/>
      <c r="L683" s="222"/>
      <c r="M683" s="222"/>
      <c r="N683" s="222"/>
      <c r="O683" s="222"/>
      <c r="P683" s="222"/>
      <c r="Q683" s="222"/>
      <c r="R683" s="222"/>
      <c r="S683" s="222"/>
      <c r="T683" s="222"/>
      <c r="U683" s="222"/>
      <c r="V683" s="222"/>
      <c r="W683" s="222"/>
    </row>
    <row r="684" spans="1:23" ht="17.5" hidden="1" x14ac:dyDescent="0.35">
      <c r="A684" s="222"/>
      <c r="B684" s="222"/>
      <c r="C684" s="222"/>
      <c r="D684" s="222"/>
      <c r="E684" s="222"/>
      <c r="F684" s="222"/>
      <c r="G684" s="222"/>
      <c r="H684" s="222"/>
      <c r="I684" s="222"/>
      <c r="J684" s="222"/>
      <c r="K684" s="222"/>
      <c r="L684" s="222"/>
      <c r="M684" s="222"/>
      <c r="N684" s="222"/>
      <c r="O684" s="222"/>
      <c r="P684" s="222"/>
      <c r="Q684" s="222"/>
      <c r="R684" s="222"/>
      <c r="S684" s="222"/>
      <c r="T684" s="222"/>
      <c r="U684" s="222"/>
      <c r="V684" s="222"/>
      <c r="W684" s="222"/>
    </row>
    <row r="685" spans="1:23" ht="18" hidden="1" x14ac:dyDescent="0.35">
      <c r="A685" s="222"/>
      <c r="B685" s="380" t="s">
        <v>367</v>
      </c>
      <c r="C685" s="324"/>
      <c r="D685" s="324"/>
      <c r="E685" s="324"/>
      <c r="F685" s="324"/>
      <c r="G685" s="222"/>
      <c r="H685" s="222"/>
      <c r="I685" s="222"/>
      <c r="J685" s="222"/>
      <c r="K685" s="222"/>
      <c r="L685" s="222"/>
      <c r="M685" s="222"/>
      <c r="N685" s="222"/>
      <c r="O685" s="222"/>
      <c r="P685" s="222"/>
      <c r="Q685" s="222"/>
      <c r="R685" s="222"/>
      <c r="S685" s="222"/>
      <c r="T685" s="222"/>
      <c r="U685" s="222"/>
      <c r="V685" s="222"/>
      <c r="W685" s="222"/>
    </row>
    <row r="686" spans="1:23" ht="54" hidden="1" x14ac:dyDescent="0.35">
      <c r="A686" s="222"/>
      <c r="B686" s="369" t="s">
        <v>185</v>
      </c>
      <c r="C686" s="369" t="s">
        <v>172</v>
      </c>
      <c r="D686" s="369" t="s">
        <v>170</v>
      </c>
      <c r="E686" s="399" t="s">
        <v>171</v>
      </c>
      <c r="F686" s="390" t="s">
        <v>187</v>
      </c>
      <c r="G686" s="222"/>
      <c r="H686" s="222"/>
      <c r="I686" s="222"/>
      <c r="J686" s="222"/>
      <c r="K686" s="222"/>
      <c r="L686" s="222"/>
      <c r="M686" s="222"/>
      <c r="N686" s="222"/>
      <c r="O686" s="222"/>
      <c r="P686" s="222"/>
      <c r="Q686" s="222"/>
      <c r="R686" s="222"/>
      <c r="S686" s="222"/>
      <c r="T686" s="222"/>
      <c r="U686" s="222"/>
      <c r="V686" s="222"/>
      <c r="W686" s="222"/>
    </row>
    <row r="687" spans="1:23" ht="17.5" hidden="1" x14ac:dyDescent="0.35">
      <c r="A687" s="222"/>
      <c r="B687" s="229">
        <v>4225</v>
      </c>
      <c r="C687" s="229" t="str">
        <f>+$C$666</f>
        <v>Late Payment Charges</v>
      </c>
      <c r="D687" s="385">
        <f>+E666</f>
        <v>6421</v>
      </c>
      <c r="E687" s="385">
        <f>+G666</f>
        <v>15411</v>
      </c>
      <c r="F687" s="385">
        <f>+E687-D687</f>
        <v>8990</v>
      </c>
      <c r="G687" s="222"/>
      <c r="H687" s="222"/>
      <c r="I687" s="222"/>
      <c r="J687" s="222"/>
      <c r="K687" s="222"/>
      <c r="L687" s="222"/>
      <c r="M687" s="222"/>
      <c r="N687" s="222"/>
      <c r="O687" s="222"/>
      <c r="P687" s="222"/>
      <c r="Q687" s="222"/>
      <c r="R687" s="222"/>
      <c r="S687" s="222"/>
      <c r="T687" s="222"/>
      <c r="U687" s="222"/>
      <c r="V687" s="222"/>
      <c r="W687" s="222"/>
    </row>
    <row r="688" spans="1:23" ht="17.5" hidden="1" x14ac:dyDescent="0.35">
      <c r="A688" s="222"/>
      <c r="B688" s="229">
        <v>4375</v>
      </c>
      <c r="C688" s="229" t="str">
        <f>+$C$671</f>
        <v>Revenues from Non-Utility Operations</v>
      </c>
      <c r="D688" s="385">
        <f>+E671</f>
        <v>24792</v>
      </c>
      <c r="E688" s="385">
        <f>+G671</f>
        <v>34289</v>
      </c>
      <c r="F688" s="385">
        <f>+E688-D688</f>
        <v>9497</v>
      </c>
      <c r="G688" s="222"/>
      <c r="H688" s="222"/>
      <c r="I688" s="222"/>
      <c r="J688" s="222"/>
      <c r="K688" s="222"/>
      <c r="L688" s="222"/>
      <c r="M688" s="222"/>
      <c r="N688" s="222"/>
      <c r="O688" s="222"/>
      <c r="P688" s="222"/>
      <c r="Q688" s="222"/>
      <c r="R688" s="222"/>
      <c r="S688" s="222"/>
      <c r="T688" s="222"/>
      <c r="U688" s="222"/>
      <c r="V688" s="222"/>
      <c r="W688" s="222"/>
    </row>
    <row r="689" spans="1:23" ht="17.5" hidden="1" x14ac:dyDescent="0.35">
      <c r="A689" s="222"/>
      <c r="B689" s="229">
        <v>4380</v>
      </c>
      <c r="C689" s="229" t="str">
        <f>+$C$672</f>
        <v>Expenses of Non-Utility Operations</v>
      </c>
      <c r="D689" s="385">
        <f>+E672</f>
        <v>-17881</v>
      </c>
      <c r="E689" s="385">
        <f>+G672</f>
        <v>-26622</v>
      </c>
      <c r="F689" s="385">
        <f>+E689-D689</f>
        <v>-8741</v>
      </c>
      <c r="G689" s="222"/>
      <c r="H689" s="222"/>
      <c r="I689" s="222"/>
      <c r="J689" s="222"/>
      <c r="K689" s="222"/>
      <c r="L689" s="222"/>
      <c r="M689" s="222"/>
      <c r="N689" s="222"/>
      <c r="O689" s="222"/>
      <c r="P689" s="222"/>
      <c r="Q689" s="222"/>
      <c r="R689" s="222"/>
      <c r="S689" s="222"/>
      <c r="T689" s="222"/>
      <c r="U689" s="222"/>
      <c r="V689" s="222"/>
      <c r="W689" s="222"/>
    </row>
    <row r="690" spans="1:23" ht="17.5" hidden="1" x14ac:dyDescent="0.35">
      <c r="A690" s="222"/>
      <c r="B690" s="222"/>
      <c r="C690" s="222"/>
      <c r="D690" s="222"/>
      <c r="E690" s="222"/>
      <c r="F690" s="222"/>
      <c r="G690" s="222"/>
      <c r="H690" s="222"/>
      <c r="I690" s="222"/>
      <c r="J690" s="222"/>
      <c r="K690" s="222"/>
      <c r="L690" s="222"/>
      <c r="M690" s="222"/>
      <c r="N690" s="222"/>
      <c r="O690" s="222"/>
      <c r="P690" s="222"/>
      <c r="Q690" s="222"/>
      <c r="R690" s="222"/>
      <c r="S690" s="222"/>
      <c r="T690" s="222"/>
      <c r="U690" s="222"/>
      <c r="V690" s="222"/>
      <c r="W690" s="222"/>
    </row>
    <row r="691" spans="1:23" ht="18" hidden="1" x14ac:dyDescent="0.35">
      <c r="A691" s="222"/>
      <c r="B691" s="380" t="s">
        <v>368</v>
      </c>
      <c r="C691" s="324"/>
      <c r="D691" s="324"/>
      <c r="E691" s="324"/>
      <c r="F691" s="324"/>
      <c r="G691" s="222"/>
      <c r="H691" s="222"/>
      <c r="I691" s="222"/>
      <c r="J691" s="222"/>
      <c r="K691" s="222"/>
      <c r="L691" s="222"/>
      <c r="M691" s="222"/>
      <c r="N691" s="222"/>
      <c r="O691" s="222"/>
      <c r="P691" s="222"/>
      <c r="Q691" s="222"/>
      <c r="R691" s="222"/>
      <c r="S691" s="222"/>
      <c r="T691" s="222"/>
      <c r="U691" s="222"/>
      <c r="V691" s="222"/>
      <c r="W691" s="222"/>
    </row>
    <row r="692" spans="1:23" ht="54" hidden="1" x14ac:dyDescent="0.35">
      <c r="A692" s="222"/>
      <c r="B692" s="369" t="s">
        <v>185</v>
      </c>
      <c r="C692" s="369" t="s">
        <v>172</v>
      </c>
      <c r="D692" s="309" t="s">
        <v>171</v>
      </c>
      <c r="E692" s="369" t="s">
        <v>158</v>
      </c>
      <c r="F692" s="390" t="s">
        <v>188</v>
      </c>
      <c r="G692" s="222"/>
      <c r="H692" s="222"/>
      <c r="I692" s="222"/>
      <c r="J692" s="222"/>
      <c r="K692" s="222"/>
      <c r="L692" s="222"/>
      <c r="M692" s="222"/>
      <c r="N692" s="222"/>
      <c r="O692" s="222"/>
      <c r="P692" s="222"/>
      <c r="Q692" s="222"/>
      <c r="R692" s="222"/>
      <c r="S692" s="222"/>
      <c r="T692" s="222"/>
      <c r="U692" s="222"/>
      <c r="V692" s="222"/>
      <c r="W692" s="222"/>
    </row>
    <row r="693" spans="1:23" ht="17.5" hidden="1" x14ac:dyDescent="0.35">
      <c r="A693" s="222"/>
      <c r="B693" s="229">
        <v>4235</v>
      </c>
      <c r="C693" s="229" t="str">
        <f>+$C$667</f>
        <v>Specific Service Charges</v>
      </c>
      <c r="D693" s="385">
        <f>+G667</f>
        <v>74156</v>
      </c>
      <c r="E693" s="385">
        <f>+I667</f>
        <v>64048</v>
      </c>
      <c r="F693" s="385">
        <f>+E693-D693</f>
        <v>-10108</v>
      </c>
      <c r="G693" s="222"/>
      <c r="H693" s="222"/>
      <c r="I693" s="222"/>
      <c r="J693" s="222"/>
      <c r="K693" s="222"/>
      <c r="L693" s="222"/>
      <c r="M693" s="222"/>
      <c r="N693" s="222"/>
      <c r="O693" s="222"/>
      <c r="P693" s="222"/>
      <c r="Q693" s="222"/>
      <c r="R693" s="222"/>
      <c r="S693" s="222"/>
      <c r="T693" s="222"/>
      <c r="U693" s="222"/>
      <c r="V693" s="222"/>
      <c r="W693" s="222"/>
    </row>
    <row r="694" spans="1:23" ht="17.5" hidden="1" x14ac:dyDescent="0.35">
      <c r="A694" s="222"/>
      <c r="B694" s="229">
        <v>4375</v>
      </c>
      <c r="C694" s="229" t="str">
        <f>+$C$671</f>
        <v>Revenues from Non-Utility Operations</v>
      </c>
      <c r="D694" s="385">
        <f>+G671</f>
        <v>34289</v>
      </c>
      <c r="E694" s="385">
        <f>+I671</f>
        <v>21582</v>
      </c>
      <c r="F694" s="385">
        <f>+E694-D694</f>
        <v>-12707</v>
      </c>
      <c r="G694" s="222"/>
      <c r="H694" s="222"/>
      <c r="I694" s="222"/>
      <c r="J694" s="222"/>
      <c r="K694" s="222"/>
      <c r="L694" s="222"/>
      <c r="M694" s="222"/>
      <c r="N694" s="222"/>
      <c r="O694" s="222"/>
      <c r="P694" s="222"/>
      <c r="Q694" s="222"/>
      <c r="R694" s="222"/>
      <c r="S694" s="222"/>
      <c r="T694" s="222"/>
      <c r="U694" s="222"/>
      <c r="V694" s="222"/>
      <c r="W694" s="222"/>
    </row>
    <row r="695" spans="1:23" ht="17.5" hidden="1" x14ac:dyDescent="0.35">
      <c r="A695" s="222"/>
      <c r="B695" s="229">
        <v>4380</v>
      </c>
      <c r="C695" s="229" t="str">
        <f>+$C$672</f>
        <v>Expenses of Non-Utility Operations</v>
      </c>
      <c r="D695" s="385">
        <f>+G672</f>
        <v>-26622</v>
      </c>
      <c r="E695" s="385">
        <f>+I672</f>
        <v>-16054</v>
      </c>
      <c r="F695" s="385">
        <f>+E695-D695</f>
        <v>10568</v>
      </c>
      <c r="G695" s="222"/>
      <c r="H695" s="222"/>
      <c r="I695" s="222"/>
      <c r="J695" s="222"/>
      <c r="K695" s="222"/>
      <c r="L695" s="222"/>
      <c r="M695" s="222"/>
      <c r="N695" s="222"/>
      <c r="O695" s="222"/>
      <c r="P695" s="222"/>
      <c r="Q695" s="222"/>
      <c r="R695" s="222"/>
      <c r="S695" s="222"/>
      <c r="T695" s="222"/>
      <c r="U695" s="222"/>
      <c r="V695" s="222"/>
      <c r="W695" s="222"/>
    </row>
    <row r="696" spans="1:23" ht="17.5" hidden="1" x14ac:dyDescent="0.35">
      <c r="A696" s="222"/>
      <c r="B696" s="222"/>
      <c r="C696" s="222"/>
      <c r="D696" s="222"/>
      <c r="E696" s="222"/>
      <c r="F696" s="222"/>
      <c r="G696" s="222"/>
      <c r="H696" s="222"/>
      <c r="I696" s="222"/>
      <c r="J696" s="222"/>
      <c r="K696" s="222"/>
      <c r="L696" s="222"/>
      <c r="M696" s="222"/>
      <c r="N696" s="222"/>
      <c r="O696" s="222"/>
      <c r="P696" s="222"/>
      <c r="Q696" s="222"/>
      <c r="R696" s="222"/>
      <c r="S696" s="222"/>
      <c r="T696" s="222"/>
      <c r="U696" s="222"/>
      <c r="V696" s="222"/>
      <c r="W696" s="222"/>
    </row>
    <row r="697" spans="1:23" ht="18" hidden="1" x14ac:dyDescent="0.35">
      <c r="A697" s="222"/>
      <c r="B697" s="380" t="s">
        <v>369</v>
      </c>
      <c r="C697" s="324"/>
      <c r="D697" s="324"/>
      <c r="E697" s="324"/>
      <c r="F697" s="324"/>
      <c r="G697" s="222"/>
      <c r="H697" s="222"/>
      <c r="I697" s="222"/>
      <c r="J697" s="222"/>
      <c r="K697" s="222"/>
      <c r="L697" s="222"/>
      <c r="M697" s="222"/>
      <c r="N697" s="222"/>
      <c r="O697" s="222"/>
      <c r="P697" s="222"/>
      <c r="Q697" s="222"/>
      <c r="R697" s="222"/>
      <c r="S697" s="222"/>
      <c r="T697" s="222"/>
      <c r="U697" s="222"/>
      <c r="V697" s="222"/>
      <c r="W697" s="222"/>
    </row>
    <row r="698" spans="1:23" ht="54" hidden="1" x14ac:dyDescent="0.35">
      <c r="A698" s="222"/>
      <c r="B698" s="369" t="s">
        <v>185</v>
      </c>
      <c r="C698" s="369" t="s">
        <v>172</v>
      </c>
      <c r="D698" s="369" t="s">
        <v>158</v>
      </c>
      <c r="E698" s="399" t="s">
        <v>206</v>
      </c>
      <c r="F698" s="390" t="s">
        <v>227</v>
      </c>
      <c r="G698" s="222"/>
      <c r="H698" s="222"/>
      <c r="I698" s="222"/>
      <c r="J698" s="222"/>
      <c r="K698" s="222"/>
      <c r="L698" s="222"/>
      <c r="M698" s="222"/>
      <c r="N698" s="222"/>
      <c r="O698" s="222"/>
      <c r="P698" s="222"/>
      <c r="Q698" s="222"/>
      <c r="R698" s="222"/>
      <c r="S698" s="222"/>
      <c r="T698" s="222"/>
      <c r="U698" s="222"/>
      <c r="V698" s="222"/>
      <c r="W698" s="222"/>
    </row>
    <row r="699" spans="1:23" ht="17.5" hidden="1" x14ac:dyDescent="0.35">
      <c r="A699" s="222"/>
      <c r="B699" s="229">
        <v>4225</v>
      </c>
      <c r="C699" s="229" t="str">
        <f>+$C$666</f>
        <v>Late Payment Charges</v>
      </c>
      <c r="D699" s="385">
        <f>+I666</f>
        <v>19622</v>
      </c>
      <c r="E699" s="385">
        <f>+L666</f>
        <v>31404</v>
      </c>
      <c r="F699" s="385">
        <f>+E699-D699</f>
        <v>11782</v>
      </c>
      <c r="G699" s="222"/>
      <c r="H699" s="222"/>
      <c r="I699" s="222"/>
      <c r="J699" s="222"/>
      <c r="K699" s="222"/>
      <c r="L699" s="222"/>
      <c r="M699" s="222"/>
      <c r="N699" s="222"/>
      <c r="O699" s="222"/>
      <c r="P699" s="222"/>
      <c r="Q699" s="222"/>
      <c r="R699" s="222"/>
      <c r="S699" s="222"/>
      <c r="T699" s="222"/>
      <c r="U699" s="222"/>
      <c r="V699" s="222"/>
      <c r="W699" s="222"/>
    </row>
    <row r="700" spans="1:23" ht="17.5" hidden="1" x14ac:dyDescent="0.35">
      <c r="A700" s="222"/>
      <c r="B700" s="229">
        <v>4235</v>
      </c>
      <c r="C700" s="229" t="str">
        <f>+$C$667</f>
        <v>Specific Service Charges</v>
      </c>
      <c r="D700" s="385">
        <f>+I667</f>
        <v>64048</v>
      </c>
      <c r="E700" s="385">
        <f>+K667</f>
        <v>-10108</v>
      </c>
      <c r="F700" s="385">
        <f>+E700-D700</f>
        <v>-74156</v>
      </c>
      <c r="G700" s="222"/>
      <c r="H700" s="222"/>
      <c r="I700" s="222"/>
      <c r="J700" s="222"/>
      <c r="K700" s="222"/>
      <c r="L700" s="222"/>
      <c r="M700" s="222"/>
      <c r="N700" s="222"/>
      <c r="O700" s="222"/>
      <c r="P700" s="222"/>
      <c r="Q700" s="222"/>
      <c r="R700" s="222"/>
      <c r="S700" s="222"/>
      <c r="T700" s="222"/>
      <c r="U700" s="222"/>
      <c r="V700" s="222"/>
      <c r="W700" s="222"/>
    </row>
    <row r="701" spans="1:23" ht="17.5" hidden="1" x14ac:dyDescent="0.35">
      <c r="A701" s="222"/>
      <c r="B701" s="229">
        <v>4375</v>
      </c>
      <c r="C701" s="229" t="str">
        <f>+$C$671</f>
        <v>Revenues from Non-Utility Operations</v>
      </c>
      <c r="D701" s="385">
        <f>+I671</f>
        <v>21582</v>
      </c>
      <c r="E701" s="385">
        <f>+L671</f>
        <v>7236</v>
      </c>
      <c r="F701" s="385">
        <f>+E701-D701</f>
        <v>-14346</v>
      </c>
      <c r="G701" s="222"/>
      <c r="H701" s="222"/>
      <c r="I701" s="222"/>
      <c r="J701" s="222"/>
      <c r="K701" s="222"/>
      <c r="L701" s="222"/>
      <c r="M701" s="222"/>
      <c r="N701" s="222"/>
      <c r="O701" s="222"/>
      <c r="P701" s="222"/>
      <c r="Q701" s="222"/>
      <c r="R701" s="222"/>
      <c r="S701" s="222"/>
      <c r="T701" s="222"/>
      <c r="U701" s="222"/>
      <c r="V701" s="222"/>
      <c r="W701" s="222"/>
    </row>
    <row r="702" spans="1:23" ht="17.5" hidden="1" x14ac:dyDescent="0.35">
      <c r="A702" s="222"/>
      <c r="B702" s="229">
        <v>4380</v>
      </c>
      <c r="C702" s="229" t="str">
        <f>+$C$672</f>
        <v>Expenses of Non-Utility Operations</v>
      </c>
      <c r="D702" s="385">
        <f>+I672</f>
        <v>-16054</v>
      </c>
      <c r="E702" s="385">
        <f>+L672</f>
        <v>-6173</v>
      </c>
      <c r="F702" s="385">
        <f>+E702-D702</f>
        <v>9881</v>
      </c>
      <c r="G702" s="222"/>
      <c r="H702" s="222"/>
      <c r="I702" s="222"/>
      <c r="J702" s="222"/>
      <c r="K702" s="222"/>
      <c r="L702" s="222"/>
      <c r="M702" s="222"/>
      <c r="N702" s="222"/>
      <c r="O702" s="222"/>
      <c r="P702" s="222"/>
      <c r="Q702" s="222"/>
      <c r="R702" s="222"/>
      <c r="S702" s="222"/>
      <c r="T702" s="222"/>
      <c r="U702" s="222"/>
      <c r="V702" s="222"/>
      <c r="W702" s="222"/>
    </row>
    <row r="703" spans="1:23" ht="17.5" hidden="1" x14ac:dyDescent="0.35">
      <c r="A703" s="222"/>
      <c r="B703" s="222"/>
      <c r="C703" s="222"/>
      <c r="D703" s="222"/>
      <c r="E703" s="222"/>
      <c r="F703" s="222"/>
      <c r="G703" s="222"/>
      <c r="H703" s="222"/>
      <c r="I703" s="222"/>
      <c r="J703" s="222"/>
      <c r="K703" s="222"/>
      <c r="L703" s="222"/>
      <c r="M703" s="222"/>
      <c r="N703" s="222"/>
      <c r="O703" s="222"/>
      <c r="P703" s="222"/>
      <c r="Q703" s="222"/>
      <c r="R703" s="222"/>
      <c r="S703" s="222"/>
      <c r="T703" s="222"/>
      <c r="U703" s="222"/>
      <c r="V703" s="222"/>
      <c r="W703" s="222"/>
    </row>
    <row r="704" spans="1:23" ht="18" hidden="1" x14ac:dyDescent="0.35">
      <c r="A704" s="222"/>
      <c r="B704" s="380" t="s">
        <v>370</v>
      </c>
      <c r="C704" s="324"/>
      <c r="D704" s="324"/>
      <c r="E704" s="324"/>
      <c r="F704" s="324"/>
      <c r="G704" s="222"/>
      <c r="H704" s="222"/>
      <c r="I704" s="222"/>
      <c r="J704" s="222"/>
      <c r="K704" s="222"/>
      <c r="L704" s="222"/>
      <c r="M704" s="222"/>
      <c r="N704" s="222"/>
      <c r="O704" s="222"/>
      <c r="P704" s="222"/>
      <c r="Q704" s="222"/>
      <c r="R704" s="222"/>
      <c r="S704" s="222"/>
      <c r="T704" s="222"/>
      <c r="U704" s="222"/>
      <c r="V704" s="222"/>
      <c r="W704" s="222"/>
    </row>
    <row r="705" spans="1:23" ht="54" hidden="1" x14ac:dyDescent="0.35">
      <c r="A705" s="222"/>
      <c r="B705" s="369" t="s">
        <v>185</v>
      </c>
      <c r="C705" s="369" t="s">
        <v>172</v>
      </c>
      <c r="D705" s="309" t="s">
        <v>206</v>
      </c>
      <c r="E705" s="369" t="s">
        <v>212</v>
      </c>
      <c r="F705" s="390" t="s">
        <v>228</v>
      </c>
      <c r="G705" s="222"/>
      <c r="H705" s="222"/>
      <c r="I705" s="222"/>
      <c r="J705" s="222"/>
      <c r="K705" s="222"/>
      <c r="L705" s="222"/>
      <c r="M705" s="222"/>
      <c r="N705" s="222"/>
      <c r="O705" s="222"/>
      <c r="P705" s="222"/>
      <c r="Q705" s="222"/>
      <c r="R705" s="222"/>
      <c r="S705" s="222"/>
      <c r="T705" s="222"/>
      <c r="U705" s="222"/>
      <c r="V705" s="222"/>
      <c r="W705" s="222"/>
    </row>
    <row r="706" spans="1:23" ht="17.5" hidden="1" x14ac:dyDescent="0.35">
      <c r="A706" s="222"/>
      <c r="B706" s="229">
        <v>4225</v>
      </c>
      <c r="C706" s="229" t="str">
        <f>+$C$666</f>
        <v>Late Payment Charges</v>
      </c>
      <c r="D706" s="385">
        <f>+L666</f>
        <v>31404</v>
      </c>
      <c r="E706" s="385">
        <f>+N666</f>
        <v>16758</v>
      </c>
      <c r="F706" s="385">
        <f>+E706-D706</f>
        <v>-14646</v>
      </c>
      <c r="G706" s="222"/>
      <c r="H706" s="222"/>
      <c r="I706" s="222"/>
      <c r="J706" s="222"/>
      <c r="K706" s="222"/>
      <c r="L706" s="222"/>
      <c r="M706" s="222"/>
      <c r="N706" s="222"/>
      <c r="O706" s="222"/>
      <c r="P706" s="222"/>
      <c r="Q706" s="222"/>
      <c r="R706" s="222"/>
      <c r="S706" s="222"/>
      <c r="T706" s="222"/>
      <c r="U706" s="222"/>
      <c r="V706" s="222"/>
      <c r="W706" s="222"/>
    </row>
    <row r="707" spans="1:23" ht="17.5" hidden="1" x14ac:dyDescent="0.35">
      <c r="A707" s="222"/>
      <c r="B707" s="229">
        <v>4375</v>
      </c>
      <c r="C707" s="229" t="str">
        <f>+$C$671</f>
        <v>Revenues from Non-Utility Operations</v>
      </c>
      <c r="D707" s="385">
        <f>+L671</f>
        <v>7236</v>
      </c>
      <c r="E707" s="385">
        <f>+N671</f>
        <v>15554</v>
      </c>
      <c r="F707" s="385">
        <f>+E707-D707</f>
        <v>8318</v>
      </c>
      <c r="G707" s="222"/>
      <c r="H707" s="222"/>
      <c r="I707" s="222"/>
      <c r="J707" s="222"/>
      <c r="K707" s="222"/>
      <c r="L707" s="222"/>
      <c r="M707" s="222"/>
      <c r="N707" s="222"/>
      <c r="O707" s="222"/>
      <c r="P707" s="222"/>
      <c r="Q707" s="222"/>
      <c r="R707" s="222"/>
      <c r="S707" s="222"/>
      <c r="T707" s="222"/>
      <c r="U707" s="222"/>
      <c r="V707" s="222"/>
      <c r="W707" s="222"/>
    </row>
    <row r="708" spans="1:23" ht="17.5" hidden="1" x14ac:dyDescent="0.35">
      <c r="A708" s="222"/>
      <c r="B708" s="229">
        <v>4380</v>
      </c>
      <c r="C708" s="229" t="str">
        <f>+$C$672</f>
        <v>Expenses of Non-Utility Operations</v>
      </c>
      <c r="D708" s="385">
        <f>+L672</f>
        <v>-6173</v>
      </c>
      <c r="E708" s="385">
        <f>+N672</f>
        <v>-14458</v>
      </c>
      <c r="F708" s="385">
        <f>+E708-D708</f>
        <v>-8285</v>
      </c>
      <c r="G708" s="222"/>
      <c r="H708" s="222"/>
      <c r="I708" s="222"/>
      <c r="J708" s="222"/>
      <c r="K708" s="222"/>
      <c r="L708" s="222"/>
      <c r="M708" s="222"/>
      <c r="N708" s="222"/>
      <c r="O708" s="222"/>
      <c r="P708" s="222"/>
      <c r="Q708" s="222"/>
      <c r="R708" s="222"/>
      <c r="S708" s="222"/>
      <c r="T708" s="222"/>
      <c r="U708" s="222"/>
      <c r="V708" s="222"/>
      <c r="W708" s="222"/>
    </row>
    <row r="709" spans="1:23" ht="17.5" hidden="1" x14ac:dyDescent="0.35">
      <c r="A709" s="222"/>
      <c r="B709" s="222"/>
      <c r="C709" s="222"/>
      <c r="D709" s="222"/>
      <c r="E709" s="222"/>
      <c r="F709" s="222"/>
      <c r="G709" s="222"/>
      <c r="H709" s="222"/>
      <c r="I709" s="222"/>
      <c r="J709" s="222"/>
      <c r="K709" s="222"/>
      <c r="L709" s="222"/>
      <c r="M709" s="222"/>
      <c r="N709" s="222"/>
      <c r="O709" s="222"/>
      <c r="P709" s="222"/>
      <c r="Q709" s="222"/>
      <c r="R709" s="222"/>
      <c r="S709" s="222"/>
      <c r="T709" s="222"/>
      <c r="U709" s="222"/>
      <c r="V709" s="222"/>
      <c r="W709" s="222"/>
    </row>
    <row r="710" spans="1:23" ht="18" hidden="1" x14ac:dyDescent="0.35">
      <c r="A710" s="222"/>
      <c r="B710" s="380" t="s">
        <v>371</v>
      </c>
      <c r="C710" s="324"/>
      <c r="D710" s="324"/>
      <c r="E710" s="324"/>
      <c r="F710" s="324"/>
      <c r="G710" s="222"/>
      <c r="H710" s="222"/>
      <c r="I710" s="222"/>
      <c r="J710" s="222"/>
      <c r="K710" s="222"/>
      <c r="L710" s="222"/>
      <c r="M710" s="222"/>
      <c r="N710" s="222"/>
      <c r="O710" s="222"/>
      <c r="P710" s="222"/>
      <c r="Q710" s="222"/>
      <c r="R710" s="222"/>
      <c r="S710" s="222"/>
      <c r="T710" s="222"/>
      <c r="U710" s="222"/>
      <c r="V710" s="222"/>
      <c r="W710" s="222"/>
    </row>
    <row r="711" spans="1:23" ht="36" hidden="1" x14ac:dyDescent="0.35">
      <c r="A711" s="222"/>
      <c r="B711" s="369" t="s">
        <v>185</v>
      </c>
      <c r="C711" s="369" t="s">
        <v>172</v>
      </c>
      <c r="D711" s="309" t="s">
        <v>212</v>
      </c>
      <c r="E711" s="369" t="s">
        <v>226</v>
      </c>
      <c r="F711" s="390" t="s">
        <v>233</v>
      </c>
      <c r="G711" s="222"/>
      <c r="H711" s="222"/>
      <c r="I711" s="222"/>
      <c r="J711" s="222"/>
      <c r="K711" s="222"/>
      <c r="L711" s="222"/>
      <c r="M711" s="222"/>
      <c r="N711" s="222"/>
      <c r="O711" s="222"/>
      <c r="P711" s="222"/>
      <c r="Q711" s="222"/>
      <c r="R711" s="222"/>
      <c r="S711" s="222"/>
      <c r="T711" s="222"/>
      <c r="U711" s="222"/>
      <c r="V711" s="222"/>
      <c r="W711" s="222"/>
    </row>
    <row r="712" spans="1:23" ht="17.5" hidden="1" x14ac:dyDescent="0.35">
      <c r="A712" s="222"/>
      <c r="B712" s="229">
        <v>4375</v>
      </c>
      <c r="C712" s="229" t="str">
        <f>+$C$671</f>
        <v>Revenues from Non-Utility Operations</v>
      </c>
      <c r="D712" s="385">
        <f>+N671</f>
        <v>15554</v>
      </c>
      <c r="E712" s="385">
        <f>+P671</f>
        <v>118000</v>
      </c>
      <c r="F712" s="385">
        <f>+E712-D712</f>
        <v>102446</v>
      </c>
      <c r="G712" s="222"/>
      <c r="H712" s="222"/>
      <c r="I712" s="222"/>
      <c r="J712" s="222"/>
      <c r="K712" s="222"/>
      <c r="L712" s="222"/>
      <c r="M712" s="222"/>
      <c r="N712" s="222"/>
      <c r="O712" s="222"/>
      <c r="P712" s="222"/>
      <c r="Q712" s="222"/>
      <c r="R712" s="222"/>
      <c r="S712" s="222"/>
      <c r="T712" s="222"/>
      <c r="U712" s="222"/>
      <c r="V712" s="222"/>
      <c r="W712" s="222"/>
    </row>
    <row r="713" spans="1:23" ht="17.5" hidden="1" x14ac:dyDescent="0.35">
      <c r="A713" s="222"/>
      <c r="B713" s="229">
        <v>4380</v>
      </c>
      <c r="C713" s="229" t="str">
        <f>+$C$672</f>
        <v>Expenses of Non-Utility Operations</v>
      </c>
      <c r="D713" s="385">
        <f>+N672</f>
        <v>-14458</v>
      </c>
      <c r="E713" s="385">
        <f>+P672</f>
        <v>-115754</v>
      </c>
      <c r="F713" s="385">
        <f>+E713-D713</f>
        <v>-101296</v>
      </c>
      <c r="G713" s="222"/>
      <c r="H713" s="222"/>
      <c r="I713" s="222"/>
      <c r="J713" s="222"/>
      <c r="K713" s="222"/>
      <c r="L713" s="222"/>
      <c r="M713" s="222"/>
      <c r="N713" s="222"/>
      <c r="O713" s="222"/>
      <c r="P713" s="222"/>
      <c r="Q713" s="222"/>
      <c r="R713" s="222"/>
      <c r="S713" s="222"/>
      <c r="T713" s="222"/>
      <c r="U713" s="222"/>
      <c r="V713" s="222"/>
      <c r="W713" s="222"/>
    </row>
    <row r="714" spans="1:23" hidden="1" x14ac:dyDescent="0.25"/>
  </sheetData>
  <customSheetViews>
    <customSheetView guid="{7481AE0E-2D6B-416C-8D95-7DAA8CA7C9F5}" scale="70" showPageBreaks="1" fitToPage="1" printArea="1" topLeftCell="A7">
      <selection activeCell="N15" sqref="N15"/>
      <pageMargins left="0" right="0" top="0" bottom="0.5" header="0.3" footer="0.3"/>
      <pageSetup scale="62" fitToHeight="0" orientation="landscape" horizontalDpi="4294967293" r:id="rId1"/>
      <headerFooter>
        <oddFooter>&amp;L&amp;Z&amp;F &amp;A</oddFooter>
      </headerFooter>
    </customSheetView>
    <customSheetView guid="{4115F855-0BCB-4789-890B-F67D0AF20543}" scale="70" topLeftCell="A589">
      <selection activeCell="B622" sqref="B622:F624"/>
      <pageMargins left="0.7" right="0.7" top="0.75" bottom="0.75" header="0.3" footer="0.3"/>
      <pageSetup orientation="portrait" r:id="rId2"/>
    </customSheetView>
    <customSheetView guid="{DE47F5DD-3736-469D-8704-852547698004}" scale="80" showPageBreaks="1" hiddenColumns="1" topLeftCell="A305">
      <selection activeCell="T316" sqref="T316"/>
      <pageMargins left="0.7" right="0.7" top="0.75" bottom="0.75" header="0.3" footer="0.3"/>
      <pageSetup orientation="portrait" r:id="rId3"/>
    </customSheetView>
  </customSheetViews>
  <mergeCells count="102">
    <mergeCell ref="A319:D319"/>
    <mergeCell ref="P294:Q294"/>
    <mergeCell ref="K607:L607"/>
    <mergeCell ref="B380:E380"/>
    <mergeCell ref="B596:D596"/>
    <mergeCell ref="B606:M606"/>
    <mergeCell ref="B499:D499"/>
    <mergeCell ref="K519:L519"/>
    <mergeCell ref="B488:D488"/>
    <mergeCell ref="B518:M518"/>
    <mergeCell ref="B519:D519"/>
    <mergeCell ref="E519:G519"/>
    <mergeCell ref="H519:I519"/>
    <mergeCell ref="B487:D487"/>
    <mergeCell ref="B455:D455"/>
    <mergeCell ref="E431:G431"/>
    <mergeCell ref="H431:I431"/>
    <mergeCell ref="B476:M476"/>
    <mergeCell ref="B552:D552"/>
    <mergeCell ref="B607:D607"/>
    <mergeCell ref="E607:G607"/>
    <mergeCell ref="H607:I607"/>
    <mergeCell ref="B443:B444"/>
    <mergeCell ref="D443:D444"/>
    <mergeCell ref="B213:D213"/>
    <mergeCell ref="P299:Q299"/>
    <mergeCell ref="P305:Q305"/>
    <mergeCell ref="B211:D211"/>
    <mergeCell ref="B273:D273"/>
    <mergeCell ref="P292:V292"/>
    <mergeCell ref="P293:V293"/>
    <mergeCell ref="P300:V300"/>
    <mergeCell ref="P315:Q315"/>
    <mergeCell ref="P308:Q308"/>
    <mergeCell ref="A320:D320"/>
    <mergeCell ref="A321:D321"/>
    <mergeCell ref="K431:L431"/>
    <mergeCell ref="B454:M454"/>
    <mergeCell ref="H487:I487"/>
    <mergeCell ref="K487:L487"/>
    <mergeCell ref="B465:D465"/>
    <mergeCell ref="B381:E381"/>
    <mergeCell ref="B382:E382"/>
    <mergeCell ref="B383:E383"/>
    <mergeCell ref="B430:M430"/>
    <mergeCell ref="B477:D477"/>
    <mergeCell ref="K465:L465"/>
    <mergeCell ref="H465:I465"/>
    <mergeCell ref="B431:D431"/>
    <mergeCell ref="B432:D432"/>
    <mergeCell ref="F443:G443"/>
    <mergeCell ref="E443:E444"/>
    <mergeCell ref="H443:I443"/>
    <mergeCell ref="B337:D337"/>
    <mergeCell ref="B420:M420"/>
    <mergeCell ref="B421:D421"/>
    <mergeCell ref="B442:M442"/>
    <mergeCell ref="B520:D520"/>
    <mergeCell ref="B550:M550"/>
    <mergeCell ref="B551:D551"/>
    <mergeCell ref="E551:G551"/>
    <mergeCell ref="H551:I551"/>
    <mergeCell ref="K551:L551"/>
    <mergeCell ref="B531:D531"/>
    <mergeCell ref="B464:M464"/>
    <mergeCell ref="B498:M498"/>
    <mergeCell ref="B466:D466"/>
    <mergeCell ref="E487:G487"/>
    <mergeCell ref="B486:M486"/>
    <mergeCell ref="E465:G465"/>
    <mergeCell ref="B509:B510"/>
    <mergeCell ref="D509:D510"/>
    <mergeCell ref="B540:M540"/>
    <mergeCell ref="B541:B542"/>
    <mergeCell ref="D541:D542"/>
    <mergeCell ref="E541:G541"/>
    <mergeCell ref="H541:J541"/>
    <mergeCell ref="B508:M508"/>
    <mergeCell ref="H509:J509"/>
    <mergeCell ref="E509:G509"/>
    <mergeCell ref="B618:M618"/>
    <mergeCell ref="B619:B620"/>
    <mergeCell ref="D619:D620"/>
    <mergeCell ref="E619:G619"/>
    <mergeCell ref="H619:J619"/>
    <mergeCell ref="B562:M562"/>
    <mergeCell ref="B563:B564"/>
    <mergeCell ref="D563:D564"/>
    <mergeCell ref="E563:G563"/>
    <mergeCell ref="H563:J563"/>
    <mergeCell ref="B608:D608"/>
    <mergeCell ref="B574:D574"/>
    <mergeCell ref="B572:M572"/>
    <mergeCell ref="B573:D573"/>
    <mergeCell ref="E573:G573"/>
    <mergeCell ref="H573:I573"/>
    <mergeCell ref="K573:L573"/>
    <mergeCell ref="B585:M585"/>
    <mergeCell ref="B586:B587"/>
    <mergeCell ref="D586:D587"/>
    <mergeCell ref="E586:G586"/>
    <mergeCell ref="H586:J586"/>
  </mergeCells>
  <phoneticPr fontId="72" type="noConversion"/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K60"/>
  <sheetViews>
    <sheetView zoomScaleNormal="100" workbookViewId="0"/>
  </sheetViews>
  <sheetFormatPr defaultRowHeight="12.5" x14ac:dyDescent="0.25"/>
  <cols>
    <col min="1" max="1" width="11" customWidth="1"/>
    <col min="2" max="2" width="14.08984375" style="6" bestFit="1" customWidth="1"/>
    <col min="3" max="3" width="17.6328125" style="6" customWidth="1"/>
    <col min="4" max="4" width="12.54296875" style="6" customWidth="1"/>
    <col min="5" max="5" width="12.6328125" style="6" bestFit="1" customWidth="1"/>
    <col min="6" max="6" width="12.36328125" style="6" bestFit="1" customWidth="1"/>
    <col min="7" max="7" width="10.6328125" style="6" bestFit="1" customWidth="1"/>
    <col min="8" max="9" width="9.08984375" style="6" customWidth="1"/>
  </cols>
  <sheetData>
    <row r="1" spans="1:11" ht="42" customHeight="1" x14ac:dyDescent="0.25">
      <c r="B1" s="8" t="str">
        <f>'Rate Class Customer Model'!D2</f>
        <v>General Service &gt;50</v>
      </c>
      <c r="C1" s="8" t="str">
        <f>'Rate Class Customer Model'!E2</f>
        <v>Sentinel Lights</v>
      </c>
      <c r="D1" s="8" t="str">
        <f>'Rate Class Customer Model'!F2</f>
        <v>Street Lights</v>
      </c>
      <c r="E1" s="6" t="s">
        <v>11</v>
      </c>
    </row>
    <row r="2" spans="1:11" x14ac:dyDescent="0.25">
      <c r="A2" s="29">
        <v>2007</v>
      </c>
      <c r="B2" s="44">
        <v>37510</v>
      </c>
      <c r="C2" s="44">
        <v>72</v>
      </c>
      <c r="D2" s="43">
        <v>1721</v>
      </c>
      <c r="E2" s="6">
        <f t="shared" ref="E2:E11" si="0">SUM(B2:D2)</f>
        <v>39303</v>
      </c>
    </row>
    <row r="3" spans="1:11" x14ac:dyDescent="0.25">
      <c r="A3" s="29">
        <v>2008</v>
      </c>
      <c r="B3" s="44">
        <v>36482</v>
      </c>
      <c r="C3" s="44">
        <v>72</v>
      </c>
      <c r="D3" s="43">
        <v>1721</v>
      </c>
      <c r="E3" s="6">
        <f t="shared" si="0"/>
        <v>38275</v>
      </c>
    </row>
    <row r="4" spans="1:11" x14ac:dyDescent="0.25">
      <c r="A4" s="29">
        <v>2009</v>
      </c>
      <c r="B4" s="44">
        <v>39329</v>
      </c>
      <c r="C4" s="44">
        <v>72</v>
      </c>
      <c r="D4" s="43">
        <v>1724</v>
      </c>
      <c r="E4" s="6">
        <f t="shared" si="0"/>
        <v>41125</v>
      </c>
    </row>
    <row r="5" spans="1:11" x14ac:dyDescent="0.25">
      <c r="A5" s="29">
        <v>2010</v>
      </c>
      <c r="B5" s="43">
        <v>43226</v>
      </c>
      <c r="C5" s="43">
        <v>72</v>
      </c>
      <c r="D5" s="43">
        <v>1728</v>
      </c>
      <c r="E5" s="6">
        <f t="shared" si="0"/>
        <v>45026</v>
      </c>
    </row>
    <row r="6" spans="1:11" x14ac:dyDescent="0.25">
      <c r="A6" s="29">
        <v>2011</v>
      </c>
      <c r="B6" s="69">
        <v>40289</v>
      </c>
      <c r="C6" s="69">
        <v>72</v>
      </c>
      <c r="D6" s="69">
        <v>1728</v>
      </c>
      <c r="E6" s="6">
        <f t="shared" si="0"/>
        <v>42089</v>
      </c>
    </row>
    <row r="7" spans="1:11" x14ac:dyDescent="0.25">
      <c r="A7" s="29">
        <v>2012</v>
      </c>
      <c r="B7" s="69">
        <v>42772</v>
      </c>
      <c r="C7" s="69">
        <v>72</v>
      </c>
      <c r="D7" s="69">
        <v>1728</v>
      </c>
      <c r="E7" s="6">
        <f t="shared" si="0"/>
        <v>44572</v>
      </c>
    </row>
    <row r="8" spans="1:11" x14ac:dyDescent="0.25">
      <c r="A8" s="29">
        <v>2013</v>
      </c>
      <c r="B8" s="69">
        <v>42806</v>
      </c>
      <c r="C8" s="69">
        <v>72</v>
      </c>
      <c r="D8" s="69">
        <v>1728</v>
      </c>
      <c r="E8" s="6">
        <f t="shared" si="0"/>
        <v>44606</v>
      </c>
    </row>
    <row r="9" spans="1:11" x14ac:dyDescent="0.25">
      <c r="A9" s="29">
        <v>2014</v>
      </c>
      <c r="B9" s="69">
        <v>40172</v>
      </c>
      <c r="C9" s="69">
        <v>72</v>
      </c>
      <c r="D9" s="69">
        <v>1070</v>
      </c>
      <c r="E9" s="6">
        <f t="shared" si="0"/>
        <v>41314</v>
      </c>
      <c r="F9" s="71"/>
    </row>
    <row r="10" spans="1:11" x14ac:dyDescent="0.25">
      <c r="A10" s="29">
        <v>2015</v>
      </c>
      <c r="B10" s="69">
        <v>41215</v>
      </c>
      <c r="C10" s="69">
        <v>72</v>
      </c>
      <c r="D10" s="69">
        <v>1040</v>
      </c>
      <c r="E10" s="6">
        <f t="shared" si="0"/>
        <v>42327</v>
      </c>
      <c r="K10" s="365"/>
    </row>
    <row r="11" spans="1:11" x14ac:dyDescent="0.25">
      <c r="A11" s="29">
        <v>2016</v>
      </c>
      <c r="B11" s="69">
        <v>41066.9</v>
      </c>
      <c r="C11" s="69">
        <v>72</v>
      </c>
      <c r="D11" s="69">
        <v>1081.5999999999999</v>
      </c>
      <c r="E11" s="6">
        <f t="shared" si="0"/>
        <v>42220.5</v>
      </c>
    </row>
    <row r="12" spans="1:11" s="362" customFormat="1" x14ac:dyDescent="0.25">
      <c r="A12" s="29">
        <v>2017</v>
      </c>
      <c r="B12" s="69">
        <v>39273</v>
      </c>
      <c r="C12" s="69">
        <v>67.319999999999993</v>
      </c>
      <c r="D12" s="69">
        <v>1081.5999999999999</v>
      </c>
      <c r="E12" s="156">
        <f t="shared" ref="E12:E16" si="1">SUM(B12:D12)</f>
        <v>40421.919999999998</v>
      </c>
      <c r="F12" s="156"/>
      <c r="G12" s="156"/>
      <c r="H12" s="156"/>
      <c r="I12" s="156"/>
    </row>
    <row r="13" spans="1:11" s="362" customFormat="1" x14ac:dyDescent="0.25">
      <c r="A13" s="29">
        <v>2018</v>
      </c>
      <c r="B13" s="69">
        <v>38316.800000000003</v>
      </c>
      <c r="C13" s="69">
        <v>67.319999999999993</v>
      </c>
      <c r="D13" s="69">
        <v>1081.5999999999999</v>
      </c>
      <c r="E13" s="479">
        <f t="shared" si="1"/>
        <v>39465.72</v>
      </c>
      <c r="F13" s="457"/>
      <c r="G13" s="457"/>
      <c r="H13" s="457"/>
      <c r="I13" s="457"/>
    </row>
    <row r="14" spans="1:11" s="362" customFormat="1" x14ac:dyDescent="0.25">
      <c r="A14" s="29">
        <v>2019</v>
      </c>
      <c r="B14" s="69">
        <v>37231.699999999997</v>
      </c>
      <c r="C14" s="69">
        <v>67.319999999999993</v>
      </c>
      <c r="D14" s="69">
        <v>1081.5999999999999</v>
      </c>
      <c r="E14" s="479">
        <f t="shared" si="1"/>
        <v>38380.619999999995</v>
      </c>
      <c r="F14" s="457"/>
      <c r="G14" s="457"/>
      <c r="H14" s="457"/>
      <c r="I14" s="457"/>
    </row>
    <row r="15" spans="1:11" s="362" customFormat="1" x14ac:dyDescent="0.25">
      <c r="A15" s="29">
        <v>2020</v>
      </c>
      <c r="B15" s="515">
        <f>B34*'Rate Class Energy Model'!$J$71</f>
        <v>38397.067436687881</v>
      </c>
      <c r="C15" s="515">
        <f>C34*'Rate Class Energy Model'!K71</f>
        <v>67.087477886063851</v>
      </c>
      <c r="D15" s="515">
        <f>D34*'Rate Class Energy Model'!L71</f>
        <v>659.99999999999829</v>
      </c>
      <c r="E15" s="479">
        <f t="shared" si="1"/>
        <v>39124.154914573948</v>
      </c>
      <c r="F15" s="457"/>
      <c r="G15" s="457"/>
      <c r="H15" s="457"/>
      <c r="I15" s="457"/>
    </row>
    <row r="16" spans="1:11" s="362" customFormat="1" x14ac:dyDescent="0.25">
      <c r="A16" s="29">
        <v>2021</v>
      </c>
      <c r="B16" s="30">
        <f>B34*'Rate Class Energy Model'!$J$73</f>
        <v>38558.693646466199</v>
      </c>
      <c r="C16" s="700">
        <f>C34*'Rate Class Energy Model'!K73</f>
        <v>67.382247233170062</v>
      </c>
      <c r="D16" s="30">
        <f>D34*'Rate Class Energy Model'!L73</f>
        <v>659.99999999999829</v>
      </c>
      <c r="E16" s="479">
        <f t="shared" si="1"/>
        <v>39286.075893699366</v>
      </c>
      <c r="F16" s="457"/>
      <c r="G16" s="457"/>
      <c r="H16" s="457"/>
      <c r="I16" s="457"/>
    </row>
    <row r="17" spans="1:9" s="362" customFormat="1" x14ac:dyDescent="0.25">
      <c r="A17" s="460"/>
      <c r="B17" s="461"/>
      <c r="C17" s="461"/>
      <c r="D17" s="461"/>
      <c r="E17" s="457"/>
      <c r="F17" s="457"/>
      <c r="G17" s="457"/>
      <c r="H17" s="457"/>
      <c r="I17" s="457"/>
    </row>
    <row r="18" spans="1:9" s="362" customFormat="1" x14ac:dyDescent="0.25">
      <c r="A18" s="460"/>
      <c r="B18" s="461"/>
      <c r="C18" s="461"/>
      <c r="D18" s="461"/>
      <c r="E18" s="457"/>
      <c r="F18" s="457"/>
      <c r="G18" s="457"/>
      <c r="H18" s="457"/>
      <c r="I18" s="457"/>
    </row>
    <row r="19" spans="1:9" ht="13" x14ac:dyDescent="0.3">
      <c r="A19" s="19"/>
    </row>
    <row r="20" spans="1:9" ht="13" x14ac:dyDescent="0.3">
      <c r="A20" s="18" t="s">
        <v>45</v>
      </c>
      <c r="B20" s="5"/>
      <c r="C20" s="5"/>
      <c r="D20" s="5"/>
      <c r="E20" s="57">
        <f>(D8-D10)/D8</f>
        <v>0.39814814814814814</v>
      </c>
    </row>
    <row r="21" spans="1:9" x14ac:dyDescent="0.25">
      <c r="A21" s="4">
        <v>2010</v>
      </c>
      <c r="B21" s="27">
        <f>B5/'Rate Class Energy Model'!J12</f>
        <v>2.5189426221746318E-3</v>
      </c>
      <c r="C21" s="27">
        <f>C5/'Rate Class Energy Model'!K12</f>
        <v>2.8685258964143427E-3</v>
      </c>
      <c r="D21" s="27">
        <f>D5/'Rate Class Energy Model'!L12</f>
        <v>2.8059008354374883E-3</v>
      </c>
    </row>
    <row r="22" spans="1:9" x14ac:dyDescent="0.25">
      <c r="A22" s="4">
        <v>2011</v>
      </c>
      <c r="B22" s="27">
        <f>B6/'Rate Class Energy Model'!J13</f>
        <v>2.3771197242665257E-3</v>
      </c>
      <c r="C22" s="27">
        <f>C6/'Rate Class Energy Model'!K13</f>
        <v>2.7823936314101327E-3</v>
      </c>
      <c r="D22" s="27">
        <f>D6/'Rate Class Energy Model'!L13</f>
        <v>2.8162708418099204E-3</v>
      </c>
      <c r="F22" s="27"/>
    </row>
    <row r="23" spans="1:9" x14ac:dyDescent="0.25">
      <c r="A23" s="4">
        <v>2012</v>
      </c>
      <c r="B23" s="27">
        <f>B7/'Rate Class Energy Model'!J14</f>
        <v>2.5098678024016029E-3</v>
      </c>
      <c r="C23" s="27">
        <f>C7/'Rate Class Energy Model'!K14</f>
        <v>2.7988338192419825E-3</v>
      </c>
      <c r="D23" s="27">
        <f>D7/'Rate Class Energy Model'!L14</f>
        <v>2.7951350415792511E-3</v>
      </c>
      <c r="F23" s="27"/>
    </row>
    <row r="24" spans="1:9" x14ac:dyDescent="0.25">
      <c r="A24" s="4">
        <v>2013</v>
      </c>
      <c r="B24" s="27">
        <f>B8/'Rate Class Energy Model'!J15</f>
        <v>2.540407439667994E-3</v>
      </c>
      <c r="C24" s="27">
        <f>C8/'Rate Class Energy Model'!K15</f>
        <v>2.7938380350005822E-3</v>
      </c>
      <c r="D24" s="27">
        <f>D8/'Rate Class Energy Model'!L15</f>
        <v>2.8002489110143126E-3</v>
      </c>
      <c r="F24" s="27"/>
    </row>
    <row r="25" spans="1:9" x14ac:dyDescent="0.25">
      <c r="A25" s="4">
        <v>2014</v>
      </c>
      <c r="B25" s="27">
        <f>B9/'Rate Class Energy Model'!J16</f>
        <v>2.3503521286419356E-3</v>
      </c>
      <c r="C25" s="27">
        <f>C9/'Rate Class Energy Model'!K16</f>
        <v>2.7938380350005822E-3</v>
      </c>
      <c r="D25" s="27">
        <f>D9/'Rate Class Energy Model'!L16</f>
        <v>2.9028284943815349E-3</v>
      </c>
      <c r="F25" s="27"/>
    </row>
    <row r="26" spans="1:9" s="362" customFormat="1" x14ac:dyDescent="0.25">
      <c r="A26" s="4">
        <v>2015</v>
      </c>
      <c r="B26" s="27">
        <f>B10/'Rate Class Energy Model'!J17</f>
        <v>2.4724563607268078E-3</v>
      </c>
      <c r="C26" s="27">
        <f>C10/'Rate Class Energy Model'!K17</f>
        <v>2.9187564151833714E-3</v>
      </c>
      <c r="D26" s="27">
        <f>D10/'Rate Class Energy Model'!L17</f>
        <v>2.8051116578741249E-3</v>
      </c>
      <c r="E26" s="156"/>
      <c r="F26" s="27"/>
      <c r="G26" s="156"/>
      <c r="H26" s="156"/>
      <c r="I26" s="156"/>
    </row>
    <row r="27" spans="1:9" s="362" customFormat="1" x14ac:dyDescent="0.25">
      <c r="A27" s="4">
        <v>2016</v>
      </c>
      <c r="B27" s="27">
        <f>B11/'Rate Class Energy Model'!J18</f>
        <v>2.507434121883445E-3</v>
      </c>
      <c r="C27" s="27">
        <f>C11/'Rate Class Energy Model'!K18</f>
        <v>2.9308323563892154E-3</v>
      </c>
      <c r="D27" s="27">
        <f>D11/'Rate Class Energy Model'!L18</f>
        <v>3.1599416626154593E-3</v>
      </c>
      <c r="E27" s="156"/>
      <c r="F27" s="27"/>
      <c r="G27" s="156"/>
      <c r="H27" s="156"/>
      <c r="I27" s="156"/>
    </row>
    <row r="28" spans="1:9" s="362" customFormat="1" x14ac:dyDescent="0.25">
      <c r="A28" s="4">
        <v>2017</v>
      </c>
      <c r="B28" s="27">
        <f>B12/'Rate Class Energy Model'!J19</f>
        <v>2.518967002784916E-3</v>
      </c>
      <c r="C28" s="27">
        <f>C12/'Rate Class Energy Model'!K19</f>
        <v>2.7778007014648233E-3</v>
      </c>
      <c r="D28" s="27">
        <f>D12/'Rate Class Energy Model'!L19</f>
        <v>3.1715052451817514E-3</v>
      </c>
      <c r="E28" s="457"/>
      <c r="F28" s="27"/>
      <c r="G28" s="457"/>
      <c r="H28" s="457"/>
      <c r="I28" s="457"/>
    </row>
    <row r="29" spans="1:9" s="362" customFormat="1" x14ac:dyDescent="0.25">
      <c r="A29" s="4">
        <v>2018</v>
      </c>
      <c r="B29" s="27">
        <f>B13/'Rate Class Energy Model'!J20</f>
        <v>2.4950570221831357E-3</v>
      </c>
      <c r="C29" s="27">
        <f>C13/'Rate Class Energy Model'!K20</f>
        <v>2.7777777777777779E-3</v>
      </c>
      <c r="D29" s="27">
        <f>D13/'Rate Class Energy Model'!L20</f>
        <v>3.1715052451817514E-3</v>
      </c>
      <c r="E29" s="457"/>
      <c r="F29" s="27"/>
      <c r="G29" s="457"/>
      <c r="H29" s="457"/>
      <c r="I29" s="457"/>
    </row>
    <row r="30" spans="1:9" s="362" customFormat="1" x14ac:dyDescent="0.25">
      <c r="A30" s="4">
        <v>2019</v>
      </c>
      <c r="B30" s="27">
        <f>B14/'Rate Class Energy Model'!J21</f>
        <v>2.4904911596376807E-3</v>
      </c>
      <c r="C30" s="27">
        <f>C14/'Rate Class Energy Model'!K21</f>
        <v>2.7777777777777779E-3</v>
      </c>
      <c r="D30" s="27">
        <f>D14/'Rate Class Energy Model'!L21</f>
        <v>3.1715052451817514E-3</v>
      </c>
      <c r="E30" s="457"/>
      <c r="F30" s="27"/>
      <c r="G30" s="457"/>
      <c r="H30" s="457"/>
      <c r="I30" s="457"/>
    </row>
    <row r="32" spans="1:9" x14ac:dyDescent="0.25">
      <c r="A32" t="s">
        <v>15</v>
      </c>
      <c r="B32" s="27">
        <f>AVERAGE(B21:B30)</f>
        <v>2.4781095384368672E-3</v>
      </c>
      <c r="C32" s="27">
        <f>AVERAGE(C21:C30)</f>
        <v>2.8220374445660588E-3</v>
      </c>
      <c r="D32" s="27">
        <f>AVERAGE(D21:D30)</f>
        <v>2.9599953180257346E-3</v>
      </c>
    </row>
    <row r="34" spans="1:4" x14ac:dyDescent="0.25">
      <c r="A34" s="102" t="s">
        <v>44</v>
      </c>
      <c r="B34" s="27">
        <f>B30</f>
        <v>2.4904911596376807E-3</v>
      </c>
      <c r="C34" s="27">
        <f t="shared" ref="C34" si="2">C30</f>
        <v>2.7777777777777779E-3</v>
      </c>
      <c r="D34" s="27">
        <v>2.9343962368591214E-3</v>
      </c>
    </row>
    <row r="39" spans="1:4" x14ac:dyDescent="0.25">
      <c r="B39" s="25"/>
      <c r="C39" s="25"/>
      <c r="D39" s="25"/>
    </row>
    <row r="40" spans="1:4" x14ac:dyDescent="0.25">
      <c r="B40" s="25"/>
      <c r="C40" s="25"/>
      <c r="D40" s="25"/>
    </row>
    <row r="59" spans="2:4" x14ac:dyDescent="0.25">
      <c r="B59" s="15"/>
      <c r="C59" s="15"/>
      <c r="D59" s="15"/>
    </row>
    <row r="60" spans="2:4" x14ac:dyDescent="0.25">
      <c r="B60" s="15"/>
      <c r="C60" s="15"/>
      <c r="D60" s="15"/>
    </row>
  </sheetData>
  <customSheetViews>
    <customSheetView guid="{7481AE0E-2D6B-416C-8D95-7DAA8CA7C9F5}" showPageBreaks="1" fitToPage="1" printArea="1">
      <selection activeCell="J13" sqref="J13"/>
      <pageMargins left="0.38" right="0.75" top="0.73" bottom="0.74" header="0.5" footer="0.5"/>
      <pageSetup orientation="landscape" r:id="rId1"/>
      <headerFooter alignWithMargins="0">
        <oddFooter>&amp;L&amp;Z&amp;F</oddFooter>
      </headerFooter>
    </customSheetView>
    <customSheetView guid="{4115F855-0BCB-4789-890B-F67D0AF20543}" fitToPage="1" topLeftCell="A10">
      <selection activeCell="G13" sqref="G13:G14"/>
      <pageMargins left="0.38" right="0.75" top="0.73" bottom="0.74" header="0.5" footer="0.5"/>
      <pageSetup orientation="landscape" r:id="rId2"/>
      <headerFooter alignWithMargins="0">
        <oddFooter>&amp;L&amp;Z&amp;F</oddFooter>
      </headerFooter>
    </customSheetView>
    <customSheetView guid="{DE47F5DD-3736-469D-8704-852547698004}" showPageBreaks="1" fitToPage="1" printArea="1">
      <selection activeCell="E17" sqref="E17"/>
      <pageMargins left="0.38" right="0.75" top="0.73" bottom="0.74" header="0.5" footer="0.5"/>
      <pageSetup orientation="landscape" r:id="rId3"/>
      <headerFooter alignWithMargins="0">
        <oddFooter>&amp;L&amp;Z&amp;F</oddFooter>
      </headerFooter>
    </customSheetView>
  </customSheetViews>
  <phoneticPr fontId="0" type="noConversion"/>
  <pageMargins left="0.38" right="0.75" top="0.73" bottom="0.74" header="0.5" footer="0.5"/>
  <pageSetup orientation="landscape" r:id="rId4"/>
  <headerFooter alignWithMargins="0">
    <oddFooter>&amp;L&amp;Z&amp;F</oddFooter>
  </headerFooter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D44"/>
  <sheetViews>
    <sheetView topLeftCell="N1" zoomScaleNormal="100" workbookViewId="0">
      <selection activeCell="AC8" sqref="AC8"/>
    </sheetView>
  </sheetViews>
  <sheetFormatPr defaultRowHeight="12.5" x14ac:dyDescent="0.25"/>
  <cols>
    <col min="1" max="4" width="9.08984375" style="109"/>
    <col min="5" max="5" width="9.36328125" style="117" customWidth="1"/>
    <col min="6" max="6" width="9.54296875" style="117" customWidth="1"/>
    <col min="7" max="20" width="9.08984375" style="109"/>
    <col min="21" max="27" width="11.90625" style="109" customWidth="1"/>
    <col min="28" max="28" width="9.90625" style="109" bestFit="1" customWidth="1"/>
    <col min="29" max="29" width="11" style="109" bestFit="1" customWidth="1"/>
    <col min="30" max="265" width="9.08984375" style="109"/>
    <col min="266" max="266" width="9.36328125" style="109" customWidth="1"/>
    <col min="267" max="267" width="9.54296875" style="109" customWidth="1"/>
    <col min="268" max="281" width="9.08984375" style="109"/>
    <col min="282" max="282" width="9.90625" style="109" bestFit="1" customWidth="1"/>
    <col min="283" max="283" width="11" style="109" bestFit="1" customWidth="1"/>
    <col min="284" max="521" width="9.08984375" style="109"/>
    <col min="522" max="522" width="9.36328125" style="109" customWidth="1"/>
    <col min="523" max="523" width="9.54296875" style="109" customWidth="1"/>
    <col min="524" max="537" width="9.08984375" style="109"/>
    <col min="538" max="538" width="9.90625" style="109" bestFit="1" customWidth="1"/>
    <col min="539" max="539" width="11" style="109" bestFit="1" customWidth="1"/>
    <col min="540" max="777" width="9.08984375" style="109"/>
    <col min="778" max="778" width="9.36328125" style="109" customWidth="1"/>
    <col min="779" max="779" width="9.54296875" style="109" customWidth="1"/>
    <col min="780" max="793" width="9.08984375" style="109"/>
    <col min="794" max="794" width="9.90625" style="109" bestFit="1" customWidth="1"/>
    <col min="795" max="795" width="11" style="109" bestFit="1" customWidth="1"/>
    <col min="796" max="1033" width="9.08984375" style="109"/>
    <col min="1034" max="1034" width="9.36328125" style="109" customWidth="1"/>
    <col min="1035" max="1035" width="9.54296875" style="109" customWidth="1"/>
    <col min="1036" max="1049" width="9.08984375" style="109"/>
    <col min="1050" max="1050" width="9.90625" style="109" bestFit="1" customWidth="1"/>
    <col min="1051" max="1051" width="11" style="109" bestFit="1" customWidth="1"/>
    <col min="1052" max="1289" width="9.08984375" style="109"/>
    <col min="1290" max="1290" width="9.36328125" style="109" customWidth="1"/>
    <col min="1291" max="1291" width="9.54296875" style="109" customWidth="1"/>
    <col min="1292" max="1305" width="9.08984375" style="109"/>
    <col min="1306" max="1306" width="9.90625" style="109" bestFit="1" customWidth="1"/>
    <col min="1307" max="1307" width="11" style="109" bestFit="1" customWidth="1"/>
    <col min="1308" max="1545" width="9.08984375" style="109"/>
    <col min="1546" max="1546" width="9.36328125" style="109" customWidth="1"/>
    <col min="1547" max="1547" width="9.54296875" style="109" customWidth="1"/>
    <col min="1548" max="1561" width="9.08984375" style="109"/>
    <col min="1562" max="1562" width="9.90625" style="109" bestFit="1" customWidth="1"/>
    <col min="1563" max="1563" width="11" style="109" bestFit="1" customWidth="1"/>
    <col min="1564" max="1801" width="9.08984375" style="109"/>
    <col min="1802" max="1802" width="9.36328125" style="109" customWidth="1"/>
    <col min="1803" max="1803" width="9.54296875" style="109" customWidth="1"/>
    <col min="1804" max="1817" width="9.08984375" style="109"/>
    <col min="1818" max="1818" width="9.90625" style="109" bestFit="1" customWidth="1"/>
    <col min="1819" max="1819" width="11" style="109" bestFit="1" customWidth="1"/>
    <col min="1820" max="2057" width="9.08984375" style="109"/>
    <col min="2058" max="2058" width="9.36328125" style="109" customWidth="1"/>
    <col min="2059" max="2059" width="9.54296875" style="109" customWidth="1"/>
    <col min="2060" max="2073" width="9.08984375" style="109"/>
    <col min="2074" max="2074" width="9.90625" style="109" bestFit="1" customWidth="1"/>
    <col min="2075" max="2075" width="11" style="109" bestFit="1" customWidth="1"/>
    <col min="2076" max="2313" width="9.08984375" style="109"/>
    <col min="2314" max="2314" width="9.36328125" style="109" customWidth="1"/>
    <col min="2315" max="2315" width="9.54296875" style="109" customWidth="1"/>
    <col min="2316" max="2329" width="9.08984375" style="109"/>
    <col min="2330" max="2330" width="9.90625" style="109" bestFit="1" customWidth="1"/>
    <col min="2331" max="2331" width="11" style="109" bestFit="1" customWidth="1"/>
    <col min="2332" max="2569" width="9.08984375" style="109"/>
    <col min="2570" max="2570" width="9.36328125" style="109" customWidth="1"/>
    <col min="2571" max="2571" width="9.54296875" style="109" customWidth="1"/>
    <col min="2572" max="2585" width="9.08984375" style="109"/>
    <col min="2586" max="2586" width="9.90625" style="109" bestFit="1" customWidth="1"/>
    <col min="2587" max="2587" width="11" style="109" bestFit="1" customWidth="1"/>
    <col min="2588" max="2825" width="9.08984375" style="109"/>
    <col min="2826" max="2826" width="9.36328125" style="109" customWidth="1"/>
    <col min="2827" max="2827" width="9.54296875" style="109" customWidth="1"/>
    <col min="2828" max="2841" width="9.08984375" style="109"/>
    <col min="2842" max="2842" width="9.90625" style="109" bestFit="1" customWidth="1"/>
    <col min="2843" max="2843" width="11" style="109" bestFit="1" customWidth="1"/>
    <col min="2844" max="3081" width="9.08984375" style="109"/>
    <col min="3082" max="3082" width="9.36328125" style="109" customWidth="1"/>
    <col min="3083" max="3083" width="9.54296875" style="109" customWidth="1"/>
    <col min="3084" max="3097" width="9.08984375" style="109"/>
    <col min="3098" max="3098" width="9.90625" style="109" bestFit="1" customWidth="1"/>
    <col min="3099" max="3099" width="11" style="109" bestFit="1" customWidth="1"/>
    <col min="3100" max="3337" width="9.08984375" style="109"/>
    <col min="3338" max="3338" width="9.36328125" style="109" customWidth="1"/>
    <col min="3339" max="3339" width="9.54296875" style="109" customWidth="1"/>
    <col min="3340" max="3353" width="9.08984375" style="109"/>
    <col min="3354" max="3354" width="9.90625" style="109" bestFit="1" customWidth="1"/>
    <col min="3355" max="3355" width="11" style="109" bestFit="1" customWidth="1"/>
    <col min="3356" max="3593" width="9.08984375" style="109"/>
    <col min="3594" max="3594" width="9.36328125" style="109" customWidth="1"/>
    <col min="3595" max="3595" width="9.54296875" style="109" customWidth="1"/>
    <col min="3596" max="3609" width="9.08984375" style="109"/>
    <col min="3610" max="3610" width="9.90625" style="109" bestFit="1" customWidth="1"/>
    <col min="3611" max="3611" width="11" style="109" bestFit="1" customWidth="1"/>
    <col min="3612" max="3849" width="9.08984375" style="109"/>
    <col min="3850" max="3850" width="9.36328125" style="109" customWidth="1"/>
    <col min="3851" max="3851" width="9.54296875" style="109" customWidth="1"/>
    <col min="3852" max="3865" width="9.08984375" style="109"/>
    <col min="3866" max="3866" width="9.90625" style="109" bestFit="1" customWidth="1"/>
    <col min="3867" max="3867" width="11" style="109" bestFit="1" customWidth="1"/>
    <col min="3868" max="4105" width="9.08984375" style="109"/>
    <col min="4106" max="4106" width="9.36328125" style="109" customWidth="1"/>
    <col min="4107" max="4107" width="9.54296875" style="109" customWidth="1"/>
    <col min="4108" max="4121" width="9.08984375" style="109"/>
    <col min="4122" max="4122" width="9.90625" style="109" bestFit="1" customWidth="1"/>
    <col min="4123" max="4123" width="11" style="109" bestFit="1" customWidth="1"/>
    <col min="4124" max="4361" width="9.08984375" style="109"/>
    <col min="4362" max="4362" width="9.36328125" style="109" customWidth="1"/>
    <col min="4363" max="4363" width="9.54296875" style="109" customWidth="1"/>
    <col min="4364" max="4377" width="9.08984375" style="109"/>
    <col min="4378" max="4378" width="9.90625" style="109" bestFit="1" customWidth="1"/>
    <col min="4379" max="4379" width="11" style="109" bestFit="1" customWidth="1"/>
    <col min="4380" max="4617" width="9.08984375" style="109"/>
    <col min="4618" max="4618" width="9.36328125" style="109" customWidth="1"/>
    <col min="4619" max="4619" width="9.54296875" style="109" customWidth="1"/>
    <col min="4620" max="4633" width="9.08984375" style="109"/>
    <col min="4634" max="4634" width="9.90625" style="109" bestFit="1" customWidth="1"/>
    <col min="4635" max="4635" width="11" style="109" bestFit="1" customWidth="1"/>
    <col min="4636" max="4873" width="9.08984375" style="109"/>
    <col min="4874" max="4874" width="9.36328125" style="109" customWidth="1"/>
    <col min="4875" max="4875" width="9.54296875" style="109" customWidth="1"/>
    <col min="4876" max="4889" width="9.08984375" style="109"/>
    <col min="4890" max="4890" width="9.90625" style="109" bestFit="1" customWidth="1"/>
    <col min="4891" max="4891" width="11" style="109" bestFit="1" customWidth="1"/>
    <col min="4892" max="5129" width="9.08984375" style="109"/>
    <col min="5130" max="5130" width="9.36328125" style="109" customWidth="1"/>
    <col min="5131" max="5131" width="9.54296875" style="109" customWidth="1"/>
    <col min="5132" max="5145" width="9.08984375" style="109"/>
    <col min="5146" max="5146" width="9.90625" style="109" bestFit="1" customWidth="1"/>
    <col min="5147" max="5147" width="11" style="109" bestFit="1" customWidth="1"/>
    <col min="5148" max="5385" width="9.08984375" style="109"/>
    <col min="5386" max="5386" width="9.36328125" style="109" customWidth="1"/>
    <col min="5387" max="5387" width="9.54296875" style="109" customWidth="1"/>
    <col min="5388" max="5401" width="9.08984375" style="109"/>
    <col min="5402" max="5402" width="9.90625" style="109" bestFit="1" customWidth="1"/>
    <col min="5403" max="5403" width="11" style="109" bestFit="1" customWidth="1"/>
    <col min="5404" max="5641" width="9.08984375" style="109"/>
    <col min="5642" max="5642" width="9.36328125" style="109" customWidth="1"/>
    <col min="5643" max="5643" width="9.54296875" style="109" customWidth="1"/>
    <col min="5644" max="5657" width="9.08984375" style="109"/>
    <col min="5658" max="5658" width="9.90625" style="109" bestFit="1" customWidth="1"/>
    <col min="5659" max="5659" width="11" style="109" bestFit="1" customWidth="1"/>
    <col min="5660" max="5897" width="9.08984375" style="109"/>
    <col min="5898" max="5898" width="9.36328125" style="109" customWidth="1"/>
    <col min="5899" max="5899" width="9.54296875" style="109" customWidth="1"/>
    <col min="5900" max="5913" width="9.08984375" style="109"/>
    <col min="5914" max="5914" width="9.90625" style="109" bestFit="1" customWidth="1"/>
    <col min="5915" max="5915" width="11" style="109" bestFit="1" customWidth="1"/>
    <col min="5916" max="6153" width="9.08984375" style="109"/>
    <col min="6154" max="6154" width="9.36328125" style="109" customWidth="1"/>
    <col min="6155" max="6155" width="9.54296875" style="109" customWidth="1"/>
    <col min="6156" max="6169" width="9.08984375" style="109"/>
    <col min="6170" max="6170" width="9.90625" style="109" bestFit="1" customWidth="1"/>
    <col min="6171" max="6171" width="11" style="109" bestFit="1" customWidth="1"/>
    <col min="6172" max="6409" width="9.08984375" style="109"/>
    <col min="6410" max="6410" width="9.36328125" style="109" customWidth="1"/>
    <col min="6411" max="6411" width="9.54296875" style="109" customWidth="1"/>
    <col min="6412" max="6425" width="9.08984375" style="109"/>
    <col min="6426" max="6426" width="9.90625" style="109" bestFit="1" customWidth="1"/>
    <col min="6427" max="6427" width="11" style="109" bestFit="1" customWidth="1"/>
    <col min="6428" max="6665" width="9.08984375" style="109"/>
    <col min="6666" max="6666" width="9.36328125" style="109" customWidth="1"/>
    <col min="6667" max="6667" width="9.54296875" style="109" customWidth="1"/>
    <col min="6668" max="6681" width="9.08984375" style="109"/>
    <col min="6682" max="6682" width="9.90625" style="109" bestFit="1" customWidth="1"/>
    <col min="6683" max="6683" width="11" style="109" bestFit="1" customWidth="1"/>
    <col min="6684" max="6921" width="9.08984375" style="109"/>
    <col min="6922" max="6922" width="9.36328125" style="109" customWidth="1"/>
    <col min="6923" max="6923" width="9.54296875" style="109" customWidth="1"/>
    <col min="6924" max="6937" width="9.08984375" style="109"/>
    <col min="6938" max="6938" width="9.90625" style="109" bestFit="1" customWidth="1"/>
    <col min="6939" max="6939" width="11" style="109" bestFit="1" customWidth="1"/>
    <col min="6940" max="7177" width="9.08984375" style="109"/>
    <col min="7178" max="7178" width="9.36328125" style="109" customWidth="1"/>
    <col min="7179" max="7179" width="9.54296875" style="109" customWidth="1"/>
    <col min="7180" max="7193" width="9.08984375" style="109"/>
    <col min="7194" max="7194" width="9.90625" style="109" bestFit="1" customWidth="1"/>
    <col min="7195" max="7195" width="11" style="109" bestFit="1" customWidth="1"/>
    <col min="7196" max="7433" width="9.08984375" style="109"/>
    <col min="7434" max="7434" width="9.36328125" style="109" customWidth="1"/>
    <col min="7435" max="7435" width="9.54296875" style="109" customWidth="1"/>
    <col min="7436" max="7449" width="9.08984375" style="109"/>
    <col min="7450" max="7450" width="9.90625" style="109" bestFit="1" customWidth="1"/>
    <col min="7451" max="7451" width="11" style="109" bestFit="1" customWidth="1"/>
    <col min="7452" max="7689" width="9.08984375" style="109"/>
    <col min="7690" max="7690" width="9.36328125" style="109" customWidth="1"/>
    <col min="7691" max="7691" width="9.54296875" style="109" customWidth="1"/>
    <col min="7692" max="7705" width="9.08984375" style="109"/>
    <col min="7706" max="7706" width="9.90625" style="109" bestFit="1" customWidth="1"/>
    <col min="7707" max="7707" width="11" style="109" bestFit="1" customWidth="1"/>
    <col min="7708" max="7945" width="9.08984375" style="109"/>
    <col min="7946" max="7946" width="9.36328125" style="109" customWidth="1"/>
    <col min="7947" max="7947" width="9.54296875" style="109" customWidth="1"/>
    <col min="7948" max="7961" width="9.08984375" style="109"/>
    <col min="7962" max="7962" width="9.90625" style="109" bestFit="1" customWidth="1"/>
    <col min="7963" max="7963" width="11" style="109" bestFit="1" customWidth="1"/>
    <col min="7964" max="8201" width="9.08984375" style="109"/>
    <col min="8202" max="8202" width="9.36328125" style="109" customWidth="1"/>
    <col min="8203" max="8203" width="9.54296875" style="109" customWidth="1"/>
    <col min="8204" max="8217" width="9.08984375" style="109"/>
    <col min="8218" max="8218" width="9.90625" style="109" bestFit="1" customWidth="1"/>
    <col min="8219" max="8219" width="11" style="109" bestFit="1" customWidth="1"/>
    <col min="8220" max="8457" width="9.08984375" style="109"/>
    <col min="8458" max="8458" width="9.36328125" style="109" customWidth="1"/>
    <col min="8459" max="8459" width="9.54296875" style="109" customWidth="1"/>
    <col min="8460" max="8473" width="9.08984375" style="109"/>
    <col min="8474" max="8474" width="9.90625" style="109" bestFit="1" customWidth="1"/>
    <col min="8475" max="8475" width="11" style="109" bestFit="1" customWidth="1"/>
    <col min="8476" max="8713" width="9.08984375" style="109"/>
    <col min="8714" max="8714" width="9.36328125" style="109" customWidth="1"/>
    <col min="8715" max="8715" width="9.54296875" style="109" customWidth="1"/>
    <col min="8716" max="8729" width="9.08984375" style="109"/>
    <col min="8730" max="8730" width="9.90625" style="109" bestFit="1" customWidth="1"/>
    <col min="8731" max="8731" width="11" style="109" bestFit="1" customWidth="1"/>
    <col min="8732" max="8969" width="9.08984375" style="109"/>
    <col min="8970" max="8970" width="9.36328125" style="109" customWidth="1"/>
    <col min="8971" max="8971" width="9.54296875" style="109" customWidth="1"/>
    <col min="8972" max="8985" width="9.08984375" style="109"/>
    <col min="8986" max="8986" width="9.90625" style="109" bestFit="1" customWidth="1"/>
    <col min="8987" max="8987" width="11" style="109" bestFit="1" customWidth="1"/>
    <col min="8988" max="9225" width="9.08984375" style="109"/>
    <col min="9226" max="9226" width="9.36328125" style="109" customWidth="1"/>
    <col min="9227" max="9227" width="9.54296875" style="109" customWidth="1"/>
    <col min="9228" max="9241" width="9.08984375" style="109"/>
    <col min="9242" max="9242" width="9.90625" style="109" bestFit="1" customWidth="1"/>
    <col min="9243" max="9243" width="11" style="109" bestFit="1" customWidth="1"/>
    <col min="9244" max="9481" width="9.08984375" style="109"/>
    <col min="9482" max="9482" width="9.36328125" style="109" customWidth="1"/>
    <col min="9483" max="9483" width="9.54296875" style="109" customWidth="1"/>
    <col min="9484" max="9497" width="9.08984375" style="109"/>
    <col min="9498" max="9498" width="9.90625" style="109" bestFit="1" customWidth="1"/>
    <col min="9499" max="9499" width="11" style="109" bestFit="1" customWidth="1"/>
    <col min="9500" max="9737" width="9.08984375" style="109"/>
    <col min="9738" max="9738" width="9.36328125" style="109" customWidth="1"/>
    <col min="9739" max="9739" width="9.54296875" style="109" customWidth="1"/>
    <col min="9740" max="9753" width="9.08984375" style="109"/>
    <col min="9754" max="9754" width="9.90625" style="109" bestFit="1" customWidth="1"/>
    <col min="9755" max="9755" width="11" style="109" bestFit="1" customWidth="1"/>
    <col min="9756" max="9993" width="9.08984375" style="109"/>
    <col min="9994" max="9994" width="9.36328125" style="109" customWidth="1"/>
    <col min="9995" max="9995" width="9.54296875" style="109" customWidth="1"/>
    <col min="9996" max="10009" width="9.08984375" style="109"/>
    <col min="10010" max="10010" width="9.90625" style="109" bestFit="1" customWidth="1"/>
    <col min="10011" max="10011" width="11" style="109" bestFit="1" customWidth="1"/>
    <col min="10012" max="10249" width="9.08984375" style="109"/>
    <col min="10250" max="10250" width="9.36328125" style="109" customWidth="1"/>
    <col min="10251" max="10251" width="9.54296875" style="109" customWidth="1"/>
    <col min="10252" max="10265" width="9.08984375" style="109"/>
    <col min="10266" max="10266" width="9.90625" style="109" bestFit="1" customWidth="1"/>
    <col min="10267" max="10267" width="11" style="109" bestFit="1" customWidth="1"/>
    <col min="10268" max="10505" width="9.08984375" style="109"/>
    <col min="10506" max="10506" width="9.36328125" style="109" customWidth="1"/>
    <col min="10507" max="10507" width="9.54296875" style="109" customWidth="1"/>
    <col min="10508" max="10521" width="9.08984375" style="109"/>
    <col min="10522" max="10522" width="9.90625" style="109" bestFit="1" customWidth="1"/>
    <col min="10523" max="10523" width="11" style="109" bestFit="1" customWidth="1"/>
    <col min="10524" max="10761" width="9.08984375" style="109"/>
    <col min="10762" max="10762" width="9.36328125" style="109" customWidth="1"/>
    <col min="10763" max="10763" width="9.54296875" style="109" customWidth="1"/>
    <col min="10764" max="10777" width="9.08984375" style="109"/>
    <col min="10778" max="10778" width="9.90625" style="109" bestFit="1" customWidth="1"/>
    <col min="10779" max="10779" width="11" style="109" bestFit="1" customWidth="1"/>
    <col min="10780" max="11017" width="9.08984375" style="109"/>
    <col min="11018" max="11018" width="9.36328125" style="109" customWidth="1"/>
    <col min="11019" max="11019" width="9.54296875" style="109" customWidth="1"/>
    <col min="11020" max="11033" width="9.08984375" style="109"/>
    <col min="11034" max="11034" width="9.90625" style="109" bestFit="1" customWidth="1"/>
    <col min="11035" max="11035" width="11" style="109" bestFit="1" customWidth="1"/>
    <col min="11036" max="11273" width="9.08984375" style="109"/>
    <col min="11274" max="11274" width="9.36328125" style="109" customWidth="1"/>
    <col min="11275" max="11275" width="9.54296875" style="109" customWidth="1"/>
    <col min="11276" max="11289" width="9.08984375" style="109"/>
    <col min="11290" max="11290" width="9.90625" style="109" bestFit="1" customWidth="1"/>
    <col min="11291" max="11291" width="11" style="109" bestFit="1" customWidth="1"/>
    <col min="11292" max="11529" width="9.08984375" style="109"/>
    <col min="11530" max="11530" width="9.36328125" style="109" customWidth="1"/>
    <col min="11531" max="11531" width="9.54296875" style="109" customWidth="1"/>
    <col min="11532" max="11545" width="9.08984375" style="109"/>
    <col min="11546" max="11546" width="9.90625" style="109" bestFit="1" customWidth="1"/>
    <col min="11547" max="11547" width="11" style="109" bestFit="1" customWidth="1"/>
    <col min="11548" max="11785" width="9.08984375" style="109"/>
    <col min="11786" max="11786" width="9.36328125" style="109" customWidth="1"/>
    <col min="11787" max="11787" width="9.54296875" style="109" customWidth="1"/>
    <col min="11788" max="11801" width="9.08984375" style="109"/>
    <col min="11802" max="11802" width="9.90625" style="109" bestFit="1" customWidth="1"/>
    <col min="11803" max="11803" width="11" style="109" bestFit="1" customWidth="1"/>
    <col min="11804" max="12041" width="9.08984375" style="109"/>
    <col min="12042" max="12042" width="9.36328125" style="109" customWidth="1"/>
    <col min="12043" max="12043" width="9.54296875" style="109" customWidth="1"/>
    <col min="12044" max="12057" width="9.08984375" style="109"/>
    <col min="12058" max="12058" width="9.90625" style="109" bestFit="1" customWidth="1"/>
    <col min="12059" max="12059" width="11" style="109" bestFit="1" customWidth="1"/>
    <col min="12060" max="12297" width="9.08984375" style="109"/>
    <col min="12298" max="12298" width="9.36328125" style="109" customWidth="1"/>
    <col min="12299" max="12299" width="9.54296875" style="109" customWidth="1"/>
    <col min="12300" max="12313" width="9.08984375" style="109"/>
    <col min="12314" max="12314" width="9.90625" style="109" bestFit="1" customWidth="1"/>
    <col min="12315" max="12315" width="11" style="109" bestFit="1" customWidth="1"/>
    <col min="12316" max="12553" width="9.08984375" style="109"/>
    <col min="12554" max="12554" width="9.36328125" style="109" customWidth="1"/>
    <col min="12555" max="12555" width="9.54296875" style="109" customWidth="1"/>
    <col min="12556" max="12569" width="9.08984375" style="109"/>
    <col min="12570" max="12570" width="9.90625" style="109" bestFit="1" customWidth="1"/>
    <col min="12571" max="12571" width="11" style="109" bestFit="1" customWidth="1"/>
    <col min="12572" max="12809" width="9.08984375" style="109"/>
    <col min="12810" max="12810" width="9.36328125" style="109" customWidth="1"/>
    <col min="12811" max="12811" width="9.54296875" style="109" customWidth="1"/>
    <col min="12812" max="12825" width="9.08984375" style="109"/>
    <col min="12826" max="12826" width="9.90625" style="109" bestFit="1" customWidth="1"/>
    <col min="12827" max="12827" width="11" style="109" bestFit="1" customWidth="1"/>
    <col min="12828" max="13065" width="9.08984375" style="109"/>
    <col min="13066" max="13066" width="9.36328125" style="109" customWidth="1"/>
    <col min="13067" max="13067" width="9.54296875" style="109" customWidth="1"/>
    <col min="13068" max="13081" width="9.08984375" style="109"/>
    <col min="13082" max="13082" width="9.90625" style="109" bestFit="1" customWidth="1"/>
    <col min="13083" max="13083" width="11" style="109" bestFit="1" customWidth="1"/>
    <col min="13084" max="13321" width="9.08984375" style="109"/>
    <col min="13322" max="13322" width="9.36328125" style="109" customWidth="1"/>
    <col min="13323" max="13323" width="9.54296875" style="109" customWidth="1"/>
    <col min="13324" max="13337" width="9.08984375" style="109"/>
    <col min="13338" max="13338" width="9.90625" style="109" bestFit="1" customWidth="1"/>
    <col min="13339" max="13339" width="11" style="109" bestFit="1" customWidth="1"/>
    <col min="13340" max="13577" width="9.08984375" style="109"/>
    <col min="13578" max="13578" width="9.36328125" style="109" customWidth="1"/>
    <col min="13579" max="13579" width="9.54296875" style="109" customWidth="1"/>
    <col min="13580" max="13593" width="9.08984375" style="109"/>
    <col min="13594" max="13594" width="9.90625" style="109" bestFit="1" customWidth="1"/>
    <col min="13595" max="13595" width="11" style="109" bestFit="1" customWidth="1"/>
    <col min="13596" max="13833" width="9.08984375" style="109"/>
    <col min="13834" max="13834" width="9.36328125" style="109" customWidth="1"/>
    <col min="13835" max="13835" width="9.54296875" style="109" customWidth="1"/>
    <col min="13836" max="13849" width="9.08984375" style="109"/>
    <col min="13850" max="13850" width="9.90625" style="109" bestFit="1" customWidth="1"/>
    <col min="13851" max="13851" width="11" style="109" bestFit="1" customWidth="1"/>
    <col min="13852" max="14089" width="9.08984375" style="109"/>
    <col min="14090" max="14090" width="9.36328125" style="109" customWidth="1"/>
    <col min="14091" max="14091" width="9.54296875" style="109" customWidth="1"/>
    <col min="14092" max="14105" width="9.08984375" style="109"/>
    <col min="14106" max="14106" width="9.90625" style="109" bestFit="1" customWidth="1"/>
    <col min="14107" max="14107" width="11" style="109" bestFit="1" customWidth="1"/>
    <col min="14108" max="14345" width="9.08984375" style="109"/>
    <col min="14346" max="14346" width="9.36328125" style="109" customWidth="1"/>
    <col min="14347" max="14347" width="9.54296875" style="109" customWidth="1"/>
    <col min="14348" max="14361" width="9.08984375" style="109"/>
    <col min="14362" max="14362" width="9.90625" style="109" bestFit="1" customWidth="1"/>
    <col min="14363" max="14363" width="11" style="109" bestFit="1" customWidth="1"/>
    <col min="14364" max="14601" width="9.08984375" style="109"/>
    <col min="14602" max="14602" width="9.36328125" style="109" customWidth="1"/>
    <col min="14603" max="14603" width="9.54296875" style="109" customWidth="1"/>
    <col min="14604" max="14617" width="9.08984375" style="109"/>
    <col min="14618" max="14618" width="9.90625" style="109" bestFit="1" customWidth="1"/>
    <col min="14619" max="14619" width="11" style="109" bestFit="1" customWidth="1"/>
    <col min="14620" max="14857" width="9.08984375" style="109"/>
    <col min="14858" max="14858" width="9.36328125" style="109" customWidth="1"/>
    <col min="14859" max="14859" width="9.54296875" style="109" customWidth="1"/>
    <col min="14860" max="14873" width="9.08984375" style="109"/>
    <col min="14874" max="14874" width="9.90625" style="109" bestFit="1" customWidth="1"/>
    <col min="14875" max="14875" width="11" style="109" bestFit="1" customWidth="1"/>
    <col min="14876" max="15113" width="9.08984375" style="109"/>
    <col min="15114" max="15114" width="9.36328125" style="109" customWidth="1"/>
    <col min="15115" max="15115" width="9.54296875" style="109" customWidth="1"/>
    <col min="15116" max="15129" width="9.08984375" style="109"/>
    <col min="15130" max="15130" width="9.90625" style="109" bestFit="1" customWidth="1"/>
    <col min="15131" max="15131" width="11" style="109" bestFit="1" customWidth="1"/>
    <col min="15132" max="15369" width="9.08984375" style="109"/>
    <col min="15370" max="15370" width="9.36328125" style="109" customWidth="1"/>
    <col min="15371" max="15371" width="9.54296875" style="109" customWidth="1"/>
    <col min="15372" max="15385" width="9.08984375" style="109"/>
    <col min="15386" max="15386" width="9.90625" style="109" bestFit="1" customWidth="1"/>
    <col min="15387" max="15387" width="11" style="109" bestFit="1" customWidth="1"/>
    <col min="15388" max="15625" width="9.08984375" style="109"/>
    <col min="15626" max="15626" width="9.36328125" style="109" customWidth="1"/>
    <col min="15627" max="15627" width="9.54296875" style="109" customWidth="1"/>
    <col min="15628" max="15641" width="9.08984375" style="109"/>
    <col min="15642" max="15642" width="9.90625" style="109" bestFit="1" customWidth="1"/>
    <col min="15643" max="15643" width="11" style="109" bestFit="1" customWidth="1"/>
    <col min="15644" max="15881" width="9.08984375" style="109"/>
    <col min="15882" max="15882" width="9.36328125" style="109" customWidth="1"/>
    <col min="15883" max="15883" width="9.54296875" style="109" customWidth="1"/>
    <col min="15884" max="15897" width="9.08984375" style="109"/>
    <col min="15898" max="15898" width="9.90625" style="109" bestFit="1" customWidth="1"/>
    <col min="15899" max="15899" width="11" style="109" bestFit="1" customWidth="1"/>
    <col min="15900" max="16137" width="9.08984375" style="109"/>
    <col min="16138" max="16138" width="9.36328125" style="109" customWidth="1"/>
    <col min="16139" max="16139" width="9.54296875" style="109" customWidth="1"/>
    <col min="16140" max="16153" width="9.08984375" style="109"/>
    <col min="16154" max="16154" width="9.90625" style="109" bestFit="1" customWidth="1"/>
    <col min="16155" max="16155" width="11" style="109" bestFit="1" customWidth="1"/>
    <col min="16156" max="16384" width="9.08984375" style="109"/>
  </cols>
  <sheetData>
    <row r="1" spans="1:29" ht="13" x14ac:dyDescent="0.3">
      <c r="A1" s="115" t="s">
        <v>78</v>
      </c>
      <c r="D1" s="806"/>
      <c r="E1" s="806"/>
      <c r="F1" s="115"/>
      <c r="G1" s="115"/>
      <c r="H1" s="115"/>
      <c r="I1" s="115"/>
    </row>
    <row r="2" spans="1:29" ht="13.25" x14ac:dyDescent="0.25">
      <c r="A2" s="116"/>
    </row>
    <row r="3" spans="1:29" ht="13.25" x14ac:dyDescent="0.25">
      <c r="A3" s="118" t="s">
        <v>79</v>
      </c>
      <c r="B3" s="118"/>
      <c r="C3" s="118"/>
      <c r="D3" s="118"/>
      <c r="E3" s="119"/>
      <c r="F3" s="119"/>
    </row>
    <row r="4" spans="1:29" ht="13.25" x14ac:dyDescent="0.25">
      <c r="A4" s="120"/>
      <c r="B4" s="120"/>
      <c r="C4" s="120"/>
      <c r="D4" s="120"/>
      <c r="E4" s="121"/>
      <c r="F4" s="121"/>
    </row>
    <row r="5" spans="1:29" ht="13.25" x14ac:dyDescent="0.25">
      <c r="A5" s="122" t="s">
        <v>80</v>
      </c>
      <c r="B5" s="122">
        <v>1995</v>
      </c>
      <c r="C5" s="122">
        <v>1996</v>
      </c>
      <c r="D5" s="122">
        <v>1997</v>
      </c>
      <c r="E5" s="122">
        <v>1998</v>
      </c>
      <c r="F5" s="122">
        <v>1999</v>
      </c>
      <c r="G5" s="122">
        <v>2000</v>
      </c>
      <c r="H5" s="122">
        <v>2001</v>
      </c>
      <c r="I5" s="122">
        <v>2002</v>
      </c>
      <c r="J5" s="122">
        <v>2003</v>
      </c>
      <c r="K5" s="122">
        <v>2004</v>
      </c>
      <c r="L5" s="122">
        <v>2005</v>
      </c>
      <c r="M5" s="122">
        <v>2006</v>
      </c>
      <c r="N5" s="122">
        <v>2007</v>
      </c>
      <c r="O5" s="122">
        <v>2008</v>
      </c>
      <c r="P5" s="122">
        <v>2009</v>
      </c>
      <c r="Q5" s="122">
        <v>2010</v>
      </c>
      <c r="R5" s="122">
        <v>2011</v>
      </c>
      <c r="S5" s="122">
        <v>2012</v>
      </c>
      <c r="T5" s="122">
        <v>2013</v>
      </c>
      <c r="U5" s="122">
        <v>2014</v>
      </c>
      <c r="V5" s="122">
        <v>2015</v>
      </c>
      <c r="W5" s="122">
        <v>2016</v>
      </c>
      <c r="X5" s="122">
        <v>2017</v>
      </c>
      <c r="Y5" s="122">
        <v>2018</v>
      </c>
      <c r="Z5" s="122">
        <v>2019</v>
      </c>
      <c r="AA5" s="456"/>
      <c r="AB5" s="123" t="s">
        <v>81</v>
      </c>
      <c r="AC5" s="123" t="s">
        <v>82</v>
      </c>
    </row>
    <row r="6" spans="1:29" ht="13.25" x14ac:dyDescent="0.25">
      <c r="A6" s="120"/>
      <c r="B6" s="120"/>
      <c r="C6" s="120"/>
      <c r="D6" s="120"/>
      <c r="E6" s="119"/>
      <c r="F6" s="119"/>
    </row>
    <row r="7" spans="1:29" ht="13.25" x14ac:dyDescent="0.25">
      <c r="A7" s="124"/>
      <c r="B7" s="124"/>
      <c r="C7" s="124"/>
      <c r="D7" s="124"/>
      <c r="E7" s="119"/>
      <c r="F7" s="119"/>
      <c r="G7" s="119"/>
      <c r="H7" s="119"/>
    </row>
    <row r="8" spans="1:29" ht="13.25" x14ac:dyDescent="0.25">
      <c r="A8" s="124" t="s">
        <v>83</v>
      </c>
      <c r="B8" s="125">
        <v>849</v>
      </c>
      <c r="C8" s="125">
        <v>1010.4</v>
      </c>
      <c r="D8" s="125">
        <v>1055.7</v>
      </c>
      <c r="E8" s="125">
        <v>861.2</v>
      </c>
      <c r="F8" s="125">
        <v>969.3</v>
      </c>
      <c r="G8" s="125">
        <v>988.8</v>
      </c>
      <c r="H8" s="125">
        <v>883.6</v>
      </c>
      <c r="I8" s="125">
        <v>805.2</v>
      </c>
      <c r="J8" s="159">
        <v>1017.5</v>
      </c>
      <c r="K8" s="159">
        <v>1129.7</v>
      </c>
      <c r="L8" s="159">
        <v>1011.1</v>
      </c>
      <c r="M8" s="159">
        <v>783.8</v>
      </c>
      <c r="N8" s="159">
        <v>882.1</v>
      </c>
      <c r="O8" s="159">
        <v>829.7</v>
      </c>
      <c r="P8" s="159">
        <v>1046.7</v>
      </c>
      <c r="Q8" s="159">
        <v>878.8</v>
      </c>
      <c r="R8" s="157">
        <v>1005.1</v>
      </c>
      <c r="S8" s="157">
        <v>861.5</v>
      </c>
      <c r="T8" s="157">
        <v>914.4</v>
      </c>
      <c r="U8" s="157">
        <v>1037.5</v>
      </c>
      <c r="V8" s="157">
        <v>1038.5</v>
      </c>
      <c r="W8" s="362">
        <v>884.60000000000014</v>
      </c>
      <c r="X8" s="362">
        <v>795.50000000000011</v>
      </c>
      <c r="Y8" s="362">
        <v>927.59999999999991</v>
      </c>
      <c r="Z8" s="157">
        <v>981.59999999999991</v>
      </c>
      <c r="AA8" s="157"/>
      <c r="AB8" s="126">
        <f>AVERAGE(Q8:Z8)</f>
        <v>932.51</v>
      </c>
      <c r="AC8" s="127">
        <f>TREND(G8:Z8,$E$25:$X$25,2019)</f>
        <v>927.74533834586464</v>
      </c>
    </row>
    <row r="9" spans="1:29" ht="13.25" x14ac:dyDescent="0.25">
      <c r="A9" s="124" t="s">
        <v>84</v>
      </c>
      <c r="B9" s="125">
        <v>893.8</v>
      </c>
      <c r="C9" s="125">
        <v>883</v>
      </c>
      <c r="D9" s="125">
        <v>832.9</v>
      </c>
      <c r="E9" s="125">
        <v>645.4</v>
      </c>
      <c r="F9" s="125">
        <v>713.7</v>
      </c>
      <c r="G9" s="125">
        <v>752.2</v>
      </c>
      <c r="H9" s="125">
        <v>828.2</v>
      </c>
      <c r="I9" s="125">
        <v>773.4</v>
      </c>
      <c r="J9" s="159">
        <v>923</v>
      </c>
      <c r="K9" s="159">
        <v>780.2</v>
      </c>
      <c r="L9" s="159">
        <v>747</v>
      </c>
      <c r="M9" s="159">
        <v>821.6</v>
      </c>
      <c r="N9" s="159">
        <v>906.6</v>
      </c>
      <c r="O9" s="159">
        <v>861.5</v>
      </c>
      <c r="P9" s="159">
        <v>790.3</v>
      </c>
      <c r="Q9" s="159">
        <v>750.7</v>
      </c>
      <c r="R9" s="157">
        <v>797.2</v>
      </c>
      <c r="S9" s="157">
        <v>720.2</v>
      </c>
      <c r="T9" s="157">
        <v>810.9</v>
      </c>
      <c r="U9" s="157">
        <v>886.5</v>
      </c>
      <c r="V9" s="157">
        <v>1043.5</v>
      </c>
      <c r="W9" s="362">
        <v>856.9</v>
      </c>
      <c r="X9" s="362">
        <v>715.29999999999984</v>
      </c>
      <c r="Y9" s="362">
        <v>756.5</v>
      </c>
      <c r="Z9" s="157">
        <v>846.90000000000009</v>
      </c>
      <c r="AA9" s="157"/>
      <c r="AB9" s="126">
        <f t="shared" ref="AB9:AB19" si="0">AVERAGE(Q9:Z9)</f>
        <v>818.46</v>
      </c>
      <c r="AC9" s="127">
        <f>TREND(G9:Z9,$E$25:$X$25,2019)</f>
        <v>833.66533834586494</v>
      </c>
    </row>
    <row r="10" spans="1:29" ht="13.25" x14ac:dyDescent="0.25">
      <c r="A10" s="124" t="s">
        <v>85</v>
      </c>
      <c r="B10" s="125">
        <v>659.7</v>
      </c>
      <c r="C10" s="125">
        <v>799.1</v>
      </c>
      <c r="D10" s="125">
        <v>785.9</v>
      </c>
      <c r="E10" s="125">
        <v>689.6</v>
      </c>
      <c r="F10" s="125">
        <v>670.7</v>
      </c>
      <c r="G10" s="125">
        <v>575.20000000000005</v>
      </c>
      <c r="H10" s="125">
        <v>706.1</v>
      </c>
      <c r="I10" s="125">
        <v>790.2</v>
      </c>
      <c r="J10" s="159">
        <v>753.1</v>
      </c>
      <c r="K10" s="159">
        <v>662.7</v>
      </c>
      <c r="L10" s="159">
        <v>733.6</v>
      </c>
      <c r="M10" s="159">
        <v>644.4</v>
      </c>
      <c r="N10" s="159">
        <v>689.1</v>
      </c>
      <c r="O10" s="159">
        <v>777.8</v>
      </c>
      <c r="P10" s="159">
        <v>696.1</v>
      </c>
      <c r="Q10" s="159">
        <v>502.9</v>
      </c>
      <c r="R10" s="157">
        <v>752.7</v>
      </c>
      <c r="S10" s="157">
        <v>527</v>
      </c>
      <c r="T10" s="157">
        <f>29.4+29.7+29.2+26+24+19.2+16.2+16.6+19.4+16.4+15.6+19.7+27.2+399</f>
        <v>687.59999999999991</v>
      </c>
      <c r="U10" s="157">
        <v>884.7</v>
      </c>
      <c r="V10" s="157">
        <v>787.7</v>
      </c>
      <c r="W10" s="362">
        <v>659.40000000000009</v>
      </c>
      <c r="X10" s="362">
        <v>772.9</v>
      </c>
      <c r="Y10" s="362">
        <v>720</v>
      </c>
      <c r="Z10" s="157">
        <v>737.9</v>
      </c>
      <c r="AA10" s="157"/>
      <c r="AB10" s="126">
        <f t="shared" si="0"/>
        <v>703.28</v>
      </c>
      <c r="AC10" s="127">
        <f t="shared" ref="AC10:AC18" si="1">TREND(G10:Z10,$E$25:$X$25,2019)</f>
        <v>735.98390977443614</v>
      </c>
    </row>
    <row r="11" spans="1:29" ht="13.25" x14ac:dyDescent="0.25">
      <c r="A11" s="124" t="s">
        <v>86</v>
      </c>
      <c r="B11" s="125">
        <v>524.4</v>
      </c>
      <c r="C11" s="125">
        <v>534.5</v>
      </c>
      <c r="D11" s="125">
        <v>454.8</v>
      </c>
      <c r="E11" s="125">
        <v>357.2</v>
      </c>
      <c r="F11" s="125">
        <v>380.4</v>
      </c>
      <c r="G11" s="125">
        <v>431.8</v>
      </c>
      <c r="H11" s="125">
        <v>389.8</v>
      </c>
      <c r="I11" s="125">
        <v>451.1</v>
      </c>
      <c r="J11" s="159">
        <v>525.70000000000005</v>
      </c>
      <c r="K11" s="159">
        <v>460</v>
      </c>
      <c r="L11" s="159">
        <v>371.5</v>
      </c>
      <c r="M11" s="159">
        <v>365.5</v>
      </c>
      <c r="N11" s="159">
        <v>428.3</v>
      </c>
      <c r="O11" s="159">
        <v>367.9</v>
      </c>
      <c r="P11" s="159">
        <v>434.2</v>
      </c>
      <c r="Q11" s="159">
        <v>324.10000000000002</v>
      </c>
      <c r="R11" s="157">
        <v>453</v>
      </c>
      <c r="S11" s="157">
        <v>420.6</v>
      </c>
      <c r="T11" s="157">
        <v>363.8</v>
      </c>
      <c r="U11" s="157">
        <v>498.9</v>
      </c>
      <c r="V11" s="157">
        <v>440.4</v>
      </c>
      <c r="W11" s="362">
        <v>542.9</v>
      </c>
      <c r="X11" s="362">
        <v>403.80000000000007</v>
      </c>
      <c r="Y11" s="362">
        <v>575.4</v>
      </c>
      <c r="Z11" s="157">
        <v>462.7999999999999</v>
      </c>
      <c r="AA11" s="157"/>
      <c r="AB11" s="126">
        <f t="shared" si="0"/>
        <v>448.57000000000005</v>
      </c>
      <c r="AC11" s="127">
        <f t="shared" si="1"/>
        <v>472.61796992481231</v>
      </c>
    </row>
    <row r="12" spans="1:29" ht="13.25" x14ac:dyDescent="0.25">
      <c r="A12" s="124" t="s">
        <v>49</v>
      </c>
      <c r="B12" s="125">
        <v>232.8</v>
      </c>
      <c r="C12" s="125">
        <v>264.5</v>
      </c>
      <c r="D12" s="125">
        <v>326.89999999999998</v>
      </c>
      <c r="E12" s="125">
        <v>109.8</v>
      </c>
      <c r="F12" s="125">
        <v>131.4</v>
      </c>
      <c r="G12" s="125">
        <v>205.4</v>
      </c>
      <c r="H12" s="125">
        <v>161.69999999999999</v>
      </c>
      <c r="I12" s="125">
        <v>301.8</v>
      </c>
      <c r="J12" s="159">
        <v>223.3</v>
      </c>
      <c r="K12" s="159">
        <v>258.3</v>
      </c>
      <c r="L12" s="159">
        <v>215.4</v>
      </c>
      <c r="M12" s="159">
        <v>165.6</v>
      </c>
      <c r="N12" s="159">
        <v>186.7</v>
      </c>
      <c r="O12" s="159">
        <v>268.8</v>
      </c>
      <c r="P12" s="159">
        <v>264.3</v>
      </c>
      <c r="Q12" s="159">
        <v>138.9</v>
      </c>
      <c r="R12" s="157">
        <v>187.9</v>
      </c>
      <c r="S12" s="157">
        <v>145.5</v>
      </c>
      <c r="T12" s="157">
        <v>163.30000000000001</v>
      </c>
      <c r="U12" s="157">
        <v>209.2</v>
      </c>
      <c r="V12" s="157">
        <v>176.1</v>
      </c>
      <c r="W12" s="362">
        <v>190.1</v>
      </c>
      <c r="X12" s="362">
        <v>242.10000000000002</v>
      </c>
      <c r="Y12" s="362">
        <v>162.80000000000001</v>
      </c>
      <c r="Z12" s="157">
        <v>276.70000000000005</v>
      </c>
      <c r="AA12" s="157"/>
      <c r="AB12" s="126">
        <f t="shared" si="0"/>
        <v>189.26</v>
      </c>
      <c r="AC12" s="127">
        <f t="shared" si="1"/>
        <v>194.19135338345905</v>
      </c>
    </row>
    <row r="13" spans="1:29" ht="13.25" x14ac:dyDescent="0.25">
      <c r="A13" s="124" t="s">
        <v>87</v>
      </c>
      <c r="B13" s="125">
        <v>50.8</v>
      </c>
      <c r="C13" s="125">
        <v>43.4</v>
      </c>
      <c r="D13" s="125">
        <v>32.4</v>
      </c>
      <c r="E13" s="125">
        <v>90.9</v>
      </c>
      <c r="F13" s="125">
        <v>57.2</v>
      </c>
      <c r="G13" s="125">
        <v>102.7</v>
      </c>
      <c r="H13" s="125">
        <v>55.8</v>
      </c>
      <c r="I13" s="125">
        <v>78.400000000000006</v>
      </c>
      <c r="J13" s="159">
        <v>70.099999999999994</v>
      </c>
      <c r="K13" s="159">
        <v>105.1</v>
      </c>
      <c r="L13" s="159">
        <v>26.3</v>
      </c>
      <c r="M13" s="159">
        <v>50.6</v>
      </c>
      <c r="N13" s="159">
        <v>62.5</v>
      </c>
      <c r="O13" s="159">
        <v>49.4</v>
      </c>
      <c r="P13" s="159">
        <v>93.2</v>
      </c>
      <c r="Q13" s="159">
        <v>70.5</v>
      </c>
      <c r="R13" s="157">
        <v>61.5</v>
      </c>
      <c r="S13" s="157">
        <v>43.7</v>
      </c>
      <c r="T13" s="157">
        <v>81.400000000000006</v>
      </c>
      <c r="U13" s="157">
        <v>48.8</v>
      </c>
      <c r="V13" s="157">
        <v>69.900000000000006</v>
      </c>
      <c r="W13" s="362">
        <v>72.800000000000026</v>
      </c>
      <c r="X13" s="362">
        <v>69</v>
      </c>
      <c r="Y13" s="362">
        <v>65.7</v>
      </c>
      <c r="Z13" s="157">
        <v>74.600000000000009</v>
      </c>
      <c r="AA13" s="157"/>
      <c r="AB13" s="126">
        <f t="shared" si="0"/>
        <v>65.79000000000002</v>
      </c>
      <c r="AC13" s="127">
        <f t="shared" si="1"/>
        <v>63.095112781954981</v>
      </c>
    </row>
    <row r="14" spans="1:29" ht="13.25" x14ac:dyDescent="0.25">
      <c r="A14" s="124" t="s">
        <v>88</v>
      </c>
      <c r="B14" s="125">
        <v>26.5</v>
      </c>
      <c r="C14" s="125">
        <v>30.3</v>
      </c>
      <c r="D14" s="125">
        <v>41.2</v>
      </c>
      <c r="E14" s="125">
        <v>15.5</v>
      </c>
      <c r="F14" s="125">
        <v>16.8</v>
      </c>
      <c r="G14" s="125">
        <v>45.7</v>
      </c>
      <c r="H14" s="125">
        <v>58.5</v>
      </c>
      <c r="I14" s="125">
        <v>11.6</v>
      </c>
      <c r="J14" s="159">
        <v>11.5</v>
      </c>
      <c r="K14" s="159">
        <v>30.1</v>
      </c>
      <c r="L14" s="159">
        <v>14.4</v>
      </c>
      <c r="M14" s="159">
        <v>10.8</v>
      </c>
      <c r="N14" s="159">
        <v>34.1</v>
      </c>
      <c r="O14" s="159">
        <v>16.5</v>
      </c>
      <c r="P14" s="159">
        <v>47.8</v>
      </c>
      <c r="Q14" s="159">
        <v>8.3000000000000007</v>
      </c>
      <c r="R14" s="157">
        <v>2.4</v>
      </c>
      <c r="S14" s="157">
        <v>0.4</v>
      </c>
      <c r="T14" s="157">
        <v>30</v>
      </c>
      <c r="U14" s="157">
        <v>52.2</v>
      </c>
      <c r="V14" s="157">
        <v>31.4</v>
      </c>
      <c r="W14" s="362">
        <v>22.4</v>
      </c>
      <c r="X14" s="362">
        <v>28.599999999999998</v>
      </c>
      <c r="Y14" s="362">
        <v>3.8</v>
      </c>
      <c r="Z14" s="157">
        <v>4.5</v>
      </c>
      <c r="AA14" s="157"/>
      <c r="AB14" s="126">
        <f t="shared" si="0"/>
        <v>18.400000000000002</v>
      </c>
      <c r="AC14" s="127">
        <f t="shared" si="1"/>
        <v>13.934135338345868</v>
      </c>
    </row>
    <row r="15" spans="1:29" ht="13.25" x14ac:dyDescent="0.25">
      <c r="A15" s="124" t="s">
        <v>89</v>
      </c>
      <c r="B15" s="125">
        <v>21</v>
      </c>
      <c r="C15" s="125">
        <v>28.8</v>
      </c>
      <c r="D15" s="125">
        <v>70.400000000000006</v>
      </c>
      <c r="E15" s="125">
        <v>22.5</v>
      </c>
      <c r="F15" s="125">
        <v>56.2</v>
      </c>
      <c r="G15" s="125">
        <v>50.4</v>
      </c>
      <c r="H15" s="125">
        <v>18.100000000000001</v>
      </c>
      <c r="I15" s="125">
        <v>21.8</v>
      </c>
      <c r="J15" s="159">
        <v>31.9</v>
      </c>
      <c r="K15" s="159">
        <v>82.3</v>
      </c>
      <c r="L15" s="159">
        <v>18.5</v>
      </c>
      <c r="M15" s="159">
        <v>44.8</v>
      </c>
      <c r="N15" s="159">
        <v>36</v>
      </c>
      <c r="O15" s="159">
        <v>28.1</v>
      </c>
      <c r="P15" s="159">
        <v>60.8</v>
      </c>
      <c r="Q15" s="159">
        <v>26.6</v>
      </c>
      <c r="R15" s="157">
        <v>16.2</v>
      </c>
      <c r="S15" s="157">
        <v>30.1</v>
      </c>
      <c r="T15" s="157">
        <v>49.4</v>
      </c>
      <c r="U15" s="157">
        <v>57.2</v>
      </c>
      <c r="V15" s="157">
        <v>35.200000000000003</v>
      </c>
      <c r="W15" s="362">
        <v>11</v>
      </c>
      <c r="X15" s="362">
        <v>65.199999999999989</v>
      </c>
      <c r="Y15" s="362">
        <v>14.299999999999999</v>
      </c>
      <c r="Z15" s="157">
        <v>37.399999999999991</v>
      </c>
      <c r="AA15" s="157"/>
      <c r="AB15" s="126">
        <f t="shared" si="0"/>
        <v>34.26</v>
      </c>
      <c r="AC15" s="127">
        <f t="shared" si="1"/>
        <v>35.301127819548867</v>
      </c>
    </row>
    <row r="16" spans="1:29" ht="13.25" x14ac:dyDescent="0.25">
      <c r="A16" s="124" t="s">
        <v>90</v>
      </c>
      <c r="B16" s="125">
        <v>213.5</v>
      </c>
      <c r="C16" s="125">
        <v>127.6</v>
      </c>
      <c r="D16" s="125">
        <v>168.2</v>
      </c>
      <c r="E16" s="125">
        <v>141.1</v>
      </c>
      <c r="F16" s="125">
        <v>120.4</v>
      </c>
      <c r="G16" s="125">
        <v>208</v>
      </c>
      <c r="H16" s="125">
        <v>165.2</v>
      </c>
      <c r="I16" s="125">
        <v>88.4</v>
      </c>
      <c r="J16" s="159">
        <v>127.3</v>
      </c>
      <c r="K16" s="159">
        <v>92.8</v>
      </c>
      <c r="L16" s="159">
        <v>85.2</v>
      </c>
      <c r="M16" s="159">
        <v>179.6</v>
      </c>
      <c r="N16" s="159">
        <v>118.8</v>
      </c>
      <c r="O16" s="159">
        <v>153.4</v>
      </c>
      <c r="P16" s="159">
        <v>113.6</v>
      </c>
      <c r="Q16" s="159">
        <v>180.9</v>
      </c>
      <c r="R16" s="157">
        <v>128.9</v>
      </c>
      <c r="S16" s="157">
        <v>165.3</v>
      </c>
      <c r="T16" s="157">
        <v>154.1</v>
      </c>
      <c r="U16" s="157">
        <v>166</v>
      </c>
      <c r="V16" s="157">
        <v>87.8</v>
      </c>
      <c r="W16" s="362">
        <v>88.7</v>
      </c>
      <c r="X16" s="362">
        <v>108.7</v>
      </c>
      <c r="Y16" s="362">
        <v>136.4</v>
      </c>
      <c r="Z16" s="157">
        <v>137.80000000000001</v>
      </c>
      <c r="AA16" s="157"/>
      <c r="AB16" s="126">
        <f t="shared" si="0"/>
        <v>135.46</v>
      </c>
      <c r="AC16" s="127">
        <f t="shared" si="1"/>
        <v>123.09834586466127</v>
      </c>
    </row>
    <row r="17" spans="1:29" ht="13.25" x14ac:dyDescent="0.25">
      <c r="A17" s="124" t="s">
        <v>91</v>
      </c>
      <c r="B17" s="125">
        <v>328.7</v>
      </c>
      <c r="C17" s="125">
        <v>379.6</v>
      </c>
      <c r="D17" s="125">
        <v>364.1</v>
      </c>
      <c r="E17" s="125">
        <v>353.7</v>
      </c>
      <c r="F17" s="125">
        <v>399</v>
      </c>
      <c r="G17" s="125">
        <v>333.9</v>
      </c>
      <c r="H17" s="125">
        <v>348.7</v>
      </c>
      <c r="I17" s="125">
        <v>450.1</v>
      </c>
      <c r="J17" s="159">
        <v>380</v>
      </c>
      <c r="K17" s="159">
        <v>325</v>
      </c>
      <c r="L17" s="159">
        <v>300</v>
      </c>
      <c r="M17" s="159">
        <v>399.5</v>
      </c>
      <c r="N17" s="159">
        <v>273.10000000000002</v>
      </c>
      <c r="O17" s="159">
        <v>380.2</v>
      </c>
      <c r="P17" s="159">
        <v>418.2</v>
      </c>
      <c r="Q17" s="159">
        <v>364.7</v>
      </c>
      <c r="R17" s="157">
        <v>304.3</v>
      </c>
      <c r="S17" s="157">
        <v>351.9</v>
      </c>
      <c r="T17" s="157">
        <v>320.8</v>
      </c>
      <c r="U17" s="157">
        <v>366.8</v>
      </c>
      <c r="V17" s="157">
        <v>393.4</v>
      </c>
      <c r="W17" s="362">
        <v>330.2</v>
      </c>
      <c r="X17" s="362">
        <v>249.29999999999998</v>
      </c>
      <c r="Y17" s="362">
        <v>438.90000000000003</v>
      </c>
      <c r="Z17" s="157">
        <v>295.89999999999998</v>
      </c>
      <c r="AA17" s="157"/>
      <c r="AB17" s="126">
        <f t="shared" si="0"/>
        <v>341.62</v>
      </c>
      <c r="AC17" s="127">
        <f t="shared" si="1"/>
        <v>334.53541353383434</v>
      </c>
    </row>
    <row r="18" spans="1:29" ht="13.25" x14ac:dyDescent="0.25">
      <c r="A18" s="124" t="s">
        <v>92</v>
      </c>
      <c r="B18" s="125">
        <v>726.6</v>
      </c>
      <c r="C18" s="125">
        <v>612.1</v>
      </c>
      <c r="D18" s="125">
        <v>608</v>
      </c>
      <c r="E18" s="125">
        <v>519</v>
      </c>
      <c r="F18" s="125">
        <v>507.3</v>
      </c>
      <c r="G18" s="125">
        <v>569.9</v>
      </c>
      <c r="H18" s="125">
        <v>463.6</v>
      </c>
      <c r="I18" s="125">
        <v>639.29999999999995</v>
      </c>
      <c r="J18" s="159">
        <v>535.29999999999995</v>
      </c>
      <c r="K18" s="159">
        <v>530</v>
      </c>
      <c r="L18" s="159">
        <v>563.79999999999995</v>
      </c>
      <c r="M18" s="159">
        <v>513</v>
      </c>
      <c r="N18" s="159">
        <v>589.6</v>
      </c>
      <c r="O18" s="159">
        <v>573.20000000000005</v>
      </c>
      <c r="P18" s="159">
        <v>453.3</v>
      </c>
      <c r="Q18" s="159">
        <v>525.29999999999995</v>
      </c>
      <c r="R18" s="157">
        <v>481.4</v>
      </c>
      <c r="S18" s="157">
        <v>571.4</v>
      </c>
      <c r="T18" s="157">
        <v>623.79999999999995</v>
      </c>
      <c r="U18" s="157">
        <v>675.8</v>
      </c>
      <c r="V18" s="157">
        <v>488.3</v>
      </c>
      <c r="W18" s="362">
        <v>452.40000000000015</v>
      </c>
      <c r="X18" s="362">
        <v>599.70000000000005</v>
      </c>
      <c r="Y18" s="362">
        <v>666.00000000000011</v>
      </c>
      <c r="Z18" s="157">
        <v>572.9</v>
      </c>
      <c r="AA18" s="157"/>
      <c r="AB18" s="126">
        <f t="shared" si="0"/>
        <v>565.70000000000005</v>
      </c>
      <c r="AC18" s="127">
        <f t="shared" si="1"/>
        <v>579.09992481203062</v>
      </c>
    </row>
    <row r="19" spans="1:29" ht="13.25" x14ac:dyDescent="0.25">
      <c r="A19" s="124" t="s">
        <v>93</v>
      </c>
      <c r="B19" s="125">
        <v>937.4</v>
      </c>
      <c r="C19" s="125">
        <v>775.3</v>
      </c>
      <c r="D19" s="125">
        <v>790.2</v>
      </c>
      <c r="E19" s="125">
        <v>750.3</v>
      </c>
      <c r="F19" s="125">
        <v>757.2</v>
      </c>
      <c r="G19" s="125">
        <v>986.2</v>
      </c>
      <c r="H19" s="125">
        <v>671.6</v>
      </c>
      <c r="I19" s="125">
        <v>761.7</v>
      </c>
      <c r="J19" s="159">
        <v>754.7</v>
      </c>
      <c r="K19" s="159">
        <v>895.5</v>
      </c>
      <c r="L19" s="159">
        <v>838.9</v>
      </c>
      <c r="M19" s="159">
        <v>675.3</v>
      </c>
      <c r="N19" s="159">
        <v>824.5</v>
      </c>
      <c r="O19" s="159">
        <v>891.8</v>
      </c>
      <c r="P19" s="159">
        <v>826.5</v>
      </c>
      <c r="Q19" s="159">
        <v>804.9</v>
      </c>
      <c r="R19" s="157">
        <v>752.9</v>
      </c>
      <c r="S19" s="157">
        <v>775.8</v>
      </c>
      <c r="T19" s="157">
        <v>985</v>
      </c>
      <c r="U19" s="157">
        <v>779.2</v>
      </c>
      <c r="V19" s="157">
        <v>599.1</v>
      </c>
      <c r="W19" s="362">
        <v>799.99999999999989</v>
      </c>
      <c r="X19" s="362">
        <v>973.10000000000025</v>
      </c>
      <c r="Y19" s="362">
        <v>786.40000000000009</v>
      </c>
      <c r="Z19" s="157">
        <v>735.69999999999993</v>
      </c>
      <c r="AA19" s="157"/>
      <c r="AB19" s="126">
        <f t="shared" si="0"/>
        <v>799.21000000000015</v>
      </c>
      <c r="AC19" s="127">
        <f>TREND(G19:Z19,$E$25:$X$25,2019)</f>
        <v>794.1840601503759</v>
      </c>
    </row>
    <row r="20" spans="1:29" ht="13.25" x14ac:dyDescent="0.25">
      <c r="A20" s="124"/>
      <c r="B20" s="124"/>
      <c r="C20" s="124"/>
      <c r="D20" s="124"/>
      <c r="E20" s="124"/>
      <c r="F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</row>
    <row r="21" spans="1:29" ht="13.25" x14ac:dyDescent="0.25">
      <c r="A21" s="124" t="s">
        <v>11</v>
      </c>
      <c r="B21" s="125">
        <f t="shared" ref="B21:Z21" si="2">SUM(B8:B19)</f>
        <v>5464.2</v>
      </c>
      <c r="C21" s="125">
        <f t="shared" si="2"/>
        <v>5488.6000000000013</v>
      </c>
      <c r="D21" s="125">
        <f t="shared" si="2"/>
        <v>5530.7</v>
      </c>
      <c r="E21" s="125">
        <f t="shared" si="2"/>
        <v>4556.2</v>
      </c>
      <c r="F21" s="125">
        <f t="shared" si="2"/>
        <v>4779.6000000000004</v>
      </c>
      <c r="G21" s="125">
        <f t="shared" si="2"/>
        <v>5250.2</v>
      </c>
      <c r="H21" s="125">
        <f t="shared" si="2"/>
        <v>4750.8999999999996</v>
      </c>
      <c r="I21" s="125">
        <f t="shared" si="2"/>
        <v>5173</v>
      </c>
      <c r="J21" s="125">
        <f t="shared" si="2"/>
        <v>5353.4000000000005</v>
      </c>
      <c r="K21" s="125">
        <f t="shared" si="2"/>
        <v>5351.7000000000007</v>
      </c>
      <c r="L21" s="125">
        <f t="shared" si="2"/>
        <v>4925.7</v>
      </c>
      <c r="M21" s="125">
        <f t="shared" si="2"/>
        <v>4654.5</v>
      </c>
      <c r="N21" s="125">
        <f t="shared" si="2"/>
        <v>5031.4000000000005</v>
      </c>
      <c r="O21" s="125">
        <f t="shared" si="2"/>
        <v>5198.3</v>
      </c>
      <c r="P21" s="125">
        <f t="shared" si="2"/>
        <v>5245</v>
      </c>
      <c r="Q21" s="125">
        <f t="shared" si="2"/>
        <v>4576.5999999999995</v>
      </c>
      <c r="R21" s="125">
        <f t="shared" si="2"/>
        <v>4943.5</v>
      </c>
      <c r="S21" s="125">
        <f t="shared" si="2"/>
        <v>4613.3999999999996</v>
      </c>
      <c r="T21" s="125">
        <f t="shared" si="2"/>
        <v>5184.5</v>
      </c>
      <c r="U21" s="125">
        <f t="shared" si="2"/>
        <v>5662.7999999999993</v>
      </c>
      <c r="V21" s="125">
        <f t="shared" si="2"/>
        <v>5191.3</v>
      </c>
      <c r="W21" s="125">
        <f t="shared" si="2"/>
        <v>4911.4000000000005</v>
      </c>
      <c r="X21" s="125">
        <f t="shared" si="2"/>
        <v>5023.2</v>
      </c>
      <c r="Y21" s="125">
        <f t="shared" si="2"/>
        <v>5253.8000000000011</v>
      </c>
      <c r="Z21" s="125">
        <f t="shared" si="2"/>
        <v>5164.7</v>
      </c>
      <c r="AA21" s="125"/>
    </row>
    <row r="22" spans="1:29" ht="13.25" x14ac:dyDescent="0.25">
      <c r="A22" s="118"/>
      <c r="B22" s="118"/>
      <c r="C22" s="118"/>
      <c r="D22" s="118"/>
      <c r="E22" s="119"/>
      <c r="F22" s="119"/>
      <c r="U22" s="129"/>
      <c r="V22" s="129"/>
      <c r="W22" s="129"/>
      <c r="X22" s="129"/>
      <c r="Y22" s="129"/>
      <c r="Z22" s="129"/>
      <c r="AA22" s="129"/>
    </row>
    <row r="23" spans="1:29" ht="13.25" x14ac:dyDescent="0.25">
      <c r="A23" s="118" t="s">
        <v>94</v>
      </c>
      <c r="B23" s="118"/>
      <c r="C23" s="118"/>
      <c r="D23" s="118"/>
      <c r="E23" s="119"/>
      <c r="F23" s="119"/>
      <c r="K23" s="129">
        <f>MAX(B21:Z21)</f>
        <v>5662.7999999999993</v>
      </c>
      <c r="P23" s="129"/>
    </row>
    <row r="24" spans="1:29" ht="13.25" x14ac:dyDescent="0.25">
      <c r="A24" s="120"/>
      <c r="B24" s="120"/>
      <c r="C24" s="120"/>
      <c r="D24" s="120"/>
      <c r="E24" s="121"/>
      <c r="F24" s="121"/>
    </row>
    <row r="25" spans="1:29" ht="13.25" x14ac:dyDescent="0.25">
      <c r="A25" s="122" t="s">
        <v>80</v>
      </c>
      <c r="B25" s="122">
        <v>1995</v>
      </c>
      <c r="C25" s="122">
        <v>1996</v>
      </c>
      <c r="D25" s="122">
        <v>1997</v>
      </c>
      <c r="E25" s="122">
        <v>1998</v>
      </c>
      <c r="F25" s="122">
        <v>1999</v>
      </c>
      <c r="G25" s="122">
        <v>2000</v>
      </c>
      <c r="H25" s="122">
        <v>2001</v>
      </c>
      <c r="I25" s="122">
        <v>2002</v>
      </c>
      <c r="J25" s="122">
        <v>2003</v>
      </c>
      <c r="K25" s="122">
        <v>2004</v>
      </c>
      <c r="L25" s="122">
        <v>2005</v>
      </c>
      <c r="M25" s="122">
        <v>2006</v>
      </c>
      <c r="N25" s="122">
        <v>2007</v>
      </c>
      <c r="O25" s="122">
        <v>2008</v>
      </c>
      <c r="P25" s="122">
        <v>2009</v>
      </c>
      <c r="Q25" s="122">
        <v>2010</v>
      </c>
      <c r="R25" s="122">
        <v>2011</v>
      </c>
      <c r="S25" s="122">
        <v>2012</v>
      </c>
      <c r="T25" s="122">
        <v>2013</v>
      </c>
      <c r="U25" s="122">
        <v>2014</v>
      </c>
      <c r="V25" s="122">
        <v>2015</v>
      </c>
      <c r="W25" s="122">
        <v>2016</v>
      </c>
      <c r="X25" s="122">
        <v>2017</v>
      </c>
      <c r="Y25" s="122">
        <v>2018</v>
      </c>
      <c r="Z25" s="122">
        <v>2019</v>
      </c>
      <c r="AA25" s="456"/>
      <c r="AB25" s="123" t="s">
        <v>81</v>
      </c>
      <c r="AC25" s="123" t="s">
        <v>82</v>
      </c>
    </row>
    <row r="26" spans="1:29" ht="13.25" x14ac:dyDescent="0.25">
      <c r="A26" s="120"/>
      <c r="B26" s="120"/>
      <c r="C26" s="120"/>
      <c r="D26" s="120"/>
      <c r="E26" s="119"/>
      <c r="F26" s="119"/>
      <c r="AB26" s="130"/>
      <c r="AC26" s="130"/>
    </row>
    <row r="27" spans="1:29" x14ac:dyDescent="0.25">
      <c r="E27" s="119"/>
      <c r="F27" s="119"/>
      <c r="AB27" s="130"/>
      <c r="AC27" s="130"/>
    </row>
    <row r="28" spans="1:29" x14ac:dyDescent="0.25">
      <c r="A28" s="124" t="s">
        <v>83</v>
      </c>
      <c r="B28" s="125">
        <v>0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  <c r="H28" s="125">
        <v>0</v>
      </c>
      <c r="I28" s="125">
        <v>0</v>
      </c>
      <c r="J28" s="159">
        <v>0</v>
      </c>
      <c r="K28" s="159">
        <v>0</v>
      </c>
      <c r="L28" s="159">
        <v>0</v>
      </c>
      <c r="M28" s="159">
        <v>0</v>
      </c>
      <c r="N28" s="159">
        <v>0</v>
      </c>
      <c r="O28" s="159">
        <v>0</v>
      </c>
      <c r="P28" s="159">
        <v>0</v>
      </c>
      <c r="Q28" s="159">
        <v>0</v>
      </c>
      <c r="R28" s="157">
        <v>0</v>
      </c>
      <c r="S28" s="157">
        <v>0</v>
      </c>
      <c r="T28" s="157">
        <v>0</v>
      </c>
      <c r="U28" s="157">
        <v>0</v>
      </c>
      <c r="V28" s="157">
        <v>0</v>
      </c>
      <c r="W28" s="362">
        <v>0</v>
      </c>
      <c r="X28" s="362">
        <v>0</v>
      </c>
      <c r="Y28" s="362">
        <v>0</v>
      </c>
      <c r="Z28" s="157">
        <v>0</v>
      </c>
      <c r="AA28" s="157"/>
      <c r="AB28" s="126">
        <f t="shared" ref="AB28:AB39" si="3">AVERAGE(Q28:Z28)</f>
        <v>0</v>
      </c>
      <c r="AC28" s="127">
        <f>TREND(G28:Z28,$E$25:$X$25,2019)</f>
        <v>0</v>
      </c>
    </row>
    <row r="29" spans="1:29" x14ac:dyDescent="0.25">
      <c r="A29" s="124" t="s">
        <v>84</v>
      </c>
      <c r="B29" s="125">
        <v>0</v>
      </c>
      <c r="C29" s="125">
        <v>0</v>
      </c>
      <c r="D29" s="125">
        <v>0</v>
      </c>
      <c r="E29" s="125">
        <v>0</v>
      </c>
      <c r="F29" s="125">
        <v>0</v>
      </c>
      <c r="G29" s="125">
        <v>0</v>
      </c>
      <c r="H29" s="125">
        <v>0</v>
      </c>
      <c r="I29" s="125">
        <v>0</v>
      </c>
      <c r="J29" s="159">
        <v>0</v>
      </c>
      <c r="K29" s="159">
        <v>0</v>
      </c>
      <c r="L29" s="159">
        <v>0</v>
      </c>
      <c r="M29" s="159">
        <v>0</v>
      </c>
      <c r="N29" s="159">
        <v>0</v>
      </c>
      <c r="O29" s="159">
        <v>0</v>
      </c>
      <c r="P29" s="159">
        <v>0</v>
      </c>
      <c r="Q29" s="159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0</v>
      </c>
      <c r="W29" s="362">
        <v>0</v>
      </c>
      <c r="X29" s="362">
        <v>0</v>
      </c>
      <c r="Y29" s="362">
        <v>0</v>
      </c>
      <c r="Z29" s="157">
        <v>0</v>
      </c>
      <c r="AA29" s="157"/>
      <c r="AB29" s="126">
        <f t="shared" si="3"/>
        <v>0</v>
      </c>
      <c r="AC29" s="127">
        <f t="shared" ref="AC29:AC39" si="4">TREND(G29:Z29,$E$25:$X$25,2019)</f>
        <v>0</v>
      </c>
    </row>
    <row r="30" spans="1:29" x14ac:dyDescent="0.25">
      <c r="A30" s="124" t="s">
        <v>85</v>
      </c>
      <c r="B30" s="125">
        <v>0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59">
        <v>0</v>
      </c>
      <c r="K30" s="159">
        <v>0</v>
      </c>
      <c r="L30" s="159">
        <v>0</v>
      </c>
      <c r="M30" s="159">
        <v>0</v>
      </c>
      <c r="N30" s="159">
        <v>0</v>
      </c>
      <c r="O30" s="159">
        <v>0</v>
      </c>
      <c r="P30" s="159">
        <v>0</v>
      </c>
      <c r="Q30" s="159">
        <v>0</v>
      </c>
      <c r="R30" s="157">
        <v>0</v>
      </c>
      <c r="S30" s="157">
        <v>0</v>
      </c>
      <c r="T30" s="157">
        <v>0</v>
      </c>
      <c r="U30" s="157">
        <v>0</v>
      </c>
      <c r="V30" s="157">
        <v>0</v>
      </c>
      <c r="W30" s="362">
        <v>0</v>
      </c>
      <c r="X30" s="362">
        <v>0</v>
      </c>
      <c r="Y30" s="362">
        <v>0</v>
      </c>
      <c r="Z30" s="157">
        <v>0</v>
      </c>
      <c r="AA30" s="157"/>
      <c r="AB30" s="126">
        <f t="shared" si="3"/>
        <v>0</v>
      </c>
      <c r="AC30" s="127">
        <f t="shared" si="4"/>
        <v>0</v>
      </c>
    </row>
    <row r="31" spans="1:29" x14ac:dyDescent="0.25">
      <c r="A31" s="124" t="s">
        <v>86</v>
      </c>
      <c r="B31" s="125">
        <v>0</v>
      </c>
      <c r="C31" s="125">
        <v>0</v>
      </c>
      <c r="D31" s="125">
        <v>0</v>
      </c>
      <c r="E31" s="125">
        <v>0</v>
      </c>
      <c r="F31" s="125">
        <v>0</v>
      </c>
      <c r="G31" s="125">
        <v>0</v>
      </c>
      <c r="H31" s="125">
        <v>0</v>
      </c>
      <c r="I31" s="125">
        <v>0.1</v>
      </c>
      <c r="J31" s="159">
        <v>0</v>
      </c>
      <c r="K31" s="159">
        <v>0</v>
      </c>
      <c r="L31" s="159">
        <v>0</v>
      </c>
      <c r="M31" s="159">
        <v>0</v>
      </c>
      <c r="N31" s="159">
        <v>0</v>
      </c>
      <c r="O31" s="159">
        <v>0</v>
      </c>
      <c r="P31" s="159">
        <v>0</v>
      </c>
      <c r="Q31" s="159">
        <v>0</v>
      </c>
      <c r="R31" s="157">
        <v>0</v>
      </c>
      <c r="S31" s="157">
        <v>0</v>
      </c>
      <c r="T31" s="157">
        <v>0</v>
      </c>
      <c r="U31" s="157">
        <v>0</v>
      </c>
      <c r="V31" s="157">
        <v>0</v>
      </c>
      <c r="W31" s="362">
        <v>0</v>
      </c>
      <c r="X31" s="362">
        <v>0</v>
      </c>
      <c r="Y31" s="362">
        <v>0</v>
      </c>
      <c r="Z31" s="157">
        <v>0</v>
      </c>
      <c r="AA31" s="157"/>
      <c r="AB31" s="126">
        <f t="shared" si="3"/>
        <v>0</v>
      </c>
      <c r="AC31" s="127">
        <f t="shared" si="4"/>
        <v>-7.9699248120301824E-3</v>
      </c>
    </row>
    <row r="32" spans="1:29" x14ac:dyDescent="0.25">
      <c r="A32" s="124" t="s">
        <v>49</v>
      </c>
      <c r="B32" s="125">
        <v>2.5</v>
      </c>
      <c r="C32" s="125">
        <v>1.3</v>
      </c>
      <c r="D32" s="125">
        <v>0</v>
      </c>
      <c r="E32" s="125">
        <v>8.4</v>
      </c>
      <c r="F32" s="125">
        <v>11.6</v>
      </c>
      <c r="G32" s="125">
        <v>3.7</v>
      </c>
      <c r="H32" s="125">
        <v>1.3</v>
      </c>
      <c r="I32" s="125">
        <v>0.9</v>
      </c>
      <c r="J32" s="159">
        <v>0</v>
      </c>
      <c r="K32" s="159">
        <v>1</v>
      </c>
      <c r="L32" s="159">
        <v>0</v>
      </c>
      <c r="M32" s="159">
        <v>13.6</v>
      </c>
      <c r="N32" s="159">
        <v>14.2</v>
      </c>
      <c r="O32" s="159">
        <v>0</v>
      </c>
      <c r="P32" s="159">
        <v>0.6</v>
      </c>
      <c r="Q32" s="159">
        <v>33.1</v>
      </c>
      <c r="R32" s="157">
        <v>4.9000000000000004</v>
      </c>
      <c r="S32" s="157">
        <v>11.1</v>
      </c>
      <c r="T32" s="157">
        <v>3.8</v>
      </c>
      <c r="U32" s="157">
        <v>2.7</v>
      </c>
      <c r="V32" s="157">
        <v>6.1</v>
      </c>
      <c r="W32" s="362">
        <v>12.6</v>
      </c>
      <c r="X32" s="362">
        <v>1.3</v>
      </c>
      <c r="Y32" s="362">
        <v>16.599999999999998</v>
      </c>
      <c r="Z32" s="157">
        <v>0</v>
      </c>
      <c r="AA32" s="157"/>
      <c r="AB32" s="126">
        <f t="shared" si="3"/>
        <v>9.2199999999999989</v>
      </c>
      <c r="AC32" s="127">
        <f t="shared" si="4"/>
        <v>9.8604511278196014</v>
      </c>
    </row>
    <row r="33" spans="1:30" x14ac:dyDescent="0.25">
      <c r="A33" s="124" t="s">
        <v>87</v>
      </c>
      <c r="B33" s="125">
        <v>71.400000000000006</v>
      </c>
      <c r="C33" s="125">
        <v>23.7</v>
      </c>
      <c r="D33" s="125">
        <v>51.2</v>
      </c>
      <c r="E33" s="125">
        <v>48.4</v>
      </c>
      <c r="F33" s="125">
        <v>55.9</v>
      </c>
      <c r="G33" s="125">
        <v>9.1999999999999993</v>
      </c>
      <c r="H33" s="125">
        <v>39.4</v>
      </c>
      <c r="I33" s="125">
        <v>32.5</v>
      </c>
      <c r="J33" s="159">
        <v>30.5</v>
      </c>
      <c r="K33" s="159">
        <v>7.8</v>
      </c>
      <c r="L33" s="159">
        <v>0</v>
      </c>
      <c r="M33" s="159">
        <v>29.9</v>
      </c>
      <c r="N33" s="159">
        <v>52.4</v>
      </c>
      <c r="O33" s="159">
        <v>23.7</v>
      </c>
      <c r="P33" s="159">
        <v>35.799999999999997</v>
      </c>
      <c r="Q33" s="159">
        <v>9.1</v>
      </c>
      <c r="R33" s="157">
        <v>14.9</v>
      </c>
      <c r="S33" s="157">
        <v>45.5</v>
      </c>
      <c r="T33" s="157">
        <v>16.8</v>
      </c>
      <c r="U33" s="157">
        <v>20.8</v>
      </c>
      <c r="V33" s="157">
        <v>6.1</v>
      </c>
      <c r="W33" s="362">
        <v>30.400000000000002</v>
      </c>
      <c r="X33" s="362">
        <v>8.9</v>
      </c>
      <c r="Y33" s="362">
        <v>22.5</v>
      </c>
      <c r="Z33" s="157">
        <v>11.7</v>
      </c>
      <c r="AA33" s="157"/>
      <c r="AB33" s="126">
        <f t="shared" si="3"/>
        <v>18.669999999999998</v>
      </c>
      <c r="AC33" s="127">
        <f t="shared" si="4"/>
        <v>17.156015037593988</v>
      </c>
      <c r="AD33" s="129"/>
    </row>
    <row r="34" spans="1:30" x14ac:dyDescent="0.25">
      <c r="A34" s="124" t="s">
        <v>88</v>
      </c>
      <c r="B34" s="125">
        <v>64.2</v>
      </c>
      <c r="C34" s="125">
        <v>24.6</v>
      </c>
      <c r="D34" s="125">
        <v>59.9</v>
      </c>
      <c r="E34" s="125">
        <v>50.1</v>
      </c>
      <c r="F34" s="125">
        <v>89.4</v>
      </c>
      <c r="G34" s="125">
        <v>24.9</v>
      </c>
      <c r="H34" s="125">
        <v>42.3</v>
      </c>
      <c r="I34" s="125">
        <v>84.2</v>
      </c>
      <c r="J34" s="159">
        <v>37.9</v>
      </c>
      <c r="K34" s="159">
        <v>39.299999999999997</v>
      </c>
      <c r="L34" s="159">
        <v>94.3</v>
      </c>
      <c r="M34" s="159">
        <v>84.2</v>
      </c>
      <c r="N34" s="159">
        <v>46.5</v>
      </c>
      <c r="O34" s="159">
        <v>36.700000000000003</v>
      </c>
      <c r="P34" s="159">
        <v>8.8000000000000007</v>
      </c>
      <c r="Q34" s="159">
        <v>100</v>
      </c>
      <c r="R34" s="157">
        <v>104.6</v>
      </c>
      <c r="S34" s="157">
        <v>94.3</v>
      </c>
      <c r="T34" s="157">
        <v>59.2</v>
      </c>
      <c r="U34" s="157">
        <v>18.3</v>
      </c>
      <c r="V34" s="157">
        <v>55.1</v>
      </c>
      <c r="W34" s="362">
        <v>72.7</v>
      </c>
      <c r="X34" s="362">
        <v>31.100000000000005</v>
      </c>
      <c r="Y34" s="362">
        <v>78.900000000000006</v>
      </c>
      <c r="Z34" s="157">
        <v>70.099999999999994</v>
      </c>
      <c r="AA34" s="157"/>
      <c r="AB34" s="126">
        <f t="shared" si="3"/>
        <v>68.429999999999993</v>
      </c>
      <c r="AC34" s="127">
        <f t="shared" si="4"/>
        <v>67.692105263157828</v>
      </c>
    </row>
    <row r="35" spans="1:30" x14ac:dyDescent="0.25">
      <c r="A35" s="124" t="s">
        <v>89</v>
      </c>
      <c r="B35" s="125">
        <v>62.2</v>
      </c>
      <c r="C35" s="125">
        <v>34.799999999999997</v>
      </c>
      <c r="D35" s="125">
        <v>9.4</v>
      </c>
      <c r="E35" s="125">
        <v>55.5</v>
      </c>
      <c r="F35" s="125">
        <v>24.3</v>
      </c>
      <c r="G35" s="125">
        <v>21</v>
      </c>
      <c r="H35" s="125">
        <v>78.900000000000006</v>
      </c>
      <c r="I35" s="125">
        <v>49.4</v>
      </c>
      <c r="J35" s="159">
        <v>57.8</v>
      </c>
      <c r="K35" s="159">
        <v>15</v>
      </c>
      <c r="L35" s="159">
        <v>58.9</v>
      </c>
      <c r="M35" s="159">
        <v>30.6</v>
      </c>
      <c r="N35" s="159">
        <v>49.6</v>
      </c>
      <c r="O35" s="159">
        <v>19.899999999999999</v>
      </c>
      <c r="P35" s="159">
        <v>34</v>
      </c>
      <c r="Q35" s="159">
        <v>70.7</v>
      </c>
      <c r="R35" s="157">
        <v>49.8</v>
      </c>
      <c r="S35" s="157">
        <v>47.4</v>
      </c>
      <c r="T35" s="157">
        <v>30.8</v>
      </c>
      <c r="U35" s="157">
        <v>21.4</v>
      </c>
      <c r="V35" s="157">
        <v>39.799999999999997</v>
      </c>
      <c r="W35" s="362">
        <v>73.299999999999983</v>
      </c>
      <c r="X35" s="362">
        <v>11.6</v>
      </c>
      <c r="Y35" s="362">
        <v>61.70000000000001</v>
      </c>
      <c r="Z35" s="157">
        <v>20.6</v>
      </c>
      <c r="AA35" s="157"/>
      <c r="AB35" s="126">
        <f t="shared" si="3"/>
        <v>42.710000000000008</v>
      </c>
      <c r="AC35" s="127">
        <f t="shared" si="4"/>
        <v>36.806165413533904</v>
      </c>
    </row>
    <row r="36" spans="1:30" x14ac:dyDescent="0.25">
      <c r="A36" s="124" t="s">
        <v>90</v>
      </c>
      <c r="B36" s="125">
        <v>0</v>
      </c>
      <c r="C36" s="125">
        <v>23</v>
      </c>
      <c r="D36" s="125">
        <v>0.4</v>
      </c>
      <c r="E36" s="125">
        <v>2.2999999999999998</v>
      </c>
      <c r="F36" s="125">
        <v>26.7</v>
      </c>
      <c r="G36" s="125">
        <v>2.2000000000000002</v>
      </c>
      <c r="H36" s="125">
        <v>7.7</v>
      </c>
      <c r="I36" s="125">
        <v>31.4</v>
      </c>
      <c r="J36" s="159">
        <v>4.8</v>
      </c>
      <c r="K36" s="159">
        <v>19.5</v>
      </c>
      <c r="L36" s="159">
        <v>18.100000000000001</v>
      </c>
      <c r="M36" s="159">
        <v>1.2</v>
      </c>
      <c r="N36" s="159">
        <v>11.9</v>
      </c>
      <c r="O36" s="159">
        <v>7.6</v>
      </c>
      <c r="P36" s="159">
        <v>6.8</v>
      </c>
      <c r="Q36" s="159">
        <v>8.5</v>
      </c>
      <c r="R36" s="157">
        <v>16.2</v>
      </c>
      <c r="S36" s="157">
        <v>11.8</v>
      </c>
      <c r="T36" s="157">
        <v>1.3</v>
      </c>
      <c r="U36" s="157">
        <v>4.7</v>
      </c>
      <c r="V36" s="157">
        <v>38.1</v>
      </c>
      <c r="W36" s="362">
        <v>10.700000000000001</v>
      </c>
      <c r="X36" s="362">
        <v>33.699999999999996</v>
      </c>
      <c r="Y36" s="362">
        <v>23.500000000000004</v>
      </c>
      <c r="Z36" s="157">
        <v>1.8</v>
      </c>
      <c r="AA36" s="157"/>
      <c r="AB36" s="126">
        <f t="shared" si="3"/>
        <v>15.030000000000001</v>
      </c>
      <c r="AC36" s="127">
        <f t="shared" si="4"/>
        <v>17.259097744360929</v>
      </c>
    </row>
    <row r="37" spans="1:30" x14ac:dyDescent="0.25">
      <c r="A37" s="124" t="s">
        <v>91</v>
      </c>
      <c r="B37" s="125">
        <v>0</v>
      </c>
      <c r="C37" s="125">
        <v>0</v>
      </c>
      <c r="D37" s="125">
        <v>0</v>
      </c>
      <c r="E37" s="125">
        <v>0</v>
      </c>
      <c r="F37" s="125">
        <v>0</v>
      </c>
      <c r="G37" s="125">
        <v>0</v>
      </c>
      <c r="H37" s="125">
        <v>0</v>
      </c>
      <c r="I37" s="125">
        <v>2.2999999999999998</v>
      </c>
      <c r="J37" s="159">
        <v>0</v>
      </c>
      <c r="K37" s="159">
        <v>0</v>
      </c>
      <c r="L37" s="159">
        <v>7</v>
      </c>
      <c r="M37" s="159">
        <v>0</v>
      </c>
      <c r="N37" s="159">
        <v>0</v>
      </c>
      <c r="O37" s="159">
        <v>0.3</v>
      </c>
      <c r="P37" s="159">
        <v>0</v>
      </c>
      <c r="Q37" s="159">
        <v>0</v>
      </c>
      <c r="R37" s="157">
        <v>0.5</v>
      </c>
      <c r="S37" s="157">
        <v>0</v>
      </c>
      <c r="T37" s="157">
        <v>0</v>
      </c>
      <c r="U37" s="157">
        <v>0</v>
      </c>
      <c r="V37" s="157">
        <v>0</v>
      </c>
      <c r="W37" s="362">
        <v>0.5</v>
      </c>
      <c r="X37" s="362">
        <v>0</v>
      </c>
      <c r="Y37" s="362">
        <v>0</v>
      </c>
      <c r="Z37" s="157">
        <v>0</v>
      </c>
      <c r="AA37" s="157"/>
      <c r="AB37" s="126">
        <f t="shared" si="3"/>
        <v>0.1</v>
      </c>
      <c r="AC37" s="127">
        <f t="shared" si="4"/>
        <v>-0.25165413533832748</v>
      </c>
    </row>
    <row r="38" spans="1:30" x14ac:dyDescent="0.25">
      <c r="A38" s="124" t="s">
        <v>92</v>
      </c>
      <c r="B38" s="125">
        <v>0</v>
      </c>
      <c r="C38" s="125">
        <v>0</v>
      </c>
      <c r="D38" s="125">
        <v>0</v>
      </c>
      <c r="E38" s="125">
        <v>0</v>
      </c>
      <c r="F38" s="125">
        <v>0</v>
      </c>
      <c r="G38" s="125">
        <v>0</v>
      </c>
      <c r="H38" s="125">
        <v>0</v>
      </c>
      <c r="I38" s="125">
        <v>0</v>
      </c>
      <c r="J38" s="159">
        <v>0</v>
      </c>
      <c r="K38" s="159">
        <v>0</v>
      </c>
      <c r="L38" s="159">
        <v>0</v>
      </c>
      <c r="M38" s="159">
        <v>0</v>
      </c>
      <c r="N38" s="159">
        <v>0</v>
      </c>
      <c r="O38" s="159">
        <v>0</v>
      </c>
      <c r="P38" s="159">
        <v>0</v>
      </c>
      <c r="Q38" s="159">
        <v>0</v>
      </c>
      <c r="R38" s="157">
        <v>0</v>
      </c>
      <c r="S38" s="157">
        <v>0</v>
      </c>
      <c r="T38" s="157">
        <v>0</v>
      </c>
      <c r="U38" s="157">
        <v>0</v>
      </c>
      <c r="V38" s="157">
        <v>0</v>
      </c>
      <c r="W38" s="362">
        <v>0</v>
      </c>
      <c r="X38" s="362">
        <v>0</v>
      </c>
      <c r="Y38" s="362">
        <v>0</v>
      </c>
      <c r="Z38" s="157">
        <v>0</v>
      </c>
      <c r="AA38" s="157"/>
      <c r="AB38" s="126">
        <f t="shared" si="3"/>
        <v>0</v>
      </c>
      <c r="AC38" s="127">
        <f t="shared" si="4"/>
        <v>0</v>
      </c>
    </row>
    <row r="39" spans="1:30" x14ac:dyDescent="0.25">
      <c r="A39" s="124" t="s">
        <v>93</v>
      </c>
      <c r="B39" s="125">
        <v>0</v>
      </c>
      <c r="C39" s="125">
        <v>0</v>
      </c>
      <c r="D39" s="125">
        <v>0</v>
      </c>
      <c r="E39" s="125">
        <v>0</v>
      </c>
      <c r="F39" s="125">
        <v>0</v>
      </c>
      <c r="G39" s="125">
        <v>0</v>
      </c>
      <c r="H39" s="125">
        <v>0</v>
      </c>
      <c r="I39" s="125">
        <v>0</v>
      </c>
      <c r="J39" s="159">
        <v>0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0</v>
      </c>
      <c r="Q39" s="159">
        <v>0</v>
      </c>
      <c r="R39" s="157">
        <v>0</v>
      </c>
      <c r="S39" s="157">
        <v>0</v>
      </c>
      <c r="T39" s="157">
        <v>0</v>
      </c>
      <c r="U39" s="157">
        <v>0</v>
      </c>
      <c r="V39" s="157">
        <v>0</v>
      </c>
      <c r="W39" s="362">
        <v>0</v>
      </c>
      <c r="X39" s="362">
        <v>0</v>
      </c>
      <c r="Y39" s="362">
        <v>0</v>
      </c>
      <c r="Z39" s="157">
        <v>0</v>
      </c>
      <c r="AA39" s="157"/>
      <c r="AB39" s="126">
        <f t="shared" si="3"/>
        <v>0</v>
      </c>
      <c r="AC39" s="127">
        <f t="shared" si="4"/>
        <v>0</v>
      </c>
    </row>
    <row r="40" spans="1:30" x14ac:dyDescent="0.25">
      <c r="A40" s="124"/>
      <c r="B40" s="124"/>
      <c r="C40" s="124"/>
      <c r="D40" s="124"/>
      <c r="E40" s="124"/>
      <c r="F40" s="124"/>
      <c r="G40" s="119"/>
      <c r="H40" s="119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</row>
    <row r="41" spans="1:30" x14ac:dyDescent="0.25">
      <c r="A41" s="124" t="s">
        <v>11</v>
      </c>
      <c r="B41" s="125">
        <f t="shared" ref="B41:Z41" si="5">SUM(B28:B39)</f>
        <v>200.3</v>
      </c>
      <c r="C41" s="125">
        <f t="shared" si="5"/>
        <v>107.4</v>
      </c>
      <c r="D41" s="125">
        <f t="shared" si="5"/>
        <v>120.9</v>
      </c>
      <c r="E41" s="125">
        <f t="shared" si="5"/>
        <v>164.70000000000002</v>
      </c>
      <c r="F41" s="125">
        <f t="shared" si="5"/>
        <v>207.9</v>
      </c>
      <c r="G41" s="125">
        <f t="shared" si="5"/>
        <v>61</v>
      </c>
      <c r="H41" s="125">
        <f t="shared" si="5"/>
        <v>169.6</v>
      </c>
      <c r="I41" s="125">
        <f t="shared" si="5"/>
        <v>200.8</v>
      </c>
      <c r="J41" s="125">
        <f t="shared" si="5"/>
        <v>131</v>
      </c>
      <c r="K41" s="125">
        <f t="shared" si="5"/>
        <v>82.6</v>
      </c>
      <c r="L41" s="125">
        <f t="shared" si="5"/>
        <v>178.29999999999998</v>
      </c>
      <c r="M41" s="125">
        <f t="shared" si="5"/>
        <v>159.5</v>
      </c>
      <c r="N41" s="125">
        <f t="shared" si="5"/>
        <v>174.6</v>
      </c>
      <c r="O41" s="125">
        <f t="shared" si="5"/>
        <v>88.2</v>
      </c>
      <c r="P41" s="125">
        <f t="shared" si="5"/>
        <v>86</v>
      </c>
      <c r="Q41" s="125">
        <f t="shared" si="5"/>
        <v>221.39999999999998</v>
      </c>
      <c r="R41" s="125">
        <f t="shared" si="5"/>
        <v>190.89999999999998</v>
      </c>
      <c r="S41" s="125">
        <f t="shared" si="5"/>
        <v>210.10000000000002</v>
      </c>
      <c r="T41" s="125">
        <f t="shared" si="5"/>
        <v>111.9</v>
      </c>
      <c r="U41" s="125">
        <f t="shared" si="5"/>
        <v>67.899999999999991</v>
      </c>
      <c r="V41" s="125">
        <f t="shared" si="5"/>
        <v>145.19999999999999</v>
      </c>
      <c r="W41" s="125">
        <f t="shared" si="5"/>
        <v>200.2</v>
      </c>
      <c r="X41" s="125">
        <f t="shared" si="5"/>
        <v>86.6</v>
      </c>
      <c r="Y41" s="125">
        <f t="shared" si="5"/>
        <v>203.20000000000002</v>
      </c>
      <c r="Z41" s="125">
        <f t="shared" si="5"/>
        <v>104.2</v>
      </c>
      <c r="AA41" s="125"/>
      <c r="AB41" s="128"/>
      <c r="AC41" s="128"/>
    </row>
    <row r="42" spans="1:30" x14ac:dyDescent="0.25">
      <c r="A42" s="124"/>
      <c r="B42" s="124"/>
      <c r="C42" s="124"/>
      <c r="D42" s="124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U42" s="129"/>
      <c r="V42" s="129"/>
      <c r="W42" s="129"/>
      <c r="X42" s="129"/>
      <c r="Y42" s="129"/>
      <c r="Z42" s="129"/>
      <c r="AA42" s="129"/>
    </row>
    <row r="43" spans="1:30" x14ac:dyDescent="0.25">
      <c r="A43" s="124"/>
      <c r="B43" s="124"/>
      <c r="C43" s="124"/>
      <c r="D43" s="124"/>
      <c r="E43" s="119"/>
      <c r="F43" s="119"/>
      <c r="G43" s="119"/>
      <c r="H43" s="119"/>
      <c r="L43" s="129">
        <f>MIN(B41:Z41)</f>
        <v>61</v>
      </c>
    </row>
    <row r="44" spans="1:30" x14ac:dyDescent="0.25">
      <c r="A44" s="118"/>
      <c r="B44" s="118"/>
      <c r="C44" s="118"/>
      <c r="D44" s="118"/>
      <c r="E44" s="119"/>
      <c r="F44" s="119"/>
    </row>
  </sheetData>
  <customSheetViews>
    <customSheetView guid="{7481AE0E-2D6B-416C-8D95-7DAA8CA7C9F5}" fitToPage="1" topLeftCell="H25">
      <selection activeCell="X8" sqref="X8"/>
      <pageMargins left="0.5" right="0.5" top="0.75" bottom="0.75" header="0.5" footer="0.5"/>
      <pageSetup paperSize="5" scale="72" orientation="landscape" r:id="rId1"/>
      <headerFooter alignWithMargins="0">
        <oddFooter>&amp;L&amp;8&amp;D
&amp;Z&amp;F</oddFooter>
      </headerFooter>
    </customSheetView>
    <customSheetView guid="{4115F855-0BCB-4789-890B-F67D0AF20543}" fitToPage="1" topLeftCell="A16">
      <selection activeCell="AB28" sqref="AB28:AB39"/>
      <pageMargins left="0.5" right="0.5" top="0.75" bottom="0.75" header="0.5" footer="0.5"/>
      <pageSetup paperSize="5" scale="72" orientation="landscape" r:id="rId2"/>
      <headerFooter alignWithMargins="0">
        <oddFooter>&amp;L&amp;8&amp;D
&amp;Z&amp;F</oddFooter>
      </headerFooter>
    </customSheetView>
    <customSheetView guid="{DE47F5DD-3736-469D-8704-852547698004}" fitToPage="1" topLeftCell="E1">
      <selection activeCell="AC8" sqref="AC8"/>
      <pageMargins left="0.5" right="0.5" top="0.75" bottom="0.75" header="0.5" footer="0.5"/>
      <pageSetup paperSize="5" scale="72" orientation="landscape" r:id="rId3"/>
      <headerFooter alignWithMargins="0">
        <oddFooter>&amp;L&amp;8&amp;D
&amp;Z&amp;F</oddFooter>
      </headerFooter>
    </customSheetView>
  </customSheetViews>
  <mergeCells count="1">
    <mergeCell ref="D1:E1"/>
  </mergeCells>
  <pageMargins left="0.5" right="0.5" top="0.75" bottom="0.75" header="0.5" footer="0.5"/>
  <pageSetup paperSize="5" scale="59" orientation="landscape" r:id="rId4"/>
  <headerFooter alignWithMargins="0">
    <oddFooter>&amp;L&amp;8&amp;D
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B2:Q146"/>
  <sheetViews>
    <sheetView topLeftCell="A88" zoomScale="90" zoomScaleNormal="90" workbookViewId="0">
      <selection activeCell="D109" sqref="D109:E109"/>
    </sheetView>
  </sheetViews>
  <sheetFormatPr defaultRowHeight="12.5" x14ac:dyDescent="0.25"/>
  <cols>
    <col min="1" max="1" width="1.36328125" customWidth="1"/>
    <col min="2" max="2" width="31.6328125" bestFit="1" customWidth="1"/>
    <col min="3" max="3" width="18.90625" customWidth="1"/>
    <col min="4" max="4" width="15.36328125" customWidth="1"/>
    <col min="5" max="5" width="16" customWidth="1"/>
    <col min="6" max="6" width="16.08984375" customWidth="1"/>
    <col min="7" max="7" width="17.54296875" customWidth="1"/>
    <col min="8" max="8" width="23.453125" customWidth="1"/>
    <col min="10" max="10" width="31.453125" bestFit="1" customWidth="1"/>
    <col min="11" max="11" width="22.08984375" customWidth="1"/>
    <col min="13" max="13" width="10.6328125" bestFit="1" customWidth="1"/>
    <col min="14" max="14" width="29.54296875" bestFit="1" customWidth="1"/>
    <col min="15" max="15" width="11.54296875" bestFit="1" customWidth="1"/>
    <col min="17" max="17" width="11.54296875" bestFit="1" customWidth="1"/>
  </cols>
  <sheetData>
    <row r="2" spans="2:11" ht="13" thickBot="1" x14ac:dyDescent="0.3"/>
    <row r="3" spans="2:11" ht="13.5" thickBot="1" x14ac:dyDescent="0.35">
      <c r="B3" s="819" t="s">
        <v>292</v>
      </c>
      <c r="C3" s="820"/>
      <c r="D3" s="820"/>
      <c r="E3" s="821"/>
    </row>
    <row r="4" spans="2:11" ht="13" x14ac:dyDescent="0.3">
      <c r="B4" s="361" t="s">
        <v>296</v>
      </c>
      <c r="C4" s="62" t="s">
        <v>50</v>
      </c>
      <c r="D4" s="62" t="s">
        <v>51</v>
      </c>
      <c r="E4" s="360" t="s">
        <v>295</v>
      </c>
      <c r="J4" t="s">
        <v>310</v>
      </c>
      <c r="K4" s="495">
        <v>0.318</v>
      </c>
    </row>
    <row r="5" spans="2:11" x14ac:dyDescent="0.25">
      <c r="B5" s="73" t="s">
        <v>1</v>
      </c>
      <c r="C5" s="74">
        <f>Summary!L15</f>
        <v>32702467.451466747</v>
      </c>
      <c r="D5" s="75"/>
      <c r="E5" s="131">
        <f>2839/2901</f>
        <v>0.97862805928990004</v>
      </c>
      <c r="G5" s="50"/>
    </row>
    <row r="6" spans="2:11" x14ac:dyDescent="0.25">
      <c r="B6" s="73" t="s">
        <v>97</v>
      </c>
      <c r="C6" s="74">
        <f>Summary!L19</f>
        <v>10389918.544066932</v>
      </c>
      <c r="D6" s="75"/>
      <c r="E6" s="131">
        <f>340/380</f>
        <v>0.89473684210526316</v>
      </c>
      <c r="G6" s="50"/>
    </row>
    <row r="7" spans="2:11" x14ac:dyDescent="0.25">
      <c r="B7" s="378" t="s">
        <v>208</v>
      </c>
      <c r="C7" s="74">
        <f>Summary!L23</f>
        <v>15417467.870985707</v>
      </c>
      <c r="D7" s="76">
        <f>Summary!L24</f>
        <v>38397.067436687881</v>
      </c>
      <c r="E7" s="131">
        <f>6/28</f>
        <v>0.21428571428571427</v>
      </c>
      <c r="G7" s="50"/>
    </row>
    <row r="8" spans="2:11" x14ac:dyDescent="0.25">
      <c r="B8" s="73" t="s">
        <v>98</v>
      </c>
      <c r="C8" s="364">
        <v>0</v>
      </c>
      <c r="D8" s="76">
        <v>0</v>
      </c>
      <c r="E8" s="131">
        <v>0</v>
      </c>
      <c r="G8" s="50"/>
    </row>
    <row r="9" spans="2:11" x14ac:dyDescent="0.25">
      <c r="B9" s="73" t="s">
        <v>71</v>
      </c>
      <c r="C9" s="364">
        <v>0</v>
      </c>
      <c r="D9" s="76">
        <v>0</v>
      </c>
      <c r="E9" s="131">
        <v>0</v>
      </c>
      <c r="G9" s="50"/>
    </row>
    <row r="10" spans="2:11" x14ac:dyDescent="0.25">
      <c r="B10" s="73" t="s">
        <v>107</v>
      </c>
      <c r="C10" s="74">
        <f>Summary!L28</f>
        <v>24151.492038982986</v>
      </c>
      <c r="D10" s="76">
        <f>Summary!L29</f>
        <v>67.382247233170062</v>
      </c>
      <c r="E10" s="131">
        <f>33/34</f>
        <v>0.97058823529411764</v>
      </c>
      <c r="G10" s="50"/>
    </row>
    <row r="11" spans="2:11" x14ac:dyDescent="0.25">
      <c r="B11" s="73" t="s">
        <v>47</v>
      </c>
      <c r="C11" s="74">
        <f>Summary!L33</f>
        <v>224918.5</v>
      </c>
      <c r="D11" s="76">
        <f>Summary!L34</f>
        <v>659.99999999999829</v>
      </c>
      <c r="E11" s="131">
        <v>0</v>
      </c>
      <c r="G11" s="50"/>
    </row>
    <row r="12" spans="2:11" x14ac:dyDescent="0.25">
      <c r="B12" s="73" t="s">
        <v>2</v>
      </c>
      <c r="C12" s="74">
        <f>Summary!L38</f>
        <v>119334.39436616548</v>
      </c>
      <c r="D12" s="76"/>
      <c r="E12" s="131">
        <f>19/21</f>
        <v>0.90476190476190477</v>
      </c>
      <c r="G12" s="50"/>
    </row>
    <row r="13" spans="2:11" x14ac:dyDescent="0.25">
      <c r="B13" s="73" t="s">
        <v>99</v>
      </c>
      <c r="C13" s="74"/>
      <c r="D13" s="76"/>
      <c r="E13" s="131">
        <v>0</v>
      </c>
      <c r="G13" s="50"/>
    </row>
    <row r="14" spans="2:11" ht="13" x14ac:dyDescent="0.3">
      <c r="B14" s="77" t="s">
        <v>52</v>
      </c>
      <c r="C14" s="78">
        <f>SUM(C5:C13)</f>
        <v>58878258.252924532</v>
      </c>
      <c r="D14" s="78">
        <f>SUM(D5:D13)</f>
        <v>39124.449683921048</v>
      </c>
      <c r="E14" s="359"/>
    </row>
    <row r="15" spans="2:11" x14ac:dyDescent="0.25">
      <c r="C15" s="53"/>
      <c r="D15" s="53"/>
    </row>
    <row r="17" spans="2:17" ht="13" x14ac:dyDescent="0.3">
      <c r="B17" s="132" t="s">
        <v>53</v>
      </c>
      <c r="C17" s="822" t="s">
        <v>293</v>
      </c>
      <c r="D17" s="807" t="s">
        <v>294</v>
      </c>
      <c r="E17" s="809">
        <v>2020</v>
      </c>
      <c r="F17" s="810"/>
      <c r="G17" s="811"/>
      <c r="J17" s="132" t="s">
        <v>55</v>
      </c>
      <c r="K17" s="822" t="s">
        <v>293</v>
      </c>
      <c r="L17" s="807" t="s">
        <v>294</v>
      </c>
      <c r="M17" s="809">
        <v>2020</v>
      </c>
      <c r="N17" s="810"/>
      <c r="O17" s="811"/>
    </row>
    <row r="18" spans="2:17" ht="13" x14ac:dyDescent="0.3">
      <c r="B18" s="133" t="s">
        <v>54</v>
      </c>
      <c r="C18" s="823"/>
      <c r="D18" s="808"/>
      <c r="E18" s="812"/>
      <c r="F18" s="813"/>
      <c r="G18" s="814"/>
      <c r="J18" s="133" t="s">
        <v>56</v>
      </c>
      <c r="K18" s="823"/>
      <c r="L18" s="808"/>
      <c r="M18" s="812"/>
      <c r="N18" s="813"/>
      <c r="O18" s="814"/>
    </row>
    <row r="19" spans="2:17" x14ac:dyDescent="0.25">
      <c r="B19" s="58" t="str">
        <f>B5</f>
        <v xml:space="preserve">Residential </v>
      </c>
      <c r="C19" s="74">
        <f t="shared" ref="C19:C27" si="0">C5*E5</f>
        <v>32003552.256020024</v>
      </c>
      <c r="D19" s="80">
        <f>'Rate Class Energy Model'!$F$27</f>
        <v>1.0672999999999999</v>
      </c>
      <c r="E19" s="81">
        <f t="shared" ref="E19:E27" si="1">C19*D19</f>
        <v>34157391.322850168</v>
      </c>
      <c r="F19" s="146">
        <f>128.03/1000</f>
        <v>0.12803</v>
      </c>
      <c r="G19" s="83">
        <f>(E19*F19)</f>
        <v>4373170.8110645069</v>
      </c>
      <c r="J19" s="58" t="str">
        <f>B19</f>
        <v xml:space="preserve">Residential </v>
      </c>
      <c r="K19" s="74">
        <f t="shared" ref="K19:K27" si="2">C5-C19</f>
        <v>698915.19544672221</v>
      </c>
      <c r="L19" s="75">
        <f t="shared" ref="L19:L27" si="3">D19</f>
        <v>1.0672999999999999</v>
      </c>
      <c r="M19" s="81">
        <f t="shared" ref="M19:M27" si="4">K19*L19</f>
        <v>745952.18810028653</v>
      </c>
      <c r="N19" s="82">
        <v>2.009E-2</v>
      </c>
      <c r="O19" s="83">
        <f>(M19*N19)</f>
        <v>14986.179458934757</v>
      </c>
    </row>
    <row r="20" spans="2:17" x14ac:dyDescent="0.25">
      <c r="B20" s="58" t="str">
        <f>B6</f>
        <v>General Service &lt; 50 kW</v>
      </c>
      <c r="C20" s="74">
        <f t="shared" si="0"/>
        <v>9296242.9078493603</v>
      </c>
      <c r="D20" s="80">
        <f>'Rate Class Energy Model'!$F$27</f>
        <v>1.0672999999999999</v>
      </c>
      <c r="E20" s="81">
        <f t="shared" si="1"/>
        <v>9921880.0555476211</v>
      </c>
      <c r="F20" s="146">
        <f>$F$19</f>
        <v>0.12803</v>
      </c>
      <c r="G20" s="83">
        <f t="shared" ref="G20:G27" si="5">(E20*F20)</f>
        <v>1270298.3035117621</v>
      </c>
      <c r="J20" s="58" t="str">
        <f>B20</f>
        <v>General Service &lt; 50 kW</v>
      </c>
      <c r="K20" s="74">
        <f t="shared" si="2"/>
        <v>1093675.6362175718</v>
      </c>
      <c r="L20" s="75">
        <f t="shared" si="3"/>
        <v>1.0672999999999999</v>
      </c>
      <c r="M20" s="81">
        <f t="shared" si="4"/>
        <v>1167280.0065350144</v>
      </c>
      <c r="N20" s="82">
        <f t="shared" ref="N20:N27" si="6">$N$19</f>
        <v>2.009E-2</v>
      </c>
      <c r="O20" s="83">
        <f t="shared" ref="O20:O27" si="7">(M20*N20)</f>
        <v>23450.655331288439</v>
      </c>
    </row>
    <row r="21" spans="2:17" x14ac:dyDescent="0.25">
      <c r="B21" s="58" t="str">
        <f>B7</f>
        <v>General Service &gt; 50 to 4999 kW</v>
      </c>
      <c r="C21" s="74">
        <f t="shared" si="0"/>
        <v>3303743.1152112228</v>
      </c>
      <c r="D21" s="80">
        <f>'Rate Class Energy Model'!$F$27</f>
        <v>1.0672999999999999</v>
      </c>
      <c r="E21" s="81">
        <f t="shared" si="1"/>
        <v>3526085.026864938</v>
      </c>
      <c r="F21" s="146">
        <f t="shared" ref="F21:F27" si="8">$F$19</f>
        <v>0.12803</v>
      </c>
      <c r="G21" s="83">
        <f t="shared" si="5"/>
        <v>451444.66598951805</v>
      </c>
      <c r="J21" s="58" t="str">
        <f>B21</f>
        <v>General Service &gt; 50 to 4999 kW</v>
      </c>
      <c r="K21" s="74">
        <f t="shared" si="2"/>
        <v>12113724.755774485</v>
      </c>
      <c r="L21" s="75">
        <f t="shared" si="3"/>
        <v>1.0672999999999999</v>
      </c>
      <c r="M21" s="81">
        <f t="shared" si="4"/>
        <v>12928978.431838106</v>
      </c>
      <c r="N21" s="82">
        <f t="shared" si="6"/>
        <v>2.009E-2</v>
      </c>
      <c r="O21" s="83">
        <f t="shared" si="7"/>
        <v>259743.17669562757</v>
      </c>
    </row>
    <row r="22" spans="2:17" x14ac:dyDescent="0.25">
      <c r="B22" s="58" t="str">
        <f>B8</f>
        <v>General Service &gt; 1000 to 4999 kW</v>
      </c>
      <c r="C22" s="74">
        <f t="shared" si="0"/>
        <v>0</v>
      </c>
      <c r="D22" s="80">
        <f>'Rate Class Energy Model'!$F$27</f>
        <v>1.0672999999999999</v>
      </c>
      <c r="E22" s="81">
        <f t="shared" si="1"/>
        <v>0</v>
      </c>
      <c r="F22" s="146">
        <f t="shared" si="8"/>
        <v>0.12803</v>
      </c>
      <c r="G22" s="83">
        <f t="shared" si="5"/>
        <v>0</v>
      </c>
      <c r="J22" s="58" t="str">
        <f>B22</f>
        <v>General Service &gt; 1000 to 4999 kW</v>
      </c>
      <c r="K22" s="74">
        <f t="shared" si="2"/>
        <v>0</v>
      </c>
      <c r="L22" s="75">
        <f t="shared" si="3"/>
        <v>1.0672999999999999</v>
      </c>
      <c r="M22" s="81">
        <f t="shared" si="4"/>
        <v>0</v>
      </c>
      <c r="N22" s="82">
        <f t="shared" si="6"/>
        <v>2.009E-2</v>
      </c>
      <c r="O22" s="83">
        <f t="shared" si="7"/>
        <v>0</v>
      </c>
    </row>
    <row r="23" spans="2:17" x14ac:dyDescent="0.25">
      <c r="B23" s="58" t="str">
        <f>B9</f>
        <v>Large User</v>
      </c>
      <c r="C23" s="74">
        <f t="shared" si="0"/>
        <v>0</v>
      </c>
      <c r="D23" s="80">
        <f>'Rate Class Energy Model'!$F$27</f>
        <v>1.0672999999999999</v>
      </c>
      <c r="E23" s="81">
        <f t="shared" si="1"/>
        <v>0</v>
      </c>
      <c r="F23" s="146">
        <f t="shared" si="8"/>
        <v>0.12803</v>
      </c>
      <c r="G23" s="83">
        <f t="shared" si="5"/>
        <v>0</v>
      </c>
      <c r="J23" s="58" t="str">
        <f>B23</f>
        <v>Large User</v>
      </c>
      <c r="K23" s="74">
        <f t="shared" si="2"/>
        <v>0</v>
      </c>
      <c r="L23" s="75">
        <f t="shared" si="3"/>
        <v>1.0672999999999999</v>
      </c>
      <c r="M23" s="81">
        <f t="shared" si="4"/>
        <v>0</v>
      </c>
      <c r="N23" s="82">
        <f t="shared" si="6"/>
        <v>2.009E-2</v>
      </c>
      <c r="O23" s="83">
        <f t="shared" si="7"/>
        <v>0</v>
      </c>
    </row>
    <row r="24" spans="2:17" x14ac:dyDescent="0.25">
      <c r="B24" s="73" t="s">
        <v>107</v>
      </c>
      <c r="C24" s="74">
        <f t="shared" si="0"/>
        <v>23441.154037836426</v>
      </c>
      <c r="D24" s="80">
        <f>'Rate Class Energy Model'!$F$27</f>
        <v>1.0672999999999999</v>
      </c>
      <c r="E24" s="81">
        <f t="shared" si="1"/>
        <v>25018.743704582816</v>
      </c>
      <c r="F24" s="146">
        <f t="shared" si="8"/>
        <v>0.12803</v>
      </c>
      <c r="G24" s="83">
        <f t="shared" si="5"/>
        <v>3203.1497564977381</v>
      </c>
      <c r="J24" s="73" t="s">
        <v>107</v>
      </c>
      <c r="K24" s="74">
        <f t="shared" si="2"/>
        <v>710.33800114655969</v>
      </c>
      <c r="L24" s="75">
        <f t="shared" si="3"/>
        <v>1.0672999999999999</v>
      </c>
      <c r="M24" s="81">
        <f t="shared" ref="M24" si="9">K24*L24</f>
        <v>758.14374862372313</v>
      </c>
      <c r="N24" s="82">
        <f t="shared" si="6"/>
        <v>2.009E-2</v>
      </c>
      <c r="O24" s="83">
        <f t="shared" si="7"/>
        <v>15.231107909850598</v>
      </c>
    </row>
    <row r="25" spans="2:17" x14ac:dyDescent="0.25">
      <c r="B25" s="58" t="str">
        <f>B11</f>
        <v>Street Lights</v>
      </c>
      <c r="C25" s="74">
        <f t="shared" si="0"/>
        <v>0</v>
      </c>
      <c r="D25" s="80">
        <f>'Rate Class Energy Model'!$F$27</f>
        <v>1.0672999999999999</v>
      </c>
      <c r="E25" s="81">
        <f t="shared" si="1"/>
        <v>0</v>
      </c>
      <c r="F25" s="146">
        <f t="shared" si="8"/>
        <v>0.12803</v>
      </c>
      <c r="G25" s="83">
        <f t="shared" si="5"/>
        <v>0</v>
      </c>
      <c r="J25" s="58" t="str">
        <f>B25</f>
        <v>Street Lights</v>
      </c>
      <c r="K25" s="74">
        <f t="shared" si="2"/>
        <v>224918.5</v>
      </c>
      <c r="L25" s="75">
        <f t="shared" si="3"/>
        <v>1.0672999999999999</v>
      </c>
      <c r="M25" s="81">
        <f t="shared" si="4"/>
        <v>240055.51504999999</v>
      </c>
      <c r="N25" s="82">
        <f t="shared" si="6"/>
        <v>2.009E-2</v>
      </c>
      <c r="O25" s="83">
        <f t="shared" si="7"/>
        <v>4822.7152973544999</v>
      </c>
    </row>
    <row r="26" spans="2:17" x14ac:dyDescent="0.25">
      <c r="B26" s="58" t="str">
        <f>B12</f>
        <v xml:space="preserve">Unmetered Loads </v>
      </c>
      <c r="C26" s="74">
        <f t="shared" si="0"/>
        <v>107969.2139503402</v>
      </c>
      <c r="D26" s="80">
        <f>'Rate Class Energy Model'!$F$27</f>
        <v>1.0672999999999999</v>
      </c>
      <c r="E26" s="81">
        <f t="shared" si="1"/>
        <v>115235.54204919809</v>
      </c>
      <c r="F26" s="146">
        <f t="shared" si="8"/>
        <v>0.12803</v>
      </c>
      <c r="G26" s="83">
        <f t="shared" si="5"/>
        <v>14753.606448558832</v>
      </c>
      <c r="J26" s="58" t="str">
        <f>B26</f>
        <v xml:space="preserve">Unmetered Loads </v>
      </c>
      <c r="K26" s="74">
        <f t="shared" si="2"/>
        <v>11365.180415825278</v>
      </c>
      <c r="L26" s="75">
        <f t="shared" si="3"/>
        <v>1.0672999999999999</v>
      </c>
      <c r="M26" s="81">
        <f t="shared" si="4"/>
        <v>12130.057057810318</v>
      </c>
      <c r="N26" s="82">
        <f t="shared" si="6"/>
        <v>2.009E-2</v>
      </c>
      <c r="O26" s="83">
        <f t="shared" si="7"/>
        <v>243.6928462914093</v>
      </c>
    </row>
    <row r="27" spans="2:17" x14ac:dyDescent="0.25">
      <c r="B27" s="58" t="str">
        <f>B13</f>
        <v>Embedded Distributors - Hydro One</v>
      </c>
      <c r="C27" s="74">
        <f t="shared" si="0"/>
        <v>0</v>
      </c>
      <c r="D27" s="80">
        <f>'Rate Class Energy Model'!$F$27</f>
        <v>1.0672999999999999</v>
      </c>
      <c r="E27" s="81">
        <f t="shared" si="1"/>
        <v>0</v>
      </c>
      <c r="F27" s="146">
        <f t="shared" si="8"/>
        <v>0.12803</v>
      </c>
      <c r="G27" s="83">
        <f t="shared" si="5"/>
        <v>0</v>
      </c>
      <c r="J27" s="58" t="str">
        <f>B27</f>
        <v>Embedded Distributors - Hydro One</v>
      </c>
      <c r="K27" s="74">
        <f t="shared" si="2"/>
        <v>0</v>
      </c>
      <c r="L27" s="75">
        <f t="shared" si="3"/>
        <v>1.0672999999999999</v>
      </c>
      <c r="M27" s="81">
        <f t="shared" si="4"/>
        <v>0</v>
      </c>
      <c r="N27" s="82">
        <f t="shared" si="6"/>
        <v>2.009E-2</v>
      </c>
      <c r="O27" s="83">
        <f t="shared" si="7"/>
        <v>0</v>
      </c>
    </row>
    <row r="28" spans="2:17" ht="13" x14ac:dyDescent="0.3">
      <c r="B28" s="77" t="s">
        <v>52</v>
      </c>
      <c r="C28" s="78">
        <f>SUM(C19:C27)</f>
        <v>44734948.647068784</v>
      </c>
      <c r="D28" s="79"/>
      <c r="E28" s="78">
        <f>SUM(E19:E27)</f>
        <v>47745610.69101651</v>
      </c>
      <c r="F28" s="147"/>
      <c r="G28" s="85">
        <f>SUM(G19:G27)</f>
        <v>6112870.5367708439</v>
      </c>
      <c r="J28" s="77" t="s">
        <v>52</v>
      </c>
      <c r="K28" s="78">
        <f>SUM(K19:K27)</f>
        <v>14143309.605855752</v>
      </c>
      <c r="L28" s="79"/>
      <c r="M28" s="78">
        <f>SUM(M19:M27)</f>
        <v>15095154.342329843</v>
      </c>
      <c r="N28" s="84"/>
      <c r="O28" s="85">
        <f>SUM(O19:O27)</f>
        <v>303261.65073740657</v>
      </c>
      <c r="Q28" s="618">
        <f>O28+G28</f>
        <v>6416132.1875082506</v>
      </c>
    </row>
    <row r="29" spans="2:17" ht="13" x14ac:dyDescent="0.3">
      <c r="B29" s="86"/>
      <c r="C29" s="87"/>
      <c r="D29" s="88"/>
      <c r="E29" s="87"/>
      <c r="F29" s="89"/>
      <c r="G29" s="90"/>
    </row>
    <row r="30" spans="2:17" ht="39" x14ac:dyDescent="0.3">
      <c r="B30" s="132" t="s">
        <v>319</v>
      </c>
      <c r="C30" s="606" t="s">
        <v>307</v>
      </c>
      <c r="D30" s="608" t="s">
        <v>294</v>
      </c>
      <c r="E30" s="610">
        <v>2021</v>
      </c>
      <c r="F30" s="611"/>
      <c r="G30" s="612"/>
      <c r="J30" s="132" t="s">
        <v>319</v>
      </c>
      <c r="K30" s="606" t="s">
        <v>307</v>
      </c>
      <c r="L30" s="608" t="s">
        <v>294</v>
      </c>
      <c r="M30" s="610">
        <v>2021</v>
      </c>
      <c r="N30" s="611"/>
      <c r="O30" s="612"/>
    </row>
    <row r="31" spans="2:17" ht="13" x14ac:dyDescent="0.3">
      <c r="B31" s="133" t="s">
        <v>54</v>
      </c>
      <c r="C31" s="607"/>
      <c r="D31" s="609"/>
      <c r="E31" s="613"/>
      <c r="F31" s="614"/>
      <c r="G31" s="615"/>
      <c r="J31" s="133" t="s">
        <v>54</v>
      </c>
      <c r="K31" s="607"/>
      <c r="L31" s="609"/>
      <c r="M31" s="613"/>
      <c r="N31" s="614"/>
      <c r="O31" s="615"/>
    </row>
    <row r="32" spans="2:17" x14ac:dyDescent="0.25">
      <c r="B32" s="58" t="s">
        <v>1</v>
      </c>
      <c r="C32" s="74">
        <v>0</v>
      </c>
      <c r="D32" s="80">
        <f>D19</f>
        <v>1.0672999999999999</v>
      </c>
      <c r="E32" s="81">
        <v>0</v>
      </c>
      <c r="F32" s="146">
        <v>0.10693999999999999</v>
      </c>
      <c r="G32" s="83">
        <v>0</v>
      </c>
      <c r="J32" s="58" t="s">
        <v>1</v>
      </c>
      <c r="K32" s="74">
        <v>714915.60801040009</v>
      </c>
      <c r="L32" s="80">
        <f>L19</f>
        <v>1.0672999999999999</v>
      </c>
      <c r="M32" s="81">
        <f>M19</f>
        <v>745952.18810028653</v>
      </c>
      <c r="N32" s="146">
        <v>0.10693999999999999</v>
      </c>
      <c r="O32" s="83">
        <f>M32*N32</f>
        <v>79772.126995444632</v>
      </c>
    </row>
    <row r="33" spans="2:17" x14ac:dyDescent="0.25">
      <c r="B33" s="58" t="s">
        <v>97</v>
      </c>
      <c r="C33" s="74">
        <v>0</v>
      </c>
      <c r="D33" s="80">
        <f t="shared" ref="D33:D40" si="10">D20</f>
        <v>1.0672999999999999</v>
      </c>
      <c r="E33" s="81">
        <v>0</v>
      </c>
      <c r="F33" s="146">
        <v>0.10693999999999999</v>
      </c>
      <c r="G33" s="83">
        <v>0</v>
      </c>
      <c r="J33" s="58" t="s">
        <v>97</v>
      </c>
      <c r="K33" s="74">
        <v>944785.76606739312</v>
      </c>
      <c r="L33" s="80">
        <f t="shared" ref="L33:L40" si="11">L20</f>
        <v>1.0672999999999999</v>
      </c>
      <c r="M33" s="81">
        <f>M20</f>
        <v>1167280.0065350144</v>
      </c>
      <c r="N33" s="146">
        <v>0.10693999999999999</v>
      </c>
      <c r="O33" s="83">
        <f t="shared" ref="O33:O40" si="12">M33*N33</f>
        <v>124828.92389885442</v>
      </c>
    </row>
    <row r="34" spans="2:17" x14ac:dyDescent="0.25">
      <c r="B34" s="58" t="s">
        <v>208</v>
      </c>
      <c r="C34" s="74">
        <v>0</v>
      </c>
      <c r="D34" s="80">
        <f t="shared" si="10"/>
        <v>1.0672999999999999</v>
      </c>
      <c r="E34" s="81">
        <v>0</v>
      </c>
      <c r="F34" s="146">
        <v>0.10693999999999999</v>
      </c>
      <c r="G34" s="83">
        <v>0</v>
      </c>
      <c r="J34" s="58" t="s">
        <v>208</v>
      </c>
      <c r="K34" s="74">
        <v>10567935.362638757</v>
      </c>
      <c r="L34" s="80">
        <f t="shared" si="11"/>
        <v>1.0672999999999999</v>
      </c>
      <c r="M34" s="81">
        <f>M21</f>
        <v>12928978.431838106</v>
      </c>
      <c r="N34" s="146">
        <v>0.10693999999999999</v>
      </c>
      <c r="O34" s="83">
        <f t="shared" si="12"/>
        <v>1382624.953500767</v>
      </c>
    </row>
    <row r="35" spans="2:17" x14ac:dyDescent="0.25">
      <c r="B35" s="58" t="s">
        <v>98</v>
      </c>
      <c r="C35" s="74">
        <v>0</v>
      </c>
      <c r="D35" s="80">
        <f t="shared" si="10"/>
        <v>1.0672999999999999</v>
      </c>
      <c r="E35" s="81">
        <v>0</v>
      </c>
      <c r="F35" s="146">
        <v>0.10693999999999999</v>
      </c>
      <c r="G35" s="83">
        <v>0</v>
      </c>
      <c r="J35" s="58" t="s">
        <v>98</v>
      </c>
      <c r="K35" s="74">
        <v>0</v>
      </c>
      <c r="L35" s="80">
        <f t="shared" si="11"/>
        <v>1.0672999999999999</v>
      </c>
      <c r="M35" s="81">
        <v>0</v>
      </c>
      <c r="N35" s="146">
        <v>0.10693999999999999</v>
      </c>
      <c r="O35" s="83">
        <f t="shared" si="12"/>
        <v>0</v>
      </c>
    </row>
    <row r="36" spans="2:17" x14ac:dyDescent="0.25">
      <c r="B36" s="58" t="s">
        <v>71</v>
      </c>
      <c r="C36" s="74">
        <v>0</v>
      </c>
      <c r="D36" s="80">
        <f t="shared" si="10"/>
        <v>1.0672999999999999</v>
      </c>
      <c r="E36" s="81">
        <v>0</v>
      </c>
      <c r="F36" s="146">
        <v>0.10693999999999999</v>
      </c>
      <c r="G36" s="83">
        <v>0</v>
      </c>
      <c r="J36" s="58" t="s">
        <v>71</v>
      </c>
      <c r="K36" s="74">
        <v>0</v>
      </c>
      <c r="L36" s="80">
        <f t="shared" si="11"/>
        <v>1.0672999999999999</v>
      </c>
      <c r="M36" s="81">
        <v>0</v>
      </c>
      <c r="N36" s="146">
        <v>0.10693999999999999</v>
      </c>
      <c r="O36" s="83">
        <f t="shared" si="12"/>
        <v>0</v>
      </c>
    </row>
    <row r="37" spans="2:17" x14ac:dyDescent="0.25">
      <c r="B37" s="58" t="s">
        <v>107</v>
      </c>
      <c r="C37" s="74">
        <v>0</v>
      </c>
      <c r="D37" s="80">
        <f t="shared" si="10"/>
        <v>1.0672999999999999</v>
      </c>
      <c r="E37" s="81">
        <v>0</v>
      </c>
      <c r="F37" s="146">
        <v>0.10693999999999999</v>
      </c>
      <c r="G37" s="83">
        <v>0</v>
      </c>
      <c r="J37" s="58" t="s">
        <v>107</v>
      </c>
      <c r="K37" s="74">
        <v>712.79411764705901</v>
      </c>
      <c r="L37" s="80">
        <f t="shared" si="11"/>
        <v>1.0672999999999999</v>
      </c>
      <c r="M37" s="81">
        <f>M24</f>
        <v>758.14374862372313</v>
      </c>
      <c r="N37" s="146">
        <v>0.10693999999999999</v>
      </c>
      <c r="O37" s="83">
        <f t="shared" si="12"/>
        <v>81.075892477820943</v>
      </c>
    </row>
    <row r="38" spans="2:17" x14ac:dyDescent="0.25">
      <c r="B38" s="58" t="s">
        <v>47</v>
      </c>
      <c r="C38" s="74">
        <v>0</v>
      </c>
      <c r="D38" s="80">
        <f t="shared" si="10"/>
        <v>1.0672999999999999</v>
      </c>
      <c r="E38" s="81">
        <v>0</v>
      </c>
      <c r="F38" s="146">
        <v>0.10693999999999999</v>
      </c>
      <c r="G38" s="83">
        <v>0</v>
      </c>
      <c r="J38" s="58" t="s">
        <v>47</v>
      </c>
      <c r="K38" s="74">
        <v>340080</v>
      </c>
      <c r="L38" s="80">
        <f t="shared" si="11"/>
        <v>1.0672999999999999</v>
      </c>
      <c r="M38" s="81">
        <f>M25</f>
        <v>240055.51504999999</v>
      </c>
      <c r="N38" s="146">
        <v>0.10693999999999999</v>
      </c>
      <c r="O38" s="83">
        <f t="shared" si="12"/>
        <v>25671.536779446997</v>
      </c>
    </row>
    <row r="39" spans="2:17" x14ac:dyDescent="0.25">
      <c r="B39" s="58" t="s">
        <v>2</v>
      </c>
      <c r="C39" s="74">
        <v>0</v>
      </c>
      <c r="D39" s="80">
        <f t="shared" si="10"/>
        <v>1.0672999999999999</v>
      </c>
      <c r="E39" s="81">
        <v>0</v>
      </c>
      <c r="F39" s="146">
        <v>0.10693999999999999</v>
      </c>
      <c r="G39" s="83">
        <v>0</v>
      </c>
      <c r="J39" s="58" t="s">
        <v>2</v>
      </c>
      <c r="K39" s="74">
        <v>0</v>
      </c>
      <c r="L39" s="80">
        <f t="shared" si="11"/>
        <v>1.0672999999999999</v>
      </c>
      <c r="M39" s="81">
        <v>0</v>
      </c>
      <c r="N39" s="146">
        <v>0.10693999999999999</v>
      </c>
      <c r="O39" s="83">
        <f t="shared" si="12"/>
        <v>0</v>
      </c>
    </row>
    <row r="40" spans="2:17" x14ac:dyDescent="0.25">
      <c r="B40" s="58" t="s">
        <v>99</v>
      </c>
      <c r="C40" s="74">
        <v>0</v>
      </c>
      <c r="D40" s="80">
        <f t="shared" si="10"/>
        <v>1.0672999999999999</v>
      </c>
      <c r="E40" s="81">
        <v>0</v>
      </c>
      <c r="F40" s="146">
        <v>0.10693999999999999</v>
      </c>
      <c r="G40" s="83">
        <v>0</v>
      </c>
      <c r="J40" s="58" t="s">
        <v>99</v>
      </c>
      <c r="K40" s="74">
        <v>0</v>
      </c>
      <c r="L40" s="80">
        <f t="shared" si="11"/>
        <v>1.0672999999999999</v>
      </c>
      <c r="M40" s="81">
        <v>0</v>
      </c>
      <c r="N40" s="146">
        <v>0.10693999999999999</v>
      </c>
      <c r="O40" s="83">
        <f t="shared" si="12"/>
        <v>0</v>
      </c>
    </row>
    <row r="41" spans="2:17" ht="13" x14ac:dyDescent="0.3">
      <c r="B41" s="77" t="s">
        <v>52</v>
      </c>
      <c r="C41" s="78">
        <v>0</v>
      </c>
      <c r="D41" s="79"/>
      <c r="E41" s="78">
        <v>0</v>
      </c>
      <c r="F41" s="147"/>
      <c r="G41" s="85">
        <v>0</v>
      </c>
      <c r="J41" s="77" t="s">
        <v>52</v>
      </c>
      <c r="K41" s="78">
        <v>12568429.530834196</v>
      </c>
      <c r="L41" s="79"/>
      <c r="M41" s="78">
        <v>13360240.59127675</v>
      </c>
      <c r="N41" s="147"/>
      <c r="O41" s="85">
        <f>SUM(O32:O40)</f>
        <v>1612978.6170669908</v>
      </c>
      <c r="Q41" s="618">
        <f>O41+G41</f>
        <v>1612978.6170669908</v>
      </c>
    </row>
    <row r="43" spans="2:17" ht="13" x14ac:dyDescent="0.3">
      <c r="B43" s="134" t="s">
        <v>57</v>
      </c>
      <c r="C43" s="135"/>
      <c r="D43" s="136" t="s">
        <v>58</v>
      </c>
      <c r="E43" s="137"/>
      <c r="F43" s="138"/>
      <c r="G43" s="135"/>
      <c r="J43" s="134" t="s">
        <v>57</v>
      </c>
      <c r="K43" s="135"/>
      <c r="L43" s="136" t="s">
        <v>58</v>
      </c>
      <c r="M43" s="136"/>
      <c r="N43" s="619"/>
      <c r="O43" s="620"/>
    </row>
    <row r="44" spans="2:17" ht="13" x14ac:dyDescent="0.3">
      <c r="B44" s="133" t="s">
        <v>56</v>
      </c>
      <c r="C44" s="145"/>
      <c r="D44" s="139" t="s">
        <v>59</v>
      </c>
      <c r="E44" s="812" t="s">
        <v>318</v>
      </c>
      <c r="F44" s="813"/>
      <c r="G44" s="814"/>
      <c r="J44" s="133" t="s">
        <v>56</v>
      </c>
      <c r="K44" s="615"/>
      <c r="L44" s="139" t="s">
        <v>59</v>
      </c>
      <c r="M44" s="621"/>
      <c r="N44" s="621" t="s">
        <v>318</v>
      </c>
      <c r="O44" s="615"/>
    </row>
    <row r="45" spans="2:17" x14ac:dyDescent="0.25">
      <c r="B45" s="91" t="str">
        <f>J19</f>
        <v xml:space="preserve">Residential </v>
      </c>
      <c r="C45" s="81"/>
      <c r="D45" s="92" t="s">
        <v>50</v>
      </c>
      <c r="E45" s="81">
        <f>E19</f>
        <v>34157391.322850168</v>
      </c>
      <c r="F45" s="148">
        <v>6.3E-3</v>
      </c>
      <c r="G45" s="83">
        <f>(E45*F45)</f>
        <v>215191.56533395607</v>
      </c>
      <c r="J45" s="91" t="s">
        <v>1</v>
      </c>
      <c r="K45" s="81"/>
      <c r="L45" s="92" t="s">
        <v>50</v>
      </c>
      <c r="M45" s="81">
        <f>M32</f>
        <v>745952.18810028653</v>
      </c>
      <c r="N45" s="148">
        <v>6.3E-3</v>
      </c>
      <c r="O45" s="83">
        <f>M45*N45</f>
        <v>4699.4987850318048</v>
      </c>
    </row>
    <row r="46" spans="2:17" x14ac:dyDescent="0.25">
      <c r="B46" s="91" t="str">
        <f>J20</f>
        <v>General Service &lt; 50 kW</v>
      </c>
      <c r="C46" s="81"/>
      <c r="D46" s="92" t="s">
        <v>50</v>
      </c>
      <c r="E46" s="81">
        <f>E20</f>
        <v>9921880.0555476211</v>
      </c>
      <c r="F46" s="148">
        <v>5.8999999999999999E-3</v>
      </c>
      <c r="G46" s="83">
        <f t="shared" ref="G46:G53" si="13">E46*F46</f>
        <v>58539.092327730963</v>
      </c>
      <c r="J46" s="91" t="s">
        <v>97</v>
      </c>
      <c r="K46" s="81"/>
      <c r="L46" s="92" t="s">
        <v>50</v>
      </c>
      <c r="M46" s="81">
        <f>M33</f>
        <v>1167280.0065350144</v>
      </c>
      <c r="N46" s="148">
        <v>5.8999999999999999E-3</v>
      </c>
      <c r="O46" s="83">
        <f t="shared" ref="O46:O53" si="14">M46*N46</f>
        <v>6886.9520385565847</v>
      </c>
    </row>
    <row r="47" spans="2:17" x14ac:dyDescent="0.25">
      <c r="B47" s="91" t="str">
        <f>J21</f>
        <v>General Service &gt; 50 to 4999 kW</v>
      </c>
      <c r="C47" s="81"/>
      <c r="D47" s="92" t="s">
        <v>51</v>
      </c>
      <c r="E47" s="81">
        <v>0</v>
      </c>
      <c r="F47" s="148">
        <v>2.3681000000000001</v>
      </c>
      <c r="G47" s="83">
        <f t="shared" si="13"/>
        <v>0</v>
      </c>
      <c r="J47" s="91" t="s">
        <v>208</v>
      </c>
      <c r="K47" s="81"/>
      <c r="L47" s="92" t="s">
        <v>51</v>
      </c>
      <c r="M47" s="81">
        <f>D7</f>
        <v>38397.067436687881</v>
      </c>
      <c r="N47" s="148">
        <v>2.3681000000000001</v>
      </c>
      <c r="O47" s="83">
        <f t="shared" si="14"/>
        <v>90928.095396820572</v>
      </c>
    </row>
    <row r="48" spans="2:17" x14ac:dyDescent="0.25">
      <c r="B48" s="91" t="str">
        <f>J22</f>
        <v>General Service &gt; 1000 to 4999 kW</v>
      </c>
      <c r="C48" s="81"/>
      <c r="D48" s="92" t="s">
        <v>51</v>
      </c>
      <c r="E48" s="81">
        <f>D8</f>
        <v>0</v>
      </c>
      <c r="F48" s="148">
        <v>0</v>
      </c>
      <c r="G48" s="83">
        <f t="shared" si="13"/>
        <v>0</v>
      </c>
      <c r="J48" s="91" t="s">
        <v>98</v>
      </c>
      <c r="K48" s="81"/>
      <c r="L48" s="92" t="s">
        <v>51</v>
      </c>
      <c r="M48" s="81">
        <v>0</v>
      </c>
      <c r="N48" s="148">
        <v>0</v>
      </c>
      <c r="O48" s="83">
        <f t="shared" si="14"/>
        <v>0</v>
      </c>
    </row>
    <row r="49" spans="2:17" x14ac:dyDescent="0.25">
      <c r="B49" s="91" t="str">
        <f>J23</f>
        <v>Large User</v>
      </c>
      <c r="C49" s="81"/>
      <c r="D49" s="92" t="s">
        <v>51</v>
      </c>
      <c r="E49" s="81">
        <f>D9</f>
        <v>0</v>
      </c>
      <c r="F49" s="148">
        <v>0</v>
      </c>
      <c r="G49" s="83">
        <f t="shared" si="13"/>
        <v>0</v>
      </c>
      <c r="J49" s="91" t="s">
        <v>71</v>
      </c>
      <c r="K49" s="81"/>
      <c r="L49" s="92" t="s">
        <v>51</v>
      </c>
      <c r="M49" s="81">
        <v>0</v>
      </c>
      <c r="N49" s="148">
        <v>0</v>
      </c>
      <c r="O49" s="83">
        <f t="shared" si="14"/>
        <v>0</v>
      </c>
    </row>
    <row r="50" spans="2:17" x14ac:dyDescent="0.25">
      <c r="B50" s="73" t="s">
        <v>107</v>
      </c>
      <c r="C50" s="81"/>
      <c r="D50" s="92" t="s">
        <v>51</v>
      </c>
      <c r="E50" s="81">
        <v>0</v>
      </c>
      <c r="F50" s="148">
        <v>1.7950999999999999</v>
      </c>
      <c r="G50" s="83">
        <f t="shared" si="13"/>
        <v>0</v>
      </c>
      <c r="J50" s="73" t="s">
        <v>107</v>
      </c>
      <c r="K50" s="81"/>
      <c r="L50" s="92" t="s">
        <v>51</v>
      </c>
      <c r="M50" s="81">
        <f>D10</f>
        <v>67.382247233170062</v>
      </c>
      <c r="N50" s="148">
        <v>1.7950999999999999</v>
      </c>
      <c r="O50" s="83">
        <f t="shared" si="14"/>
        <v>120.95787200826358</v>
      </c>
    </row>
    <row r="51" spans="2:17" x14ac:dyDescent="0.25">
      <c r="B51" s="91" t="str">
        <f>J25</f>
        <v>Street Lights</v>
      </c>
      <c r="C51" s="81"/>
      <c r="D51" s="92" t="s">
        <v>51</v>
      </c>
      <c r="E51" s="81">
        <v>0</v>
      </c>
      <c r="F51" s="148">
        <v>1.7861</v>
      </c>
      <c r="G51" s="83">
        <f t="shared" si="13"/>
        <v>0</v>
      </c>
      <c r="J51" s="91" t="s">
        <v>47</v>
      </c>
      <c r="K51" s="81"/>
      <c r="L51" s="92" t="s">
        <v>51</v>
      </c>
      <c r="M51" s="81">
        <f>D11</f>
        <v>659.99999999999829</v>
      </c>
      <c r="N51" s="148">
        <v>1.7861</v>
      </c>
      <c r="O51" s="83">
        <f t="shared" si="14"/>
        <v>1178.8259999999971</v>
      </c>
    </row>
    <row r="52" spans="2:17" x14ac:dyDescent="0.25">
      <c r="B52" s="91" t="str">
        <f>J26</f>
        <v xml:space="preserve">Unmetered Loads </v>
      </c>
      <c r="C52" s="81"/>
      <c r="D52" s="92" t="s">
        <v>50</v>
      </c>
      <c r="E52" s="81">
        <f>E26</f>
        <v>115235.54204919809</v>
      </c>
      <c r="F52" s="148">
        <v>5.8999999999999999E-3</v>
      </c>
      <c r="G52" s="83">
        <f t="shared" si="13"/>
        <v>679.88969809026867</v>
      </c>
      <c r="J52" s="91" t="s">
        <v>2</v>
      </c>
      <c r="K52" s="81"/>
      <c r="L52" s="92" t="s">
        <v>50</v>
      </c>
      <c r="M52" s="81">
        <v>12483.022612380953</v>
      </c>
      <c r="N52" s="148">
        <v>5.8999999999999999E-3</v>
      </c>
      <c r="O52" s="83">
        <f t="shared" si="14"/>
        <v>73.649833413047617</v>
      </c>
    </row>
    <row r="53" spans="2:17" x14ac:dyDescent="0.25">
      <c r="B53" s="91" t="str">
        <f>J27</f>
        <v>Embedded Distributors - Hydro One</v>
      </c>
      <c r="C53" s="81"/>
      <c r="D53" s="92" t="s">
        <v>51</v>
      </c>
      <c r="E53" s="81">
        <f>D13</f>
        <v>0</v>
      </c>
      <c r="F53" s="148"/>
      <c r="G53" s="83">
        <f t="shared" si="13"/>
        <v>0</v>
      </c>
      <c r="J53" s="91" t="s">
        <v>99</v>
      </c>
      <c r="K53" s="81"/>
      <c r="L53" s="92" t="s">
        <v>51</v>
      </c>
      <c r="M53" s="81">
        <v>0</v>
      </c>
      <c r="N53" s="148"/>
      <c r="O53" s="83">
        <f t="shared" si="14"/>
        <v>0</v>
      </c>
    </row>
    <row r="54" spans="2:17" ht="13" x14ac:dyDescent="0.3">
      <c r="B54" s="77" t="s">
        <v>52</v>
      </c>
      <c r="C54" s="78"/>
      <c r="D54" s="79"/>
      <c r="E54" s="78">
        <f>SUM(E45:E53)</f>
        <v>44194506.920446992</v>
      </c>
      <c r="F54" s="84"/>
      <c r="G54" s="94">
        <f>SUM(G45:G53)</f>
        <v>274410.54735977727</v>
      </c>
      <c r="J54" s="77" t="s">
        <v>52</v>
      </c>
      <c r="K54" s="78"/>
      <c r="L54" s="79"/>
      <c r="M54" s="78">
        <v>1811490.6734615513</v>
      </c>
      <c r="N54" s="84"/>
      <c r="O54" s="94">
        <f>SUM(O45:O53)</f>
        <v>103887.97992583027</v>
      </c>
      <c r="Q54" s="618">
        <f>O54+G54</f>
        <v>378298.52728560753</v>
      </c>
    </row>
    <row r="56" spans="2:17" ht="13" x14ac:dyDescent="0.3">
      <c r="B56" s="134" t="s">
        <v>60</v>
      </c>
      <c r="C56" s="135"/>
      <c r="D56" s="140" t="s">
        <v>58</v>
      </c>
      <c r="E56" s="561"/>
      <c r="F56" s="562"/>
      <c r="G56" s="563"/>
      <c r="J56" s="134" t="s">
        <v>60</v>
      </c>
      <c r="K56" s="135"/>
      <c r="L56" s="136" t="s">
        <v>58</v>
      </c>
      <c r="M56" s="136"/>
      <c r="N56" s="619"/>
      <c r="O56" s="620"/>
    </row>
    <row r="57" spans="2:17" ht="13" x14ac:dyDescent="0.3">
      <c r="B57" s="133" t="s">
        <v>56</v>
      </c>
      <c r="C57" s="145"/>
      <c r="D57" s="141" t="s">
        <v>59</v>
      </c>
      <c r="E57" s="566"/>
      <c r="F57" s="564" t="s">
        <v>318</v>
      </c>
      <c r="G57" s="565"/>
      <c r="J57" s="133" t="s">
        <v>56</v>
      </c>
      <c r="K57" s="615"/>
      <c r="L57" s="139" t="s">
        <v>59</v>
      </c>
      <c r="M57" s="621"/>
      <c r="N57" s="614" t="s">
        <v>318</v>
      </c>
      <c r="O57" s="615"/>
    </row>
    <row r="58" spans="2:17" x14ac:dyDescent="0.25">
      <c r="B58" s="91" t="str">
        <f>B45</f>
        <v xml:space="preserve">Residential </v>
      </c>
      <c r="C58" s="81"/>
      <c r="D58" s="92" t="str">
        <f t="shared" ref="D58:E62" si="15">D45</f>
        <v>kWh</v>
      </c>
      <c r="E58" s="81">
        <f t="shared" si="15"/>
        <v>34157391.322850168</v>
      </c>
      <c r="F58" s="148">
        <v>4.0000000000000001E-3</v>
      </c>
      <c r="G58" s="83">
        <f>(E58*F58)</f>
        <v>136629.56529140068</v>
      </c>
      <c r="J58" s="91" t="s">
        <v>1</v>
      </c>
      <c r="K58" s="81"/>
      <c r="L58" s="92" t="s">
        <v>50</v>
      </c>
      <c r="M58" s="81">
        <f>M45</f>
        <v>745952.18810028653</v>
      </c>
      <c r="N58" s="148">
        <v>4.0000000000000001E-3</v>
      </c>
      <c r="O58" s="83">
        <f>M58*N58</f>
        <v>2983.8087524011462</v>
      </c>
    </row>
    <row r="59" spans="2:17" x14ac:dyDescent="0.25">
      <c r="B59" s="91" t="str">
        <f>B46</f>
        <v>General Service &lt; 50 kW</v>
      </c>
      <c r="C59" s="81"/>
      <c r="D59" s="92" t="str">
        <f t="shared" si="15"/>
        <v>kWh</v>
      </c>
      <c r="E59" s="81">
        <f t="shared" si="15"/>
        <v>9921880.0555476211</v>
      </c>
      <c r="F59" s="148">
        <v>3.5999999999999999E-3</v>
      </c>
      <c r="G59" s="83">
        <f t="shared" ref="G59:G66" si="16">(E59*F59)</f>
        <v>35718.768199971433</v>
      </c>
      <c r="J59" s="91" t="s">
        <v>97</v>
      </c>
      <c r="K59" s="81"/>
      <c r="L59" s="92" t="s">
        <v>50</v>
      </c>
      <c r="M59" s="81">
        <f t="shared" ref="M59:M66" si="17">M46</f>
        <v>1167280.0065350144</v>
      </c>
      <c r="N59" s="148">
        <v>3.5999999999999999E-3</v>
      </c>
      <c r="O59" s="83">
        <f t="shared" ref="O59:O66" si="18">M59*N59</f>
        <v>4202.2080235260519</v>
      </c>
    </row>
    <row r="60" spans="2:17" x14ac:dyDescent="0.25">
      <c r="B60" s="91" t="str">
        <f>B47</f>
        <v>General Service &gt; 50 to 4999 kW</v>
      </c>
      <c r="C60" s="81"/>
      <c r="D60" s="92" t="str">
        <f t="shared" si="15"/>
        <v>kW</v>
      </c>
      <c r="E60" s="81">
        <f t="shared" si="15"/>
        <v>0</v>
      </c>
      <c r="F60" s="148">
        <v>1.3938999999999999</v>
      </c>
      <c r="G60" s="83">
        <f t="shared" si="16"/>
        <v>0</v>
      </c>
      <c r="J60" s="91" t="s">
        <v>208</v>
      </c>
      <c r="K60" s="81"/>
      <c r="L60" s="92" t="s">
        <v>51</v>
      </c>
      <c r="M60" s="81">
        <f t="shared" si="17"/>
        <v>38397.067436687881</v>
      </c>
      <c r="N60" s="148">
        <v>1.3938999999999999</v>
      </c>
      <c r="O60" s="83">
        <f t="shared" si="18"/>
        <v>53521.672299999234</v>
      </c>
    </row>
    <row r="61" spans="2:17" x14ac:dyDescent="0.25">
      <c r="B61" s="91" t="str">
        <f>B48</f>
        <v>General Service &gt; 1000 to 4999 kW</v>
      </c>
      <c r="C61" s="81"/>
      <c r="D61" s="92" t="str">
        <f t="shared" si="15"/>
        <v>kW</v>
      </c>
      <c r="E61" s="81">
        <f t="shared" si="15"/>
        <v>0</v>
      </c>
      <c r="F61" s="148">
        <v>0</v>
      </c>
      <c r="G61" s="83">
        <f t="shared" si="16"/>
        <v>0</v>
      </c>
      <c r="J61" s="91" t="s">
        <v>98</v>
      </c>
      <c r="K61" s="81"/>
      <c r="L61" s="92" t="s">
        <v>51</v>
      </c>
      <c r="M61" s="81">
        <f t="shared" si="17"/>
        <v>0</v>
      </c>
      <c r="N61" s="148">
        <v>0</v>
      </c>
      <c r="O61" s="83">
        <f t="shared" si="18"/>
        <v>0</v>
      </c>
    </row>
    <row r="62" spans="2:17" x14ac:dyDescent="0.25">
      <c r="B62" s="91" t="str">
        <f>B49</f>
        <v>Large User</v>
      </c>
      <c r="C62" s="81"/>
      <c r="D62" s="92" t="str">
        <f t="shared" si="15"/>
        <v>kW</v>
      </c>
      <c r="E62" s="81">
        <f t="shared" si="15"/>
        <v>0</v>
      </c>
      <c r="F62" s="148">
        <v>0</v>
      </c>
      <c r="G62" s="83">
        <f t="shared" si="16"/>
        <v>0</v>
      </c>
      <c r="J62" s="91" t="s">
        <v>71</v>
      </c>
      <c r="K62" s="81"/>
      <c r="L62" s="92" t="s">
        <v>51</v>
      </c>
      <c r="M62" s="81">
        <f t="shared" si="17"/>
        <v>0</v>
      </c>
      <c r="N62" s="148">
        <v>0</v>
      </c>
      <c r="O62" s="83">
        <f t="shared" si="18"/>
        <v>0</v>
      </c>
    </row>
    <row r="63" spans="2:17" x14ac:dyDescent="0.25">
      <c r="B63" s="73" t="s">
        <v>107</v>
      </c>
      <c r="C63" s="81"/>
      <c r="D63" s="92" t="str">
        <f>D50</f>
        <v>kW</v>
      </c>
      <c r="E63" s="81">
        <v>0</v>
      </c>
      <c r="F63" s="148">
        <v>1.1000000000000001</v>
      </c>
      <c r="G63" s="83">
        <f t="shared" si="16"/>
        <v>0</v>
      </c>
      <c r="J63" s="73" t="s">
        <v>107</v>
      </c>
      <c r="K63" s="81"/>
      <c r="L63" s="92" t="s">
        <v>51</v>
      </c>
      <c r="M63" s="81">
        <f t="shared" si="17"/>
        <v>67.382247233170062</v>
      </c>
      <c r="N63" s="148">
        <v>1.1000000000000001</v>
      </c>
      <c r="O63" s="83">
        <f t="shared" si="18"/>
        <v>74.12047195648708</v>
      </c>
    </row>
    <row r="64" spans="2:17" x14ac:dyDescent="0.25">
      <c r="B64" s="91" t="str">
        <f>B51</f>
        <v>Street Lights</v>
      </c>
      <c r="C64" s="81"/>
      <c r="D64" s="92" t="str">
        <f>D51</f>
        <v>kW</v>
      </c>
      <c r="E64" s="81">
        <f>E51</f>
        <v>0</v>
      </c>
      <c r="F64" s="148">
        <v>1.0774999999999999</v>
      </c>
      <c r="G64" s="83">
        <f t="shared" si="16"/>
        <v>0</v>
      </c>
      <c r="J64" s="91" t="s">
        <v>47</v>
      </c>
      <c r="K64" s="81"/>
      <c r="L64" s="92" t="s">
        <v>51</v>
      </c>
      <c r="M64" s="81">
        <f t="shared" si="17"/>
        <v>659.99999999999829</v>
      </c>
      <c r="N64" s="148">
        <v>1.0774999999999999</v>
      </c>
      <c r="O64" s="83">
        <f t="shared" si="18"/>
        <v>711.14999999999804</v>
      </c>
    </row>
    <row r="65" spans="2:17" x14ac:dyDescent="0.25">
      <c r="B65" s="91" t="str">
        <f>B52</f>
        <v xml:space="preserve">Unmetered Loads </v>
      </c>
      <c r="C65" s="81"/>
      <c r="D65" s="92" t="str">
        <f>D52</f>
        <v>kWh</v>
      </c>
      <c r="E65" s="81">
        <f>E52</f>
        <v>115235.54204919809</v>
      </c>
      <c r="F65" s="148">
        <v>3.5999999999999999E-3</v>
      </c>
      <c r="G65" s="83">
        <f t="shared" si="16"/>
        <v>414.84795137711313</v>
      </c>
      <c r="J65" s="91" t="s">
        <v>2</v>
      </c>
      <c r="K65" s="81"/>
      <c r="L65" s="92" t="s">
        <v>50</v>
      </c>
      <c r="M65" s="81">
        <f t="shared" si="17"/>
        <v>12483.022612380953</v>
      </c>
      <c r="N65" s="148">
        <v>3.5999999999999999E-3</v>
      </c>
      <c r="O65" s="83">
        <f t="shared" si="18"/>
        <v>44.938881404571433</v>
      </c>
    </row>
    <row r="66" spans="2:17" x14ac:dyDescent="0.25">
      <c r="B66" s="91" t="str">
        <f>B53</f>
        <v>Embedded Distributors - Hydro One</v>
      </c>
      <c r="C66" s="81"/>
      <c r="D66" s="92" t="str">
        <f>D53</f>
        <v>kW</v>
      </c>
      <c r="E66" s="81">
        <f>E53</f>
        <v>0</v>
      </c>
      <c r="F66" s="148"/>
      <c r="G66" s="83">
        <f t="shared" si="16"/>
        <v>0</v>
      </c>
      <c r="J66" s="91" t="s">
        <v>99</v>
      </c>
      <c r="K66" s="81"/>
      <c r="L66" s="92" t="s">
        <v>51</v>
      </c>
      <c r="M66" s="81">
        <f t="shared" si="17"/>
        <v>0</v>
      </c>
      <c r="N66" s="148"/>
      <c r="O66" s="83">
        <f t="shared" si="18"/>
        <v>0</v>
      </c>
    </row>
    <row r="67" spans="2:17" ht="13" x14ac:dyDescent="0.3">
      <c r="B67" s="77" t="s">
        <v>52</v>
      </c>
      <c r="C67" s="78"/>
      <c r="D67" s="79"/>
      <c r="E67" s="78">
        <f>SUM(E58:E66)</f>
        <v>44194506.920446992</v>
      </c>
      <c r="F67" s="84"/>
      <c r="G67" s="94">
        <f>SUM(G58:G66)</f>
        <v>172763.18144274922</v>
      </c>
      <c r="J67" s="77" t="s">
        <v>52</v>
      </c>
      <c r="K67" s="78"/>
      <c r="L67" s="79"/>
      <c r="M67" s="78">
        <v>43887404.8571916</v>
      </c>
      <c r="N67" s="84"/>
      <c r="O67" s="94">
        <f>SUM(O58:O66)</f>
        <v>61537.898429287496</v>
      </c>
      <c r="Q67" s="618">
        <f>O67+G67</f>
        <v>234301.0798720367</v>
      </c>
    </row>
    <row r="69" spans="2:17" ht="13" x14ac:dyDescent="0.3">
      <c r="B69" s="134" t="s">
        <v>61</v>
      </c>
      <c r="C69" s="135"/>
      <c r="D69" s="140"/>
      <c r="E69" s="137"/>
      <c r="F69" s="138"/>
      <c r="G69" s="135"/>
      <c r="J69" s="134" t="s">
        <v>61</v>
      </c>
      <c r="K69" s="135"/>
      <c r="L69" s="140"/>
      <c r="M69" s="137"/>
      <c r="N69" s="138"/>
      <c r="O69" s="135"/>
    </row>
    <row r="70" spans="2:17" ht="13" x14ac:dyDescent="0.3">
      <c r="B70" s="133" t="s">
        <v>56</v>
      </c>
      <c r="C70" s="145"/>
      <c r="D70" s="141"/>
      <c r="E70" s="812">
        <v>2020</v>
      </c>
      <c r="F70" s="813"/>
      <c r="G70" s="818"/>
      <c r="J70" s="133" t="s">
        <v>56</v>
      </c>
      <c r="K70" s="615"/>
      <c r="L70" s="141"/>
      <c r="M70" s="613">
        <v>2020</v>
      </c>
      <c r="N70" s="614"/>
      <c r="O70" s="617"/>
    </row>
    <row r="71" spans="2:17" x14ac:dyDescent="0.25">
      <c r="B71" s="91" t="str">
        <f>B58</f>
        <v xml:space="preserve">Residential </v>
      </c>
      <c r="C71" s="81"/>
      <c r="D71" s="92" t="s">
        <v>50</v>
      </c>
      <c r="E71" s="81">
        <f>E58</f>
        <v>34157391.322850168</v>
      </c>
      <c r="F71" s="93">
        <v>3.5000000000000001E-3</v>
      </c>
      <c r="G71" s="83">
        <f>(E71*F71)</f>
        <v>119550.86962997558</v>
      </c>
      <c r="J71" s="91" t="s">
        <v>1</v>
      </c>
      <c r="K71" s="81"/>
      <c r="L71" s="92" t="s">
        <v>50</v>
      </c>
      <c r="M71" s="81">
        <f>M19</f>
        <v>745952.18810028653</v>
      </c>
      <c r="N71" s="93">
        <v>3.5000000000000001E-3</v>
      </c>
      <c r="O71" s="83">
        <f>N71*M71</f>
        <v>2610.8326583510029</v>
      </c>
    </row>
    <row r="72" spans="2:17" x14ac:dyDescent="0.25">
      <c r="B72" s="91" t="str">
        <f>B59</f>
        <v>General Service &lt; 50 kW</v>
      </c>
      <c r="C72" s="81"/>
      <c r="D72" s="92" t="s">
        <v>50</v>
      </c>
      <c r="E72" s="81">
        <f>E59</f>
        <v>9921880.0555476211</v>
      </c>
      <c r="F72" s="93">
        <v>3.5000000000000001E-3</v>
      </c>
      <c r="G72" s="83">
        <f t="shared" ref="G72:G79" si="19">(E72*F72)</f>
        <v>34726.580194416674</v>
      </c>
      <c r="J72" s="91" t="s">
        <v>97</v>
      </c>
      <c r="K72" s="81"/>
      <c r="L72" s="92" t="s">
        <v>50</v>
      </c>
      <c r="M72" s="81">
        <f t="shared" ref="M72:M79" si="20">M20</f>
        <v>1167280.0065350144</v>
      </c>
      <c r="N72" s="93">
        <v>3.5000000000000001E-3</v>
      </c>
      <c r="O72" s="83">
        <f t="shared" ref="O72:O79" si="21">N72*M72</f>
        <v>4085.4800228725503</v>
      </c>
    </row>
    <row r="73" spans="2:17" x14ac:dyDescent="0.25">
      <c r="B73" s="91" t="str">
        <f>B60</f>
        <v>General Service &gt; 50 to 4999 kW</v>
      </c>
      <c r="C73" s="81"/>
      <c r="D73" s="92" t="s">
        <v>50</v>
      </c>
      <c r="E73" s="81">
        <f>E21</f>
        <v>3526085.026864938</v>
      </c>
      <c r="F73" s="93">
        <v>3.5000000000000001E-3</v>
      </c>
      <c r="G73" s="83">
        <f t="shared" si="19"/>
        <v>12341.297594027283</v>
      </c>
      <c r="J73" s="91" t="s">
        <v>208</v>
      </c>
      <c r="K73" s="81"/>
      <c r="L73" s="92" t="s">
        <v>50</v>
      </c>
      <c r="M73" s="81">
        <f t="shared" si="20"/>
        <v>12928978.431838106</v>
      </c>
      <c r="N73" s="93">
        <v>3.5000000000000001E-3</v>
      </c>
      <c r="O73" s="83">
        <f t="shared" si="21"/>
        <v>45251.424511433375</v>
      </c>
    </row>
    <row r="74" spans="2:17" x14ac:dyDescent="0.25">
      <c r="B74" s="91" t="str">
        <f>B61</f>
        <v>General Service &gt; 1000 to 4999 kW</v>
      </c>
      <c r="C74" s="81"/>
      <c r="D74" s="92" t="s">
        <v>50</v>
      </c>
      <c r="E74" s="81">
        <f>E22+M22</f>
        <v>0</v>
      </c>
      <c r="F74" s="93"/>
      <c r="G74" s="83">
        <f t="shared" si="19"/>
        <v>0</v>
      </c>
      <c r="J74" s="91" t="s">
        <v>98</v>
      </c>
      <c r="K74" s="81"/>
      <c r="L74" s="92" t="s">
        <v>50</v>
      </c>
      <c r="M74" s="81">
        <f t="shared" si="20"/>
        <v>0</v>
      </c>
      <c r="N74" s="93"/>
      <c r="O74" s="83">
        <f t="shared" si="21"/>
        <v>0</v>
      </c>
    </row>
    <row r="75" spans="2:17" x14ac:dyDescent="0.25">
      <c r="B75" s="91" t="str">
        <f>B62</f>
        <v>Large User</v>
      </c>
      <c r="C75" s="81"/>
      <c r="D75" s="92" t="s">
        <v>50</v>
      </c>
      <c r="E75" s="81">
        <f>E23+M23</f>
        <v>0</v>
      </c>
      <c r="F75" s="93"/>
      <c r="G75" s="83">
        <f t="shared" si="19"/>
        <v>0</v>
      </c>
      <c r="J75" s="91" t="s">
        <v>71</v>
      </c>
      <c r="K75" s="81"/>
      <c r="L75" s="92" t="s">
        <v>50</v>
      </c>
      <c r="M75" s="81">
        <f t="shared" si="20"/>
        <v>0</v>
      </c>
      <c r="N75" s="93"/>
      <c r="O75" s="83">
        <f t="shared" si="21"/>
        <v>0</v>
      </c>
    </row>
    <row r="76" spans="2:17" x14ac:dyDescent="0.25">
      <c r="B76" s="73" t="s">
        <v>107</v>
      </c>
      <c r="C76" s="81"/>
      <c r="D76" s="186" t="s">
        <v>50</v>
      </c>
      <c r="E76" s="81">
        <f>E24</f>
        <v>25018.743704582816</v>
      </c>
      <c r="F76" s="93">
        <v>3.5000000000000001E-3</v>
      </c>
      <c r="G76" s="83">
        <f t="shared" si="19"/>
        <v>87.565602966039862</v>
      </c>
      <c r="J76" s="73" t="s">
        <v>107</v>
      </c>
      <c r="K76" s="81"/>
      <c r="L76" s="186" t="s">
        <v>50</v>
      </c>
      <c r="M76" s="81">
        <f t="shared" si="20"/>
        <v>758.14374862372313</v>
      </c>
      <c r="N76" s="93">
        <v>3.5000000000000001E-3</v>
      </c>
      <c r="O76" s="83">
        <f t="shared" si="21"/>
        <v>2.6535031201830308</v>
      </c>
    </row>
    <row r="77" spans="2:17" x14ac:dyDescent="0.25">
      <c r="B77" s="91" t="str">
        <f>B64</f>
        <v>Street Lights</v>
      </c>
      <c r="C77" s="81"/>
      <c r="D77" s="92" t="s">
        <v>50</v>
      </c>
      <c r="E77" s="81">
        <v>0</v>
      </c>
      <c r="F77" s="93">
        <v>3.5000000000000001E-3</v>
      </c>
      <c r="G77" s="83">
        <f t="shared" si="19"/>
        <v>0</v>
      </c>
      <c r="J77" s="91" t="s">
        <v>47</v>
      </c>
      <c r="K77" s="81"/>
      <c r="L77" s="92" t="s">
        <v>50</v>
      </c>
      <c r="M77" s="81">
        <f t="shared" si="20"/>
        <v>240055.51504999999</v>
      </c>
      <c r="N77" s="93">
        <v>3.5000000000000001E-3</v>
      </c>
      <c r="O77" s="83">
        <f t="shared" si="21"/>
        <v>840.19430267500002</v>
      </c>
    </row>
    <row r="78" spans="2:17" x14ac:dyDescent="0.25">
      <c r="B78" s="91" t="str">
        <f>B65</f>
        <v xml:space="preserve">Unmetered Loads </v>
      </c>
      <c r="C78" s="81"/>
      <c r="D78" s="92" t="s">
        <v>50</v>
      </c>
      <c r="E78" s="81">
        <f>E26</f>
        <v>115235.54204919809</v>
      </c>
      <c r="F78" s="93">
        <v>3.5000000000000001E-3</v>
      </c>
      <c r="G78" s="83">
        <f t="shared" si="19"/>
        <v>403.3243971721933</v>
      </c>
      <c r="J78" s="91" t="s">
        <v>2</v>
      </c>
      <c r="K78" s="81"/>
      <c r="L78" s="92" t="s">
        <v>50</v>
      </c>
      <c r="M78" s="81">
        <f t="shared" si="20"/>
        <v>12130.057057810318</v>
      </c>
      <c r="N78" s="93">
        <v>3.5000000000000001E-3</v>
      </c>
      <c r="O78" s="83">
        <f t="shared" si="21"/>
        <v>42.455199702336117</v>
      </c>
    </row>
    <row r="79" spans="2:17" x14ac:dyDescent="0.25">
      <c r="B79" s="91" t="str">
        <f>B66</f>
        <v>Embedded Distributors - Hydro One</v>
      </c>
      <c r="C79" s="81"/>
      <c r="D79" s="92" t="s">
        <v>50</v>
      </c>
      <c r="E79" s="81">
        <f>E27+M27</f>
        <v>0</v>
      </c>
      <c r="F79" s="93"/>
      <c r="G79" s="83">
        <f t="shared" si="19"/>
        <v>0</v>
      </c>
      <c r="J79" s="91" t="s">
        <v>99</v>
      </c>
      <c r="K79" s="81"/>
      <c r="L79" s="92" t="s">
        <v>50</v>
      </c>
      <c r="M79" s="81">
        <f t="shared" si="20"/>
        <v>0</v>
      </c>
      <c r="N79" s="93"/>
      <c r="O79" s="83">
        <f t="shared" si="21"/>
        <v>0</v>
      </c>
    </row>
    <row r="80" spans="2:17" ht="13" x14ac:dyDescent="0.3">
      <c r="B80" s="77" t="s">
        <v>52</v>
      </c>
      <c r="C80" s="78"/>
      <c r="D80" s="79"/>
      <c r="E80" s="78">
        <f>SUM(E71:E79)</f>
        <v>47745610.69101651</v>
      </c>
      <c r="F80" s="84"/>
      <c r="G80" s="94">
        <f>SUM(G71:G79)</f>
        <v>167109.63741855777</v>
      </c>
      <c r="J80" s="77" t="s">
        <v>52</v>
      </c>
      <c r="K80" s="78"/>
      <c r="L80" s="79"/>
      <c r="M80" s="78">
        <v>58815621.440367483</v>
      </c>
      <c r="N80" s="84"/>
      <c r="O80" s="94">
        <f>SUM(O71:O78)</f>
        <v>52833.040198154456</v>
      </c>
      <c r="Q80" s="618">
        <f>O80+G80</f>
        <v>219942.67761671223</v>
      </c>
    </row>
    <row r="82" spans="2:17" ht="13" x14ac:dyDescent="0.3">
      <c r="B82" s="134" t="s">
        <v>62</v>
      </c>
      <c r="C82" s="135"/>
      <c r="D82" s="140"/>
      <c r="E82" s="137"/>
      <c r="F82" s="138"/>
      <c r="G82" s="135"/>
      <c r="J82" s="134" t="s">
        <v>62</v>
      </c>
      <c r="K82" s="135"/>
      <c r="L82" s="140"/>
      <c r="M82" s="137"/>
      <c r="N82" s="138"/>
      <c r="O82" s="135"/>
    </row>
    <row r="83" spans="2:17" ht="13" x14ac:dyDescent="0.3">
      <c r="B83" s="133" t="s">
        <v>56</v>
      </c>
      <c r="C83" s="145"/>
      <c r="D83" s="141"/>
      <c r="E83" s="817">
        <v>2020</v>
      </c>
      <c r="F83" s="813"/>
      <c r="G83" s="814"/>
      <c r="J83" s="133" t="s">
        <v>56</v>
      </c>
      <c r="K83" s="615"/>
      <c r="L83" s="141"/>
      <c r="M83" s="616">
        <v>2020</v>
      </c>
      <c r="N83" s="614"/>
      <c r="O83" s="615"/>
    </row>
    <row r="84" spans="2:17" x14ac:dyDescent="0.25">
      <c r="B84" s="91" t="str">
        <f>B71</f>
        <v xml:space="preserve">Residential </v>
      </c>
      <c r="C84" s="81"/>
      <c r="D84" s="92" t="str">
        <f t="shared" ref="D84:D88" si="22">D71</f>
        <v>kWh</v>
      </c>
      <c r="E84" s="81">
        <f>E19</f>
        <v>34157391.322850168</v>
      </c>
      <c r="F84" s="149">
        <v>4.0000000000000002E-4</v>
      </c>
      <c r="G84" s="83">
        <f>(E84*F84)</f>
        <v>13662.956529140069</v>
      </c>
      <c r="J84" s="91" t="s">
        <v>1</v>
      </c>
      <c r="K84" s="81"/>
      <c r="L84" s="92" t="s">
        <v>50</v>
      </c>
      <c r="M84" s="81">
        <f>M19</f>
        <v>745952.18810028653</v>
      </c>
      <c r="N84" s="149">
        <v>4.0000000000000002E-4</v>
      </c>
      <c r="O84" s="83">
        <f>N84*M84</f>
        <v>298.38087524011462</v>
      </c>
    </row>
    <row r="85" spans="2:17" x14ac:dyDescent="0.25">
      <c r="B85" s="91" t="str">
        <f>B72</f>
        <v>General Service &lt; 50 kW</v>
      </c>
      <c r="C85" s="81"/>
      <c r="D85" s="92" t="str">
        <f t="shared" si="22"/>
        <v>kWh</v>
      </c>
      <c r="E85" s="81">
        <f t="shared" ref="E85:E92" si="23">E20</f>
        <v>9921880.0555476211</v>
      </c>
      <c r="F85" s="149">
        <v>4.0000000000000002E-4</v>
      </c>
      <c r="G85" s="83">
        <f t="shared" ref="G85:G92" si="24">(E85*F85)</f>
        <v>3968.7520222190487</v>
      </c>
      <c r="J85" s="91" t="s">
        <v>97</v>
      </c>
      <c r="K85" s="81"/>
      <c r="L85" s="92" t="s">
        <v>50</v>
      </c>
      <c r="M85" s="81">
        <f t="shared" ref="M85:M92" si="25">M20</f>
        <v>1167280.0065350144</v>
      </c>
      <c r="N85" s="149">
        <v>4.0000000000000002E-4</v>
      </c>
      <c r="O85" s="83">
        <f t="shared" ref="O85:O92" si="26">N85*M85</f>
        <v>466.91200261400576</v>
      </c>
    </row>
    <row r="86" spans="2:17" x14ac:dyDescent="0.25">
      <c r="B86" s="91" t="str">
        <f>B73</f>
        <v>General Service &gt; 50 to 4999 kW</v>
      </c>
      <c r="C86" s="81"/>
      <c r="D86" s="92" t="str">
        <f t="shared" si="22"/>
        <v>kWh</v>
      </c>
      <c r="E86" s="81">
        <f t="shared" si="23"/>
        <v>3526085.026864938</v>
      </c>
      <c r="F86" s="149">
        <v>4.0000000000000002E-4</v>
      </c>
      <c r="G86" s="83">
        <f t="shared" si="24"/>
        <v>1410.4340107459752</v>
      </c>
      <c r="J86" s="91" t="s">
        <v>208</v>
      </c>
      <c r="K86" s="81"/>
      <c r="L86" s="92" t="s">
        <v>50</v>
      </c>
      <c r="M86" s="81">
        <f t="shared" si="25"/>
        <v>12928978.431838106</v>
      </c>
      <c r="N86" s="149">
        <v>4.0000000000000002E-4</v>
      </c>
      <c r="O86" s="83">
        <f t="shared" si="26"/>
        <v>5171.5913727352427</v>
      </c>
    </row>
    <row r="87" spans="2:17" x14ac:dyDescent="0.25">
      <c r="B87" s="91" t="str">
        <f>B74</f>
        <v>General Service &gt; 1000 to 4999 kW</v>
      </c>
      <c r="C87" s="81"/>
      <c r="D87" s="92" t="str">
        <f t="shared" si="22"/>
        <v>kWh</v>
      </c>
      <c r="E87" s="81">
        <f t="shared" si="23"/>
        <v>0</v>
      </c>
      <c r="F87" s="149"/>
      <c r="G87" s="83">
        <f t="shared" si="24"/>
        <v>0</v>
      </c>
      <c r="J87" s="91" t="s">
        <v>98</v>
      </c>
      <c r="K87" s="81"/>
      <c r="L87" s="92" t="s">
        <v>50</v>
      </c>
      <c r="M87" s="81">
        <f t="shared" si="25"/>
        <v>0</v>
      </c>
      <c r="N87" s="149"/>
      <c r="O87" s="83">
        <f t="shared" si="26"/>
        <v>0</v>
      </c>
    </row>
    <row r="88" spans="2:17" x14ac:dyDescent="0.25">
      <c r="B88" s="91" t="str">
        <f>B75</f>
        <v>Large User</v>
      </c>
      <c r="C88" s="81"/>
      <c r="D88" s="92" t="str">
        <f t="shared" si="22"/>
        <v>kWh</v>
      </c>
      <c r="E88" s="81">
        <f t="shared" si="23"/>
        <v>0</v>
      </c>
      <c r="F88" s="149"/>
      <c r="G88" s="83">
        <f t="shared" si="24"/>
        <v>0</v>
      </c>
      <c r="J88" s="91" t="s">
        <v>71</v>
      </c>
      <c r="K88" s="81"/>
      <c r="L88" s="92" t="s">
        <v>50</v>
      </c>
      <c r="M88" s="81">
        <f t="shared" si="25"/>
        <v>0</v>
      </c>
      <c r="N88" s="149"/>
      <c r="O88" s="83">
        <f t="shared" si="26"/>
        <v>0</v>
      </c>
    </row>
    <row r="89" spans="2:17" x14ac:dyDescent="0.25">
      <c r="B89" s="73" t="s">
        <v>107</v>
      </c>
      <c r="C89" s="81"/>
      <c r="D89" s="186" t="s">
        <v>50</v>
      </c>
      <c r="E89" s="81">
        <f t="shared" si="23"/>
        <v>25018.743704582816</v>
      </c>
      <c r="F89" s="149">
        <v>4.0000000000000002E-4</v>
      </c>
      <c r="G89" s="83">
        <f t="shared" si="24"/>
        <v>10.007497481833127</v>
      </c>
      <c r="J89" s="73" t="s">
        <v>107</v>
      </c>
      <c r="K89" s="81"/>
      <c r="L89" s="186" t="s">
        <v>50</v>
      </c>
      <c r="M89" s="81">
        <f t="shared" si="25"/>
        <v>758.14374862372313</v>
      </c>
      <c r="N89" s="149">
        <v>4.0000000000000002E-4</v>
      </c>
      <c r="O89" s="83">
        <f t="shared" si="26"/>
        <v>0.30325749944948927</v>
      </c>
    </row>
    <row r="90" spans="2:17" x14ac:dyDescent="0.25">
      <c r="B90" s="91" t="str">
        <f t="shared" ref="B90:B92" si="27">B77</f>
        <v>Street Lights</v>
      </c>
      <c r="C90" s="81"/>
      <c r="D90" s="92" t="str">
        <f t="shared" ref="D90:D92" si="28">D77</f>
        <v>kWh</v>
      </c>
      <c r="E90" s="81">
        <f t="shared" si="23"/>
        <v>0</v>
      </c>
      <c r="F90" s="149">
        <v>4.0000000000000002E-4</v>
      </c>
      <c r="G90" s="83">
        <f t="shared" si="24"/>
        <v>0</v>
      </c>
      <c r="J90" s="91" t="s">
        <v>47</v>
      </c>
      <c r="K90" s="81"/>
      <c r="L90" s="92" t="s">
        <v>50</v>
      </c>
      <c r="M90" s="81">
        <f t="shared" si="25"/>
        <v>240055.51504999999</v>
      </c>
      <c r="N90" s="149">
        <v>4.0000000000000002E-4</v>
      </c>
      <c r="O90" s="83">
        <f t="shared" si="26"/>
        <v>96.022206019999999</v>
      </c>
    </row>
    <row r="91" spans="2:17" x14ac:dyDescent="0.25">
      <c r="B91" s="91" t="str">
        <f t="shared" si="27"/>
        <v xml:space="preserve">Unmetered Loads </v>
      </c>
      <c r="C91" s="81"/>
      <c r="D91" s="92" t="str">
        <f t="shared" si="28"/>
        <v>kWh</v>
      </c>
      <c r="E91" s="81">
        <f t="shared" si="23"/>
        <v>115235.54204919809</v>
      </c>
      <c r="F91" s="149">
        <v>4.0000000000000002E-4</v>
      </c>
      <c r="G91" s="83">
        <f t="shared" si="24"/>
        <v>46.094216819679239</v>
      </c>
      <c r="J91" s="91" t="s">
        <v>2</v>
      </c>
      <c r="K91" s="81"/>
      <c r="L91" s="92" t="s">
        <v>50</v>
      </c>
      <c r="M91" s="81">
        <f t="shared" si="25"/>
        <v>12130.057057810318</v>
      </c>
      <c r="N91" s="149">
        <v>4.0000000000000002E-4</v>
      </c>
      <c r="O91" s="83">
        <f t="shared" si="26"/>
        <v>4.8520228231241278</v>
      </c>
    </row>
    <row r="92" spans="2:17" x14ac:dyDescent="0.25">
      <c r="B92" s="91" t="str">
        <f t="shared" si="27"/>
        <v>Embedded Distributors - Hydro One</v>
      </c>
      <c r="C92" s="81"/>
      <c r="D92" s="92" t="str">
        <f t="shared" si="28"/>
        <v>kWh</v>
      </c>
      <c r="E92" s="81">
        <f t="shared" si="23"/>
        <v>0</v>
      </c>
      <c r="F92" s="149"/>
      <c r="G92" s="83">
        <f t="shared" si="24"/>
        <v>0</v>
      </c>
      <c r="J92" s="91" t="s">
        <v>99</v>
      </c>
      <c r="K92" s="81"/>
      <c r="L92" s="92" t="s">
        <v>50</v>
      </c>
      <c r="M92" s="81">
        <f t="shared" si="25"/>
        <v>0</v>
      </c>
      <c r="N92" s="149"/>
      <c r="O92" s="83">
        <f t="shared" si="26"/>
        <v>0</v>
      </c>
    </row>
    <row r="93" spans="2:17" ht="13" x14ac:dyDescent="0.3">
      <c r="B93" s="77" t="s">
        <v>52</v>
      </c>
      <c r="C93" s="78"/>
      <c r="D93" s="79"/>
      <c r="E93" s="78">
        <f>SUM(E84:E92)</f>
        <v>47745610.69101651</v>
      </c>
      <c r="F93" s="84"/>
      <c r="G93" s="94">
        <f>SUM(G84:G92)</f>
        <v>19098.244276406604</v>
      </c>
      <c r="J93" s="77" t="s">
        <v>52</v>
      </c>
      <c r="K93" s="78"/>
      <c r="L93" s="79"/>
      <c r="M93" s="78">
        <v>47025522.919936225</v>
      </c>
      <c r="N93" s="84"/>
      <c r="O93" s="94">
        <f>SUM(O84:O91)</f>
        <v>6038.061736931937</v>
      </c>
      <c r="Q93" s="618">
        <f>O93+G93</f>
        <v>25136.306013338541</v>
      </c>
    </row>
    <row r="95" spans="2:17" ht="13" x14ac:dyDescent="0.3">
      <c r="B95" s="134" t="s">
        <v>180</v>
      </c>
      <c r="C95" s="135"/>
      <c r="D95" s="140"/>
      <c r="E95" s="137"/>
      <c r="F95" s="138"/>
      <c r="G95" s="135"/>
      <c r="J95" s="134" t="s">
        <v>180</v>
      </c>
      <c r="K95" s="135"/>
      <c r="L95" s="140"/>
      <c r="M95" s="137"/>
      <c r="N95" s="138"/>
      <c r="O95" s="135"/>
    </row>
    <row r="96" spans="2:17" ht="13" x14ac:dyDescent="0.3">
      <c r="B96" s="133" t="s">
        <v>56</v>
      </c>
      <c r="C96" s="178"/>
      <c r="D96" s="141"/>
      <c r="E96" s="817" t="s">
        <v>318</v>
      </c>
      <c r="F96" s="813"/>
      <c r="G96" s="814"/>
      <c r="J96" s="133" t="s">
        <v>56</v>
      </c>
      <c r="K96" s="615"/>
      <c r="L96" s="141"/>
      <c r="M96" s="616" t="s">
        <v>318</v>
      </c>
      <c r="N96" s="614"/>
      <c r="O96" s="615"/>
    </row>
    <row r="97" spans="2:17" x14ac:dyDescent="0.25">
      <c r="B97" s="91" t="str">
        <f>B84</f>
        <v xml:space="preserve">Residential </v>
      </c>
      <c r="C97" s="81"/>
      <c r="D97" s="92" t="str">
        <f>D84</f>
        <v>kWh</v>
      </c>
      <c r="E97" s="81">
        <f>C19</f>
        <v>32003552.256020024</v>
      </c>
      <c r="F97" s="149">
        <v>7.0000000000000001E-3</v>
      </c>
      <c r="G97" s="83">
        <f>(E97*F97)</f>
        <v>224024.86579214019</v>
      </c>
      <c r="J97" s="91" t="s">
        <v>1</v>
      </c>
      <c r="K97" s="81"/>
      <c r="L97" s="92" t="s">
        <v>50</v>
      </c>
      <c r="M97" s="81">
        <f>K19</f>
        <v>698915.19544672221</v>
      </c>
      <c r="N97" s="149">
        <f>F97</f>
        <v>7.0000000000000001E-3</v>
      </c>
      <c r="O97" s="83">
        <f>N97*M97</f>
        <v>4892.4063681270554</v>
      </c>
    </row>
    <row r="98" spans="2:17" x14ac:dyDescent="0.25">
      <c r="B98" s="91" t="str">
        <f>B85</f>
        <v>General Service &lt; 50 kW</v>
      </c>
      <c r="C98" s="81"/>
      <c r="D98" s="92" t="str">
        <f>D85</f>
        <v>kWh</v>
      </c>
      <c r="E98" s="81">
        <f>C20</f>
        <v>9296242.9078493603</v>
      </c>
      <c r="F98" s="149">
        <v>6.1999999999999998E-3</v>
      </c>
      <c r="G98" s="83">
        <f t="shared" ref="G98:G105" si="29">(E98*F98)</f>
        <v>57636.706028666034</v>
      </c>
      <c r="J98" s="91" t="s">
        <v>97</v>
      </c>
      <c r="K98" s="81"/>
      <c r="L98" s="92" t="s">
        <v>50</v>
      </c>
      <c r="M98" s="81">
        <f>K20</f>
        <v>1093675.6362175718</v>
      </c>
      <c r="N98" s="149">
        <f t="shared" ref="N98:N105" si="30">F98</f>
        <v>6.1999999999999998E-3</v>
      </c>
      <c r="O98" s="83">
        <f t="shared" ref="O98:O105" si="31">N98*M98</f>
        <v>6780.7889445489445</v>
      </c>
    </row>
    <row r="99" spans="2:17" x14ac:dyDescent="0.25">
      <c r="B99" s="91" t="str">
        <f>B86</f>
        <v>General Service &gt; 50 to 4999 kW</v>
      </c>
      <c r="C99" s="81"/>
      <c r="D99" s="186" t="s">
        <v>51</v>
      </c>
      <c r="E99" s="81">
        <v>0</v>
      </c>
      <c r="F99" s="149">
        <v>2.4487000000000001</v>
      </c>
      <c r="G99" s="83">
        <f t="shared" si="29"/>
        <v>0</v>
      </c>
      <c r="J99" s="91" t="s">
        <v>208</v>
      </c>
      <c r="K99" s="81"/>
      <c r="L99" s="186" t="s">
        <v>51</v>
      </c>
      <c r="M99" s="81">
        <f>D7</f>
        <v>38397.067436687881</v>
      </c>
      <c r="N99" s="149">
        <f t="shared" si="30"/>
        <v>2.4487000000000001</v>
      </c>
      <c r="O99" s="83">
        <f t="shared" si="31"/>
        <v>94022.899032217625</v>
      </c>
    </row>
    <row r="100" spans="2:17" x14ac:dyDescent="0.25">
      <c r="B100" s="91" t="str">
        <f>B87</f>
        <v>General Service &gt; 1000 to 4999 kW</v>
      </c>
      <c r="C100" s="81"/>
      <c r="D100" s="92" t="str">
        <f>D87</f>
        <v>kWh</v>
      </c>
      <c r="E100" s="81">
        <f>E87</f>
        <v>0</v>
      </c>
      <c r="F100" s="149">
        <v>0</v>
      </c>
      <c r="G100" s="83">
        <f t="shared" si="29"/>
        <v>0</v>
      </c>
      <c r="J100" s="91" t="s">
        <v>98</v>
      </c>
      <c r="K100" s="81"/>
      <c r="L100" s="92" t="s">
        <v>50</v>
      </c>
      <c r="M100" s="81">
        <v>0</v>
      </c>
      <c r="N100" s="149">
        <f t="shared" si="30"/>
        <v>0</v>
      </c>
      <c r="O100" s="83">
        <f t="shared" si="31"/>
        <v>0</v>
      </c>
    </row>
    <row r="101" spans="2:17" x14ac:dyDescent="0.25">
      <c r="B101" s="91" t="str">
        <f>B88</f>
        <v>Large User</v>
      </c>
      <c r="C101" s="81"/>
      <c r="D101" s="92" t="str">
        <f>D88</f>
        <v>kWh</v>
      </c>
      <c r="E101" s="81">
        <f>E88</f>
        <v>0</v>
      </c>
      <c r="F101" s="149">
        <v>0</v>
      </c>
      <c r="G101" s="83">
        <f t="shared" si="29"/>
        <v>0</v>
      </c>
      <c r="J101" s="91" t="s">
        <v>71</v>
      </c>
      <c r="K101" s="81"/>
      <c r="L101" s="92" t="s">
        <v>50</v>
      </c>
      <c r="M101" s="81">
        <v>0</v>
      </c>
      <c r="N101" s="149">
        <f t="shared" si="30"/>
        <v>0</v>
      </c>
      <c r="O101" s="83">
        <f t="shared" si="31"/>
        <v>0</v>
      </c>
    </row>
    <row r="102" spans="2:17" x14ac:dyDescent="0.25">
      <c r="B102" s="73" t="s">
        <v>107</v>
      </c>
      <c r="C102" s="81"/>
      <c r="D102" s="186" t="s">
        <v>51</v>
      </c>
      <c r="E102" s="81">
        <v>0</v>
      </c>
      <c r="F102" s="149">
        <v>1.9242999999999999</v>
      </c>
      <c r="G102" s="83">
        <f t="shared" si="29"/>
        <v>0</v>
      </c>
      <c r="J102" s="73" t="s">
        <v>107</v>
      </c>
      <c r="K102" s="81"/>
      <c r="L102" s="186" t="s">
        <v>51</v>
      </c>
      <c r="M102" s="81">
        <f>D10</f>
        <v>67.382247233170062</v>
      </c>
      <c r="N102" s="149">
        <f t="shared" si="30"/>
        <v>1.9242999999999999</v>
      </c>
      <c r="O102" s="83">
        <f t="shared" si="31"/>
        <v>129.66365835078915</v>
      </c>
    </row>
    <row r="103" spans="2:17" x14ac:dyDescent="0.25">
      <c r="B103" s="91" t="str">
        <f t="shared" ref="B103:B105" si="32">B90</f>
        <v>Street Lights</v>
      </c>
      <c r="C103" s="81"/>
      <c r="D103" s="186" t="s">
        <v>51</v>
      </c>
      <c r="E103" s="81">
        <v>0</v>
      </c>
      <c r="F103" s="149">
        <v>1.8849</v>
      </c>
      <c r="G103" s="83">
        <f t="shared" si="29"/>
        <v>0</v>
      </c>
      <c r="J103" s="91" t="s">
        <v>47</v>
      </c>
      <c r="K103" s="81"/>
      <c r="L103" s="186" t="s">
        <v>51</v>
      </c>
      <c r="M103" s="81">
        <f>D11</f>
        <v>659.99999999999829</v>
      </c>
      <c r="N103" s="149">
        <f t="shared" si="30"/>
        <v>1.8849</v>
      </c>
      <c r="O103" s="83">
        <f t="shared" si="31"/>
        <v>1244.0339999999967</v>
      </c>
    </row>
    <row r="104" spans="2:17" x14ac:dyDescent="0.25">
      <c r="B104" s="91" t="str">
        <f t="shared" si="32"/>
        <v xml:space="preserve">Unmetered Loads </v>
      </c>
      <c r="C104" s="81"/>
      <c r="D104" s="92" t="str">
        <f>D91</f>
        <v>kWh</v>
      </c>
      <c r="E104" s="81">
        <f>C26</f>
        <v>107969.2139503402</v>
      </c>
      <c r="F104" s="149">
        <v>6.1000000000000004E-3</v>
      </c>
      <c r="G104" s="83">
        <f t="shared" si="29"/>
        <v>658.61220509707528</v>
      </c>
      <c r="J104" s="91" t="s">
        <v>2</v>
      </c>
      <c r="K104" s="81"/>
      <c r="L104" s="92" t="s">
        <v>50</v>
      </c>
      <c r="M104" s="81">
        <f>K26</f>
        <v>11365.180415825278</v>
      </c>
      <c r="N104" s="149">
        <f t="shared" si="30"/>
        <v>6.1000000000000004E-3</v>
      </c>
      <c r="O104" s="83">
        <f t="shared" si="31"/>
        <v>69.327600536534206</v>
      </c>
    </row>
    <row r="105" spans="2:17" x14ac:dyDescent="0.25">
      <c r="B105" s="91" t="str">
        <f t="shared" si="32"/>
        <v>Embedded Distributors - Hydro One</v>
      </c>
      <c r="C105" s="81"/>
      <c r="D105" s="92" t="str">
        <f>D92</f>
        <v>kWh</v>
      </c>
      <c r="E105" s="81">
        <f>E92</f>
        <v>0</v>
      </c>
      <c r="F105" s="149">
        <v>0</v>
      </c>
      <c r="G105" s="83">
        <f t="shared" si="29"/>
        <v>0</v>
      </c>
      <c r="J105" s="91" t="s">
        <v>99</v>
      </c>
      <c r="K105" s="81"/>
      <c r="L105" s="92" t="s">
        <v>50</v>
      </c>
      <c r="M105" s="81">
        <v>0</v>
      </c>
      <c r="N105" s="149">
        <f t="shared" si="30"/>
        <v>0</v>
      </c>
      <c r="O105" s="83">
        <f t="shared" si="31"/>
        <v>0</v>
      </c>
    </row>
    <row r="106" spans="2:17" ht="13" x14ac:dyDescent="0.3">
      <c r="B106" s="77" t="s">
        <v>52</v>
      </c>
      <c r="C106" s="78"/>
      <c r="D106" s="79"/>
      <c r="E106" s="78">
        <f>SUM(E97:E105)</f>
        <v>41407764.377819724</v>
      </c>
      <c r="F106" s="84"/>
      <c r="G106" s="94">
        <f>SUM(G97:G105)</f>
        <v>282320.18402590335</v>
      </c>
      <c r="J106" s="77" t="s">
        <v>52</v>
      </c>
      <c r="K106" s="78"/>
      <c r="L106" s="79"/>
      <c r="M106" s="78">
        <f>SUM(M97:M105)</f>
        <v>1843080.4617640402</v>
      </c>
      <c r="N106" s="84"/>
      <c r="O106" s="94">
        <f>SUM(O97:O105)</f>
        <v>107139.11960378096</v>
      </c>
      <c r="Q106" s="618">
        <f>O106+G106</f>
        <v>389459.30362968432</v>
      </c>
    </row>
    <row r="107" spans="2:17" ht="13" x14ac:dyDescent="0.3">
      <c r="B107" s="86"/>
      <c r="C107" s="87"/>
      <c r="D107" s="88"/>
      <c r="E107" s="87"/>
      <c r="F107" s="89"/>
      <c r="G107" s="189"/>
    </row>
    <row r="108" spans="2:17" ht="13" x14ac:dyDescent="0.3">
      <c r="B108" s="134" t="s">
        <v>178</v>
      </c>
      <c r="C108" s="135"/>
      <c r="D108" s="137"/>
      <c r="E108" s="135"/>
      <c r="F108" s="815"/>
      <c r="G108" s="816"/>
      <c r="H108" s="31"/>
    </row>
    <row r="109" spans="2:17" ht="13" x14ac:dyDescent="0.3">
      <c r="B109" s="133" t="s">
        <v>56</v>
      </c>
      <c r="C109" s="187" t="s">
        <v>179</v>
      </c>
      <c r="D109" s="812">
        <v>2020</v>
      </c>
      <c r="E109" s="814"/>
      <c r="F109" s="31"/>
      <c r="G109" s="31"/>
      <c r="H109" s="31"/>
    </row>
    <row r="110" spans="2:17" x14ac:dyDescent="0.25">
      <c r="B110" s="91" t="str">
        <f>B97</f>
        <v xml:space="preserve">Residential </v>
      </c>
      <c r="C110" s="81">
        <f>Summary!L14</f>
        <v>2905.3354231059589</v>
      </c>
      <c r="D110" s="149">
        <v>0.56999999999999995</v>
      </c>
      <c r="E110" s="83">
        <f>(C110*D110*12)</f>
        <v>19872.494294044758</v>
      </c>
    </row>
    <row r="111" spans="2:17" x14ac:dyDescent="0.25">
      <c r="B111" s="91" t="str">
        <f>B98</f>
        <v>General Service &lt; 50 kW</v>
      </c>
      <c r="C111" s="81">
        <f>Summary!L18</f>
        <v>374.55491835736069</v>
      </c>
      <c r="D111" s="149">
        <v>0.56999999999999995</v>
      </c>
      <c r="E111" s="83">
        <f t="shared" ref="E111:E118" si="33">(C111*D111*12)</f>
        <v>2561.9556415643469</v>
      </c>
    </row>
    <row r="112" spans="2:17" x14ac:dyDescent="0.25">
      <c r="B112" s="91" t="str">
        <f>B99</f>
        <v>General Service &gt; 50 to 4999 kW</v>
      </c>
      <c r="C112" s="81">
        <f>Summary!L22</f>
        <v>28.958151435622646</v>
      </c>
      <c r="D112" s="149">
        <v>0.56999999999999995</v>
      </c>
      <c r="E112" s="83">
        <f t="shared" si="33"/>
        <v>198.07375581965889</v>
      </c>
    </row>
    <row r="113" spans="2:7" x14ac:dyDescent="0.25">
      <c r="B113" s="91" t="str">
        <f>B100</f>
        <v>General Service &gt; 1000 to 4999 kW</v>
      </c>
      <c r="C113" s="81">
        <v>0</v>
      </c>
      <c r="D113" s="149">
        <v>0.56999999999999995</v>
      </c>
      <c r="E113" s="83">
        <f t="shared" si="33"/>
        <v>0</v>
      </c>
    </row>
    <row r="114" spans="2:7" x14ac:dyDescent="0.25">
      <c r="B114" s="91" t="str">
        <f>B101</f>
        <v>Large User</v>
      </c>
      <c r="C114" s="81">
        <v>0</v>
      </c>
      <c r="D114" s="149"/>
      <c r="E114" s="83">
        <f t="shared" si="33"/>
        <v>0</v>
      </c>
    </row>
    <row r="115" spans="2:7" x14ac:dyDescent="0.25">
      <c r="B115" s="73" t="s">
        <v>107</v>
      </c>
      <c r="C115" s="81">
        <f>Summary!L27</f>
        <v>24.90214024902302</v>
      </c>
      <c r="D115" s="149"/>
      <c r="E115" s="83">
        <f t="shared" si="33"/>
        <v>0</v>
      </c>
    </row>
    <row r="116" spans="2:7" x14ac:dyDescent="0.25">
      <c r="B116" s="91" t="str">
        <f t="shared" ref="B116:B118" si="34">B103</f>
        <v>Street Lights</v>
      </c>
      <c r="C116" s="81">
        <v>2</v>
      </c>
      <c r="D116" s="149"/>
      <c r="E116" s="83">
        <f t="shared" si="33"/>
        <v>0</v>
      </c>
    </row>
    <row r="117" spans="2:7" x14ac:dyDescent="0.25">
      <c r="B117" s="91" t="str">
        <f t="shared" si="34"/>
        <v xml:space="preserve">Unmetered Loads </v>
      </c>
      <c r="C117" s="81">
        <f>Summary!L37</f>
        <v>21</v>
      </c>
      <c r="D117" s="149"/>
      <c r="E117" s="83">
        <f t="shared" si="33"/>
        <v>0</v>
      </c>
    </row>
    <row r="118" spans="2:7" x14ac:dyDescent="0.25">
      <c r="B118" s="91" t="str">
        <f t="shared" si="34"/>
        <v>Embedded Distributors - Hydro One</v>
      </c>
      <c r="C118" s="81">
        <v>0</v>
      </c>
      <c r="D118" s="149"/>
      <c r="E118" s="83">
        <f t="shared" si="33"/>
        <v>0</v>
      </c>
    </row>
    <row r="119" spans="2:7" ht="13" x14ac:dyDescent="0.3">
      <c r="B119" s="77" t="s">
        <v>52</v>
      </c>
      <c r="C119" s="78"/>
      <c r="D119" s="84"/>
      <c r="E119" s="94">
        <f>SUM(E110:E118)</f>
        <v>22632.523691428763</v>
      </c>
    </row>
    <row r="120" spans="2:7" ht="13" x14ac:dyDescent="0.3">
      <c r="B120" s="86"/>
      <c r="C120" s="87"/>
      <c r="D120" s="88"/>
      <c r="E120" s="87"/>
      <c r="F120" s="89"/>
      <c r="G120" s="189"/>
    </row>
    <row r="121" spans="2:7" ht="13" x14ac:dyDescent="0.3">
      <c r="B121" s="142"/>
      <c r="C121" s="143">
        <v>2020</v>
      </c>
    </row>
    <row r="122" spans="2:7" x14ac:dyDescent="0.25">
      <c r="B122" s="56"/>
      <c r="C122" s="95"/>
    </row>
    <row r="123" spans="2:7" x14ac:dyDescent="0.25">
      <c r="B123" s="54" t="s">
        <v>63</v>
      </c>
      <c r="C123" s="658">
        <f>G28+O28</f>
        <v>6416132.1875082506</v>
      </c>
    </row>
    <row r="124" spans="2:7" x14ac:dyDescent="0.25">
      <c r="B124" s="144" t="s">
        <v>320</v>
      </c>
      <c r="C124" s="658">
        <f>O41</f>
        <v>1612978.6170669908</v>
      </c>
    </row>
    <row r="125" spans="2:7" x14ac:dyDescent="0.25">
      <c r="B125" s="54" t="s">
        <v>64</v>
      </c>
      <c r="C125" s="659">
        <f>G80+O80</f>
        <v>219942.67761671223</v>
      </c>
    </row>
    <row r="126" spans="2:7" x14ac:dyDescent="0.25">
      <c r="B126" s="54" t="s">
        <v>65</v>
      </c>
      <c r="C126" s="659">
        <f>G54+O54</f>
        <v>378298.52728560753</v>
      </c>
    </row>
    <row r="127" spans="2:7" x14ac:dyDescent="0.25">
      <c r="B127" s="54" t="s">
        <v>66</v>
      </c>
      <c r="C127" s="659">
        <f>G67+O67</f>
        <v>234301.0798720367</v>
      </c>
    </row>
    <row r="128" spans="2:7" x14ac:dyDescent="0.25">
      <c r="B128" s="54" t="s">
        <v>67</v>
      </c>
      <c r="C128" s="659">
        <f>G93+O93</f>
        <v>25136.306013338541</v>
      </c>
    </row>
    <row r="129" spans="2:10" x14ac:dyDescent="0.25">
      <c r="B129" s="54" t="s">
        <v>68</v>
      </c>
      <c r="C129" s="660">
        <f>G106+O106</f>
        <v>389459.30362968432</v>
      </c>
    </row>
    <row r="130" spans="2:10" x14ac:dyDescent="0.25">
      <c r="B130" s="144" t="s">
        <v>96</v>
      </c>
      <c r="C130" s="660">
        <f>E119</f>
        <v>22632.523691428763</v>
      </c>
    </row>
    <row r="131" spans="2:10" x14ac:dyDescent="0.25">
      <c r="B131" s="144" t="s">
        <v>321</v>
      </c>
      <c r="C131" s="660">
        <f>-(E119+G106+G93+G80+G54+G28+G67)*0.318</f>
        <v>-2242283.1438854421</v>
      </c>
    </row>
    <row r="132" spans="2:10" ht="13" x14ac:dyDescent="0.3">
      <c r="B132" s="61" t="s">
        <v>52</v>
      </c>
      <c r="C132" s="668">
        <f>SUM(C123:C131)</f>
        <v>7056598.0787986079</v>
      </c>
    </row>
    <row r="133" spans="2:10" x14ac:dyDescent="0.25">
      <c r="B133" s="56"/>
      <c r="C133" s="95"/>
    </row>
    <row r="134" spans="2:10" x14ac:dyDescent="0.25">
      <c r="B134" s="144"/>
      <c r="C134" s="96"/>
    </row>
    <row r="135" spans="2:10" ht="13" x14ac:dyDescent="0.3">
      <c r="B135" s="142"/>
      <c r="C135" s="594" t="s">
        <v>322</v>
      </c>
      <c r="D135" s="594" t="s">
        <v>323</v>
      </c>
      <c r="E135" s="594" t="s">
        <v>11</v>
      </c>
      <c r="F135" s="594" t="s">
        <v>324</v>
      </c>
      <c r="G135" s="594" t="s">
        <v>325</v>
      </c>
      <c r="H135" s="602" t="s">
        <v>326</v>
      </c>
    </row>
    <row r="136" spans="2:10" x14ac:dyDescent="0.25">
      <c r="B136" s="56" t="s">
        <v>297</v>
      </c>
      <c r="C136" s="588">
        <f>G19</f>
        <v>4373170.8110645069</v>
      </c>
      <c r="D136" s="587">
        <f>O19+O32</f>
        <v>94758.306454379388</v>
      </c>
      <c r="E136" s="589">
        <f>C136+D136</f>
        <v>4467929.117518886</v>
      </c>
      <c r="F136" s="512">
        <f>E136/SUM($E$136:$E$140)</f>
        <v>0.55646624218623553</v>
      </c>
      <c r="G136" s="598">
        <f>F136*$C$131</f>
        <v>-1247754.87499547</v>
      </c>
      <c r="H136" s="604">
        <f>E136+G136</f>
        <v>3220174.2425234159</v>
      </c>
      <c r="J136" s="598">
        <f>-H136</f>
        <v>-3220174.2425234159</v>
      </c>
    </row>
    <row r="137" spans="2:10" x14ac:dyDescent="0.25">
      <c r="B137" s="144" t="s">
        <v>298</v>
      </c>
      <c r="C137" s="588">
        <v>0</v>
      </c>
      <c r="D137" s="587">
        <f>O25+O38</f>
        <v>30494.252076801495</v>
      </c>
      <c r="E137" s="589">
        <f t="shared" ref="E137:E145" si="35">C137+D137</f>
        <v>30494.252076801495</v>
      </c>
      <c r="F137" s="512">
        <f t="shared" ref="F137:F140" si="36">E137/SUM($E$136:$E$140)</f>
        <v>3.7979612959662869E-3</v>
      </c>
      <c r="G137" s="598">
        <f t="shared" ref="G137:G140" si="37">F137*$C$131</f>
        <v>-8516.1045950745138</v>
      </c>
      <c r="H137" s="604">
        <f t="shared" ref="H137:H145" si="38">E137+G137</f>
        <v>21978.147481726981</v>
      </c>
      <c r="J137" s="598">
        <f t="shared" ref="J137:J145" si="39">-H137</f>
        <v>-21978.147481726981</v>
      </c>
    </row>
    <row r="138" spans="2:10" x14ac:dyDescent="0.25">
      <c r="B138" s="144" t="s">
        <v>299</v>
      </c>
      <c r="C138" s="590">
        <f>G24</f>
        <v>3203.1497564977381</v>
      </c>
      <c r="D138" s="587">
        <f>O24+O37</f>
        <v>96.307000387671536</v>
      </c>
      <c r="E138" s="589">
        <f t="shared" si="35"/>
        <v>3299.4567568854095</v>
      </c>
      <c r="F138" s="512">
        <f t="shared" si="36"/>
        <v>4.1093675715687906E-4</v>
      </c>
      <c r="G138" s="598">
        <f t="shared" si="37"/>
        <v>-921.43656377581522</v>
      </c>
      <c r="H138" s="604">
        <f t="shared" si="38"/>
        <v>2378.0201931095944</v>
      </c>
      <c r="J138" s="598">
        <f t="shared" si="39"/>
        <v>-2378.0201931095944</v>
      </c>
    </row>
    <row r="139" spans="2:10" x14ac:dyDescent="0.25">
      <c r="B139" s="144" t="s">
        <v>300</v>
      </c>
      <c r="C139" s="590">
        <f>G20+G21</f>
        <v>1721742.9695012802</v>
      </c>
      <c r="D139" s="587">
        <f>O20+O21+O33+O34</f>
        <v>1790647.7094265374</v>
      </c>
      <c r="E139" s="589">
        <f t="shared" si="35"/>
        <v>3512390.6789278174</v>
      </c>
      <c r="F139" s="512">
        <f t="shared" si="36"/>
        <v>0.43745699423233098</v>
      </c>
      <c r="G139" s="598">
        <f t="shared" si="37"/>
        <v>-980902.44434194674</v>
      </c>
      <c r="H139" s="604">
        <f t="shared" si="38"/>
        <v>2531488.2345858705</v>
      </c>
      <c r="J139" s="598">
        <f t="shared" si="39"/>
        <v>-2531488.2345858705</v>
      </c>
    </row>
    <row r="140" spans="2:10" x14ac:dyDescent="0.25">
      <c r="B140" s="144" t="s">
        <v>327</v>
      </c>
      <c r="C140" s="590">
        <f>G26</f>
        <v>14753.606448558832</v>
      </c>
      <c r="D140" s="587">
        <f>O26+O39</f>
        <v>243.6928462914093</v>
      </c>
      <c r="E140" s="589">
        <f t="shared" si="35"/>
        <v>14997.299294850241</v>
      </c>
      <c r="F140" s="512">
        <f t="shared" si="36"/>
        <v>1.8678655283103464E-3</v>
      </c>
      <c r="G140" s="598">
        <f t="shared" si="37"/>
        <v>-4188.283389174966</v>
      </c>
      <c r="H140" s="604">
        <f t="shared" si="38"/>
        <v>10809.015905675275</v>
      </c>
      <c r="J140" s="598">
        <f t="shared" si="39"/>
        <v>-10809.015905675275</v>
      </c>
    </row>
    <row r="141" spans="2:10" s="518" customFormat="1" x14ac:dyDescent="0.25">
      <c r="B141" s="144" t="s">
        <v>301</v>
      </c>
      <c r="C141" s="588">
        <f>G80+G93</f>
        <v>186207.88169496437</v>
      </c>
      <c r="D141" s="587">
        <f>O93+O80</f>
        <v>58871.101935086393</v>
      </c>
      <c r="E141" s="589">
        <f t="shared" si="35"/>
        <v>245078.98363005076</v>
      </c>
      <c r="F141" s="512"/>
      <c r="G141" s="598"/>
      <c r="H141" s="604">
        <f t="shared" si="38"/>
        <v>245078.98363005076</v>
      </c>
      <c r="J141" s="598">
        <f t="shared" si="39"/>
        <v>-245078.98363005076</v>
      </c>
    </row>
    <row r="142" spans="2:10" s="518" customFormat="1" x14ac:dyDescent="0.25">
      <c r="B142" s="144" t="s">
        <v>302</v>
      </c>
      <c r="C142" s="590">
        <f>G54</f>
        <v>274410.54735977727</v>
      </c>
      <c r="D142" s="587">
        <f>O54</f>
        <v>103887.97992583027</v>
      </c>
      <c r="E142" s="589">
        <f t="shared" si="35"/>
        <v>378298.52728560753</v>
      </c>
      <c r="F142" s="605"/>
      <c r="G142" s="605"/>
      <c r="H142" s="604">
        <f t="shared" si="38"/>
        <v>378298.52728560753</v>
      </c>
      <c r="J142" s="598">
        <f t="shared" si="39"/>
        <v>-378298.52728560753</v>
      </c>
    </row>
    <row r="143" spans="2:10" s="518" customFormat="1" x14ac:dyDescent="0.25">
      <c r="B143" s="144" t="s">
        <v>303</v>
      </c>
      <c r="C143" s="590">
        <f>G67</f>
        <v>172763.18144274922</v>
      </c>
      <c r="D143" s="587">
        <f>O67</f>
        <v>61537.898429287496</v>
      </c>
      <c r="E143" s="589">
        <f t="shared" si="35"/>
        <v>234301.0798720367</v>
      </c>
      <c r="F143" s="605"/>
      <c r="G143" s="605"/>
      <c r="H143" s="604">
        <f t="shared" si="38"/>
        <v>234301.0798720367</v>
      </c>
      <c r="J143" s="598">
        <f t="shared" si="39"/>
        <v>-234301.0798720367</v>
      </c>
    </row>
    <row r="144" spans="2:10" x14ac:dyDescent="0.25">
      <c r="B144" s="144" t="s">
        <v>304</v>
      </c>
      <c r="C144" s="590">
        <f>G106</f>
        <v>282320.18402590335</v>
      </c>
      <c r="D144" s="587">
        <f>O106</f>
        <v>107139.11960378096</v>
      </c>
      <c r="E144" s="589">
        <f t="shared" si="35"/>
        <v>389459.30362968432</v>
      </c>
      <c r="F144" s="605"/>
      <c r="G144" s="605"/>
      <c r="H144" s="604">
        <f t="shared" si="38"/>
        <v>389459.30362968432</v>
      </c>
      <c r="J144" s="598">
        <f t="shared" si="39"/>
        <v>-389459.30362968432</v>
      </c>
    </row>
    <row r="145" spans="2:10" x14ac:dyDescent="0.25">
      <c r="B145" s="144" t="s">
        <v>305</v>
      </c>
      <c r="C145" s="590">
        <f>E119</f>
        <v>22632.523691428763</v>
      </c>
      <c r="D145" s="587"/>
      <c r="E145" s="589">
        <f t="shared" si="35"/>
        <v>22632.523691428763</v>
      </c>
      <c r="F145" s="605"/>
      <c r="G145" s="605"/>
      <c r="H145" s="604">
        <f t="shared" si="38"/>
        <v>22632.523691428763</v>
      </c>
      <c r="J145" s="598">
        <f t="shared" si="39"/>
        <v>-22632.523691428763</v>
      </c>
    </row>
    <row r="146" spans="2:10" ht="13" x14ac:dyDescent="0.3">
      <c r="B146" s="61" t="s">
        <v>52</v>
      </c>
      <c r="C146" s="78">
        <v>6753263.0702489978</v>
      </c>
      <c r="D146" s="599">
        <v>1953777.8691692199</v>
      </c>
      <c r="E146" s="600">
        <v>8707040.9394182172</v>
      </c>
      <c r="F146" s="78"/>
      <c r="G146" s="600">
        <f>SUM(G136:G140)</f>
        <v>-2242283.1438854421</v>
      </c>
      <c r="H146" s="601">
        <f>SUM(H136:H145)</f>
        <v>7056598.0787986061</v>
      </c>
    </row>
  </sheetData>
  <customSheetViews>
    <customSheetView guid="{7481AE0E-2D6B-416C-8D95-7DAA8CA7C9F5}" scale="85" fitToPage="1">
      <selection activeCell="C14" sqref="C14"/>
      <pageMargins left="0.7" right="0.7" top="0.75" bottom="0.75" header="0.3" footer="0.3"/>
      <pageSetup scale="42" orientation="portrait" r:id="rId1"/>
      <headerFooter>
        <oddFooter>&amp;Z&amp;F</oddFooter>
      </headerFooter>
    </customSheetView>
    <customSheetView guid="{4115F855-0BCB-4789-890B-F67D0AF20543}" scale="85" fitToPage="1">
      <selection activeCell="C14" sqref="C14"/>
      <pageMargins left="0.7" right="0.7" top="0.75" bottom="0.75" header="0.3" footer="0.3"/>
      <pageSetup scale="42" orientation="portrait" r:id="rId2"/>
      <headerFooter>
        <oddFooter>&amp;Z&amp;F</oddFooter>
      </headerFooter>
    </customSheetView>
    <customSheetView guid="{DE47F5DD-3736-469D-8704-852547698004}" scale="90" fitToPage="1" topLeftCell="A118">
      <selection activeCell="C124" activeCellId="2" sqref="C131 C123 C124"/>
      <pageMargins left="0.7" right="0.7" top="0.75" bottom="0.75" header="0.3" footer="0.3"/>
      <pageSetup scale="42" orientation="portrait" r:id="rId3"/>
      <headerFooter>
        <oddFooter>&amp;Z&amp;F</oddFooter>
      </headerFooter>
    </customSheetView>
  </customSheetViews>
  <mergeCells count="13">
    <mergeCell ref="B3:E3"/>
    <mergeCell ref="C17:C18"/>
    <mergeCell ref="D17:D18"/>
    <mergeCell ref="E17:G18"/>
    <mergeCell ref="K17:K18"/>
    <mergeCell ref="L17:L18"/>
    <mergeCell ref="M17:O18"/>
    <mergeCell ref="F108:G108"/>
    <mergeCell ref="D109:E109"/>
    <mergeCell ref="E96:G96"/>
    <mergeCell ref="E44:G44"/>
    <mergeCell ref="E70:G70"/>
    <mergeCell ref="E83:G83"/>
  </mergeCells>
  <pageMargins left="0.7" right="0.7" top="0.75" bottom="0.75" header="0.3" footer="0.3"/>
  <pageSetup scale="31" orientation="portrait" r:id="rId4"/>
  <headerFooter>
    <oddFooter>&amp;Z&amp;F</oddFooter>
  </headerFooter>
  <legacy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8"/>
  <sheetViews>
    <sheetView topLeftCell="A120" zoomScale="80" zoomScaleNormal="80" workbookViewId="0">
      <selection activeCell="H148" sqref="H148"/>
    </sheetView>
  </sheetViews>
  <sheetFormatPr defaultRowHeight="12.5" x14ac:dyDescent="0.25"/>
  <cols>
    <col min="2" max="2" width="31.6328125" bestFit="1" customWidth="1"/>
    <col min="3" max="3" width="20.08984375" bestFit="1" customWidth="1"/>
    <col min="4" max="4" width="15.453125" customWidth="1"/>
    <col min="5" max="5" width="14" bestFit="1" customWidth="1"/>
    <col min="6" max="6" width="18.453125" customWidth="1"/>
    <col min="7" max="7" width="16" customWidth="1"/>
    <col min="8" max="8" width="13.1796875" bestFit="1" customWidth="1"/>
    <col min="10" max="10" width="33.54296875" customWidth="1"/>
    <col min="11" max="11" width="12" customWidth="1"/>
    <col min="13" max="13" width="11.36328125" customWidth="1"/>
    <col min="15" max="15" width="11.1796875" bestFit="1" customWidth="1"/>
    <col min="17" max="17" width="14" bestFit="1" customWidth="1"/>
  </cols>
  <sheetData>
    <row r="1" spans="1:11" x14ac:dyDescent="0.25">
      <c r="A1" s="518"/>
      <c r="B1" s="518"/>
      <c r="C1" s="518"/>
      <c r="D1" s="518"/>
      <c r="E1" s="518"/>
      <c r="F1" s="518"/>
      <c r="G1" s="518"/>
    </row>
    <row r="2" spans="1:11" ht="13" thickBot="1" x14ac:dyDescent="0.3">
      <c r="A2" s="518"/>
      <c r="B2" s="518"/>
      <c r="C2" s="518"/>
      <c r="D2" s="518"/>
      <c r="E2" s="518"/>
      <c r="F2" s="518"/>
      <c r="G2" s="518"/>
    </row>
    <row r="3" spans="1:11" ht="13.5" thickBot="1" x14ac:dyDescent="0.35">
      <c r="A3" s="518"/>
      <c r="B3" s="535" t="s">
        <v>306</v>
      </c>
      <c r="C3" s="526"/>
      <c r="D3" s="526"/>
      <c r="E3" s="527"/>
      <c r="F3" s="518"/>
      <c r="G3" s="518"/>
      <c r="J3" s="551" t="s">
        <v>310</v>
      </c>
      <c r="K3" s="495">
        <v>0.33200000000000002</v>
      </c>
    </row>
    <row r="4" spans="1:11" ht="13" x14ac:dyDescent="0.3">
      <c r="A4" s="518"/>
      <c r="B4" s="361" t="s">
        <v>296</v>
      </c>
      <c r="C4" s="62" t="s">
        <v>50</v>
      </c>
      <c r="D4" s="62" t="s">
        <v>51</v>
      </c>
      <c r="E4" s="360" t="s">
        <v>372</v>
      </c>
      <c r="F4" s="518"/>
      <c r="G4" s="518"/>
    </row>
    <row r="5" spans="1:11" x14ac:dyDescent="0.25">
      <c r="A5" s="518"/>
      <c r="B5" s="73" t="s">
        <v>1</v>
      </c>
      <c r="C5" s="74">
        <f>Summary!M15</f>
        <v>32639691.743550409</v>
      </c>
      <c r="D5" s="75"/>
      <c r="E5" s="131">
        <f>2839/2901</f>
        <v>0.97862805928990004</v>
      </c>
      <c r="F5" s="518"/>
      <c r="G5" s="50"/>
    </row>
    <row r="6" spans="1:11" x14ac:dyDescent="0.25">
      <c r="A6" s="518"/>
      <c r="B6" s="73" t="s">
        <v>97</v>
      </c>
      <c r="C6" s="74">
        <f>Summary!M19</f>
        <v>10191189.978466244</v>
      </c>
      <c r="D6" s="75"/>
      <c r="E6" s="131">
        <f>340/380</f>
        <v>0.89473684210526316</v>
      </c>
      <c r="F6" s="518"/>
      <c r="G6" s="50"/>
    </row>
    <row r="7" spans="1:11" x14ac:dyDescent="0.25">
      <c r="A7" s="518"/>
      <c r="B7" s="378" t="s">
        <v>208</v>
      </c>
      <c r="C7" s="74">
        <f>Summary!M23</f>
        <v>15482365.194211636</v>
      </c>
      <c r="D7" s="76">
        <f>Summary!M24</f>
        <v>38558.693646466199</v>
      </c>
      <c r="E7" s="131">
        <f>6/28</f>
        <v>0.21428571428571427</v>
      </c>
      <c r="F7" s="747">
        <f>1-E7</f>
        <v>0.7857142857142857</v>
      </c>
      <c r="G7" s="50"/>
    </row>
    <row r="8" spans="1:11" x14ac:dyDescent="0.25">
      <c r="A8" s="518"/>
      <c r="B8" s="73" t="s">
        <v>98</v>
      </c>
      <c r="C8" s="364">
        <v>0</v>
      </c>
      <c r="D8" s="76">
        <v>0</v>
      </c>
      <c r="E8" s="131">
        <v>0</v>
      </c>
      <c r="F8" s="518"/>
      <c r="G8" s="50"/>
    </row>
    <row r="9" spans="1:11" x14ac:dyDescent="0.25">
      <c r="A9" s="518"/>
      <c r="B9" s="73" t="s">
        <v>71</v>
      </c>
      <c r="C9" s="364">
        <v>0</v>
      </c>
      <c r="D9" s="76">
        <v>0</v>
      </c>
      <c r="E9" s="131">
        <v>0</v>
      </c>
      <c r="F9" s="518"/>
      <c r="G9" s="50"/>
    </row>
    <row r="10" spans="1:11" x14ac:dyDescent="0.25">
      <c r="A10" s="518"/>
      <c r="B10" s="73" t="s">
        <v>107</v>
      </c>
      <c r="C10" s="74">
        <f>Summary!M28</f>
        <v>24257.609003941219</v>
      </c>
      <c r="D10" s="76">
        <f>Summary!M29</f>
        <v>67.382247233170062</v>
      </c>
      <c r="E10" s="131">
        <f>24/25</f>
        <v>0.96</v>
      </c>
      <c r="F10" s="747">
        <f>1-E10</f>
        <v>4.0000000000000036E-2</v>
      </c>
      <c r="G10" s="50"/>
    </row>
    <row r="11" spans="1:11" x14ac:dyDescent="0.25">
      <c r="A11" s="518"/>
      <c r="B11" s="73" t="s">
        <v>47</v>
      </c>
      <c r="C11" s="74">
        <f>Summary!M33</f>
        <v>224918.5</v>
      </c>
      <c r="D11" s="76">
        <f>Summary!M34</f>
        <v>659.99999999999829</v>
      </c>
      <c r="E11" s="131">
        <v>0</v>
      </c>
      <c r="F11" s="518"/>
      <c r="G11" s="50"/>
    </row>
    <row r="12" spans="1:11" x14ac:dyDescent="0.25">
      <c r="A12" s="518"/>
      <c r="B12" s="73" t="s">
        <v>2</v>
      </c>
      <c r="C12" s="74">
        <f>Summary!M38</f>
        <v>115182.4523499588</v>
      </c>
      <c r="D12" s="76"/>
      <c r="E12" s="131">
        <f>19/21</f>
        <v>0.90476190476190477</v>
      </c>
      <c r="F12" s="518"/>
      <c r="G12" s="50"/>
    </row>
    <row r="13" spans="1:11" x14ac:dyDescent="0.25">
      <c r="A13" s="518"/>
      <c r="B13" s="73" t="s">
        <v>99</v>
      </c>
      <c r="C13" s="74"/>
      <c r="D13" s="76"/>
      <c r="E13" s="131">
        <v>0</v>
      </c>
      <c r="F13" s="518"/>
      <c r="G13" s="50"/>
    </row>
    <row r="14" spans="1:11" ht="13" x14ac:dyDescent="0.3">
      <c r="A14" s="518"/>
      <c r="B14" s="77" t="s">
        <v>52</v>
      </c>
      <c r="C14" s="78">
        <f>SUM(C5:C13)</f>
        <v>58677605.477582194</v>
      </c>
      <c r="D14" s="78">
        <f>SUM(D5:D13)</f>
        <v>39286.075893699366</v>
      </c>
      <c r="E14" s="359"/>
      <c r="F14" s="518"/>
      <c r="G14" s="518"/>
    </row>
    <row r="15" spans="1:11" x14ac:dyDescent="0.25">
      <c r="A15" s="518"/>
      <c r="B15" s="518"/>
      <c r="C15" s="53"/>
      <c r="D15" s="53"/>
      <c r="E15" s="518"/>
      <c r="F15" s="518"/>
      <c r="G15" s="518"/>
    </row>
    <row r="16" spans="1:11" x14ac:dyDescent="0.25">
      <c r="A16" s="518"/>
      <c r="B16" s="518"/>
      <c r="C16" s="518"/>
      <c r="D16" s="518"/>
      <c r="E16" s="518"/>
      <c r="F16" s="518"/>
      <c r="G16" s="518"/>
    </row>
    <row r="17" spans="1:17" ht="52" x14ac:dyDescent="0.3">
      <c r="A17" s="518"/>
      <c r="B17" s="132" t="s">
        <v>53</v>
      </c>
      <c r="C17" s="536" t="s">
        <v>307</v>
      </c>
      <c r="D17" s="529" t="s">
        <v>294</v>
      </c>
      <c r="E17" s="531">
        <v>2021</v>
      </c>
      <c r="F17" s="532"/>
      <c r="G17" s="533"/>
      <c r="J17" s="132" t="s">
        <v>55</v>
      </c>
      <c r="K17" s="536" t="s">
        <v>307</v>
      </c>
      <c r="L17" s="529" t="s">
        <v>294</v>
      </c>
      <c r="M17" s="531">
        <v>2021</v>
      </c>
      <c r="N17" s="532"/>
      <c r="O17" s="533"/>
    </row>
    <row r="18" spans="1:17" ht="13" x14ac:dyDescent="0.3">
      <c r="A18" s="518"/>
      <c r="B18" s="133" t="s">
        <v>54</v>
      </c>
      <c r="C18" s="528"/>
      <c r="D18" s="530"/>
      <c r="E18" s="521"/>
      <c r="F18" s="524"/>
      <c r="G18" s="522"/>
      <c r="J18" s="133" t="s">
        <v>56</v>
      </c>
      <c r="K18" s="528"/>
      <c r="L18" s="530"/>
      <c r="M18" s="521"/>
      <c r="N18" s="524"/>
      <c r="O18" s="522"/>
    </row>
    <row r="19" spans="1:17" x14ac:dyDescent="0.25">
      <c r="A19" s="518"/>
      <c r="B19" s="58" t="str">
        <f>B5</f>
        <v xml:space="preserve">Residential </v>
      </c>
      <c r="C19" s="74">
        <f t="shared" ref="C19:C27" si="0">C5*E5</f>
        <v>31942118.186811309</v>
      </c>
      <c r="D19" s="80">
        <f>'2020 COP Forecast'!D19</f>
        <v>1.0672999999999999</v>
      </c>
      <c r="E19" s="81">
        <f t="shared" ref="E19:E27" si="1">C19*D19</f>
        <v>34091822.740783706</v>
      </c>
      <c r="F19" s="146">
        <f>128.03/1000</f>
        <v>0.12803</v>
      </c>
      <c r="G19" s="83">
        <f>(E19*F19)</f>
        <v>4364776.0655025383</v>
      </c>
      <c r="J19" s="58" t="str">
        <f>B19</f>
        <v xml:space="preserve">Residential </v>
      </c>
      <c r="K19" s="74">
        <f>C5-C19</f>
        <v>697573.55673909932</v>
      </c>
      <c r="L19" s="75">
        <f t="shared" ref="L19:L27" si="2">D19</f>
        <v>1.0672999999999999</v>
      </c>
      <c r="M19" s="81">
        <f t="shared" ref="M19:M27" si="3">K19*L19</f>
        <v>744520.25710764062</v>
      </c>
      <c r="N19" s="82">
        <v>2.009E-2</v>
      </c>
      <c r="O19" s="83">
        <f>M19*N19</f>
        <v>14957.4119652925</v>
      </c>
    </row>
    <row r="20" spans="1:17" x14ac:dyDescent="0.25">
      <c r="A20" s="518"/>
      <c r="B20" s="58" t="str">
        <f>B6</f>
        <v>General Service &lt; 50 kW</v>
      </c>
      <c r="C20" s="74">
        <f t="shared" si="0"/>
        <v>9118433.1386276931</v>
      </c>
      <c r="D20" s="80">
        <f>'2020 COP Forecast'!D20</f>
        <v>1.0672999999999999</v>
      </c>
      <c r="E20" s="81">
        <f t="shared" si="1"/>
        <v>9732103.6888573356</v>
      </c>
      <c r="F20" s="146">
        <f>$F$19</f>
        <v>0.12803</v>
      </c>
      <c r="G20" s="83">
        <f t="shared" ref="G20:G27" si="4">(E20*F20)</f>
        <v>1246001.2352844048</v>
      </c>
      <c r="J20" s="58" t="str">
        <f>B20</f>
        <v>General Service &lt; 50 kW</v>
      </c>
      <c r="K20" s="74">
        <f>C6-C20</f>
        <v>1072756.8398385514</v>
      </c>
      <c r="L20" s="75">
        <f t="shared" si="2"/>
        <v>1.0672999999999999</v>
      </c>
      <c r="M20" s="81">
        <f t="shared" si="3"/>
        <v>1144953.3751596857</v>
      </c>
      <c r="N20" s="82">
        <f t="shared" ref="N20:N27" si="5">$N$19</f>
        <v>2.009E-2</v>
      </c>
      <c r="O20" s="83">
        <f t="shared" ref="O20:O27" si="6">M20*N20</f>
        <v>23002.113306958086</v>
      </c>
    </row>
    <row r="21" spans="1:17" x14ac:dyDescent="0.25">
      <c r="A21" s="518"/>
      <c r="B21" s="58" t="str">
        <f>B7</f>
        <v>General Service &gt; 50 to 4999 kW</v>
      </c>
      <c r="C21" s="74">
        <f t="shared" si="0"/>
        <v>3317649.6844739215</v>
      </c>
      <c r="D21" s="80">
        <f>'2020 COP Forecast'!D21</f>
        <v>1.0672999999999999</v>
      </c>
      <c r="E21" s="81">
        <f t="shared" si="1"/>
        <v>3540927.5082390164</v>
      </c>
      <c r="F21" s="146">
        <f t="shared" ref="F21:F27" si="7">$F$19</f>
        <v>0.12803</v>
      </c>
      <c r="G21" s="83">
        <f t="shared" si="4"/>
        <v>453344.94887984131</v>
      </c>
      <c r="J21" s="58" t="str">
        <f>B21</f>
        <v>General Service &gt; 50 to 4999 kW</v>
      </c>
      <c r="K21" s="74">
        <f>C7-C21</f>
        <v>12164715.509737715</v>
      </c>
      <c r="L21" s="75">
        <f t="shared" si="2"/>
        <v>1.0672999999999999</v>
      </c>
      <c r="M21" s="81">
        <f t="shared" si="3"/>
        <v>12983400.863543062</v>
      </c>
      <c r="N21" s="82">
        <f t="shared" si="5"/>
        <v>2.009E-2</v>
      </c>
      <c r="O21" s="83">
        <f t="shared" si="6"/>
        <v>260836.52334858011</v>
      </c>
    </row>
    <row r="22" spans="1:17" x14ac:dyDescent="0.25">
      <c r="A22" s="518"/>
      <c r="B22" s="58" t="str">
        <f>B8</f>
        <v>General Service &gt; 1000 to 4999 kW</v>
      </c>
      <c r="C22" s="74">
        <f t="shared" si="0"/>
        <v>0</v>
      </c>
      <c r="D22" s="80">
        <f>'2020 COP Forecast'!D22</f>
        <v>1.0672999999999999</v>
      </c>
      <c r="E22" s="81">
        <f t="shared" si="1"/>
        <v>0</v>
      </c>
      <c r="F22" s="146">
        <f t="shared" si="7"/>
        <v>0.12803</v>
      </c>
      <c r="G22" s="83">
        <f t="shared" si="4"/>
        <v>0</v>
      </c>
      <c r="J22" s="58" t="str">
        <f>B22</f>
        <v>General Service &gt; 1000 to 4999 kW</v>
      </c>
      <c r="K22" s="74">
        <f>C8-C22</f>
        <v>0</v>
      </c>
      <c r="L22" s="75">
        <f t="shared" si="2"/>
        <v>1.0672999999999999</v>
      </c>
      <c r="M22" s="81">
        <f t="shared" si="3"/>
        <v>0</v>
      </c>
      <c r="N22" s="82">
        <f t="shared" si="5"/>
        <v>2.009E-2</v>
      </c>
      <c r="O22" s="83">
        <f t="shared" si="6"/>
        <v>0</v>
      </c>
    </row>
    <row r="23" spans="1:17" x14ac:dyDescent="0.25">
      <c r="A23" s="518"/>
      <c r="B23" s="58" t="str">
        <f>B9</f>
        <v>Large User</v>
      </c>
      <c r="C23" s="74">
        <f t="shared" si="0"/>
        <v>0</v>
      </c>
      <c r="D23" s="80">
        <f>'2020 COP Forecast'!D23</f>
        <v>1.0672999999999999</v>
      </c>
      <c r="E23" s="81">
        <f t="shared" si="1"/>
        <v>0</v>
      </c>
      <c r="F23" s="146">
        <f t="shared" si="7"/>
        <v>0.12803</v>
      </c>
      <c r="G23" s="83">
        <f t="shared" si="4"/>
        <v>0</v>
      </c>
      <c r="J23" s="58" t="str">
        <f>B23</f>
        <v>Large User</v>
      </c>
      <c r="K23" s="74">
        <f>C9-C23</f>
        <v>0</v>
      </c>
      <c r="L23" s="75">
        <f t="shared" si="2"/>
        <v>1.0672999999999999</v>
      </c>
      <c r="M23" s="81">
        <f t="shared" si="3"/>
        <v>0</v>
      </c>
      <c r="N23" s="82">
        <f t="shared" si="5"/>
        <v>2.009E-2</v>
      </c>
      <c r="O23" s="83">
        <f t="shared" si="6"/>
        <v>0</v>
      </c>
    </row>
    <row r="24" spans="1:17" x14ac:dyDescent="0.25">
      <c r="A24" s="518"/>
      <c r="B24" s="58" t="s">
        <v>107</v>
      </c>
      <c r="C24" s="74">
        <f t="shared" si="0"/>
        <v>23287.304643783569</v>
      </c>
      <c r="D24" s="80">
        <f>'2020 COP Forecast'!D24</f>
        <v>1.0672999999999999</v>
      </c>
      <c r="E24" s="81">
        <f t="shared" si="1"/>
        <v>24854.5402463102</v>
      </c>
      <c r="F24" s="146">
        <f t="shared" si="7"/>
        <v>0.12803</v>
      </c>
      <c r="G24" s="83">
        <f t="shared" si="4"/>
        <v>3182.1267877350951</v>
      </c>
      <c r="J24" s="58" t="s">
        <v>107</v>
      </c>
      <c r="K24" s="74">
        <f>C10*(1-E10)</f>
        <v>970.30436015764963</v>
      </c>
      <c r="L24" s="75">
        <f t="shared" si="2"/>
        <v>1.0672999999999999</v>
      </c>
      <c r="M24" s="81">
        <f t="shared" si="3"/>
        <v>1035.6058435962593</v>
      </c>
      <c r="N24" s="82">
        <f t="shared" si="5"/>
        <v>2.009E-2</v>
      </c>
      <c r="O24" s="83">
        <f t="shared" si="6"/>
        <v>20.80532139784885</v>
      </c>
    </row>
    <row r="25" spans="1:17" x14ac:dyDescent="0.25">
      <c r="A25" s="518"/>
      <c r="B25" s="58" t="str">
        <f>B11</f>
        <v>Street Lights</v>
      </c>
      <c r="C25" s="74">
        <f t="shared" si="0"/>
        <v>0</v>
      </c>
      <c r="D25" s="80">
        <f>'2020 COP Forecast'!D25</f>
        <v>1.0672999999999999</v>
      </c>
      <c r="E25" s="81">
        <f t="shared" si="1"/>
        <v>0</v>
      </c>
      <c r="F25" s="146">
        <f t="shared" si="7"/>
        <v>0.12803</v>
      </c>
      <c r="G25" s="83">
        <f t="shared" si="4"/>
        <v>0</v>
      </c>
      <c r="J25" s="58" t="str">
        <f>B25</f>
        <v>Street Lights</v>
      </c>
      <c r="K25" s="74">
        <f>C11-C25</f>
        <v>224918.5</v>
      </c>
      <c r="L25" s="75">
        <f t="shared" si="2"/>
        <v>1.0672999999999999</v>
      </c>
      <c r="M25" s="81">
        <f t="shared" si="3"/>
        <v>240055.51504999999</v>
      </c>
      <c r="N25" s="82">
        <f t="shared" si="5"/>
        <v>2.009E-2</v>
      </c>
      <c r="O25" s="83">
        <f t="shared" si="6"/>
        <v>4822.7152973544999</v>
      </c>
    </row>
    <row r="26" spans="1:17" x14ac:dyDescent="0.25">
      <c r="A26" s="518"/>
      <c r="B26" s="58" t="str">
        <f>B12</f>
        <v xml:space="preserve">Unmetered Loads </v>
      </c>
      <c r="C26" s="74">
        <f t="shared" si="0"/>
        <v>104212.69498329605</v>
      </c>
      <c r="D26" s="80">
        <f>'2020 COP Forecast'!D26</f>
        <v>1.0672999999999999</v>
      </c>
      <c r="E26" s="81">
        <f t="shared" si="1"/>
        <v>111226.20935567186</v>
      </c>
      <c r="F26" s="146">
        <f t="shared" si="7"/>
        <v>0.12803</v>
      </c>
      <c r="G26" s="83">
        <f t="shared" si="4"/>
        <v>14240.291583806669</v>
      </c>
      <c r="J26" s="58" t="str">
        <f>B26</f>
        <v xml:space="preserve">Unmetered Loads </v>
      </c>
      <c r="K26" s="74">
        <f>C12-C26</f>
        <v>10969.757366662743</v>
      </c>
      <c r="L26" s="75">
        <f t="shared" si="2"/>
        <v>1.0672999999999999</v>
      </c>
      <c r="M26" s="81">
        <f t="shared" si="3"/>
        <v>11708.022037439145</v>
      </c>
      <c r="N26" s="82">
        <f t="shared" si="5"/>
        <v>2.009E-2</v>
      </c>
      <c r="O26" s="83">
        <f t="shared" si="6"/>
        <v>235.21416273215243</v>
      </c>
    </row>
    <row r="27" spans="1:17" x14ac:dyDescent="0.25">
      <c r="A27" s="518"/>
      <c r="B27" s="58" t="str">
        <f>B13</f>
        <v>Embedded Distributors - Hydro One</v>
      </c>
      <c r="C27" s="74">
        <f t="shared" si="0"/>
        <v>0</v>
      </c>
      <c r="D27" s="80">
        <f>'2020 COP Forecast'!D27</f>
        <v>1.0672999999999999</v>
      </c>
      <c r="E27" s="81">
        <f t="shared" si="1"/>
        <v>0</v>
      </c>
      <c r="F27" s="146">
        <f t="shared" si="7"/>
        <v>0.12803</v>
      </c>
      <c r="G27" s="83">
        <f t="shared" si="4"/>
        <v>0</v>
      </c>
      <c r="J27" s="58" t="str">
        <f>B27</f>
        <v>Embedded Distributors - Hydro One</v>
      </c>
      <c r="K27" s="74">
        <f>C13-C27</f>
        <v>0</v>
      </c>
      <c r="L27" s="75">
        <f t="shared" si="2"/>
        <v>1.0672999999999999</v>
      </c>
      <c r="M27" s="81">
        <f t="shared" si="3"/>
        <v>0</v>
      </c>
      <c r="N27" s="82">
        <f t="shared" si="5"/>
        <v>2.009E-2</v>
      </c>
      <c r="O27" s="83">
        <f t="shared" si="6"/>
        <v>0</v>
      </c>
    </row>
    <row r="28" spans="1:17" ht="13" x14ac:dyDescent="0.3">
      <c r="A28" s="518"/>
      <c r="B28" s="77" t="s">
        <v>52</v>
      </c>
      <c r="C28" s="78">
        <f>SUM(C19:C27)</f>
        <v>44505701.009540007</v>
      </c>
      <c r="D28" s="79"/>
      <c r="E28" s="78">
        <f>SUM(E19:E27)</f>
        <v>47500934.687482037</v>
      </c>
      <c r="F28" s="147"/>
      <c r="G28" s="85">
        <f>SUM(G19:G27)</f>
        <v>6081544.6680383263</v>
      </c>
      <c r="J28" s="77" t="s">
        <v>52</v>
      </c>
      <c r="K28" s="78">
        <f>SUM(K19:K27)</f>
        <v>14171904.468042186</v>
      </c>
      <c r="L28" s="79"/>
      <c r="M28" s="78">
        <f>SUM(M19:M27)</f>
        <v>15125673.638741422</v>
      </c>
      <c r="N28" s="84"/>
      <c r="O28" s="85">
        <f>SUM(O19:O27)</f>
        <v>303874.78340231517</v>
      </c>
      <c r="Q28" s="579">
        <f>O28+G28</f>
        <v>6385419.4514406417</v>
      </c>
    </row>
    <row r="29" spans="1:17" ht="13" x14ac:dyDescent="0.3">
      <c r="A29" s="518"/>
      <c r="B29" s="86"/>
      <c r="C29" s="87"/>
      <c r="D29" s="88"/>
      <c r="E29" s="87"/>
      <c r="F29" s="89"/>
      <c r="G29" s="90"/>
    </row>
    <row r="30" spans="1:17" x14ac:dyDescent="0.25">
      <c r="A30" s="518"/>
    </row>
    <row r="31" spans="1:17" ht="52" x14ac:dyDescent="0.3">
      <c r="A31" s="518"/>
      <c r="B31" s="132" t="s">
        <v>319</v>
      </c>
      <c r="C31" s="568" t="s">
        <v>307</v>
      </c>
      <c r="D31" s="570" t="s">
        <v>294</v>
      </c>
      <c r="E31" s="572">
        <v>2021</v>
      </c>
      <c r="F31" s="573"/>
      <c r="G31" s="574"/>
      <c r="I31" t="s">
        <v>58</v>
      </c>
      <c r="J31" s="132" t="s">
        <v>319</v>
      </c>
      <c r="K31" s="568" t="s">
        <v>307</v>
      </c>
      <c r="L31" s="570" t="s">
        <v>294</v>
      </c>
      <c r="M31" s="572">
        <v>2021</v>
      </c>
      <c r="N31" s="573"/>
      <c r="O31" s="574"/>
    </row>
    <row r="32" spans="1:17" ht="13" x14ac:dyDescent="0.3">
      <c r="A32" s="518"/>
      <c r="B32" s="133" t="s">
        <v>54</v>
      </c>
      <c r="C32" s="569"/>
      <c r="D32" s="571"/>
      <c r="E32" s="575"/>
      <c r="F32" s="576"/>
      <c r="G32" s="577"/>
      <c r="J32" s="133" t="s">
        <v>54</v>
      </c>
      <c r="K32" s="569"/>
      <c r="L32" s="571"/>
      <c r="M32" s="575"/>
      <c r="N32" s="576"/>
      <c r="O32" s="577"/>
    </row>
    <row r="33" spans="1:17" x14ac:dyDescent="0.25">
      <c r="A33" s="518"/>
      <c r="B33" s="58" t="str">
        <f>B19</f>
        <v xml:space="preserve">Residential </v>
      </c>
      <c r="C33" s="74">
        <v>0</v>
      </c>
      <c r="D33" s="80">
        <f>'2020 COP Forecast'!L20</f>
        <v>1.0672999999999999</v>
      </c>
      <c r="E33" s="81">
        <f t="shared" ref="E33:E41" si="8">C33*D33</f>
        <v>0</v>
      </c>
      <c r="F33" s="146">
        <v>0.10693999999999999</v>
      </c>
      <c r="G33" s="83">
        <f>(E33*F33)</f>
        <v>0</v>
      </c>
      <c r="J33" s="58" t="str">
        <f>J19</f>
        <v xml:space="preserve">Residential </v>
      </c>
      <c r="K33" s="74">
        <f>K19</f>
        <v>697573.55673909932</v>
      </c>
      <c r="L33" s="80">
        <f>L19</f>
        <v>1.0672999999999999</v>
      </c>
      <c r="M33" s="81">
        <f t="shared" ref="M33:M41" si="9">K33*L33</f>
        <v>744520.25710764062</v>
      </c>
      <c r="N33" s="146">
        <v>0.10693999999999999</v>
      </c>
      <c r="O33" s="83">
        <f>(M33*N33)</f>
        <v>79618.996295091085</v>
      </c>
    </row>
    <row r="34" spans="1:17" x14ac:dyDescent="0.25">
      <c r="A34" s="518"/>
      <c r="B34" s="58" t="str">
        <f>B20</f>
        <v>General Service &lt; 50 kW</v>
      </c>
      <c r="C34" s="74">
        <v>0</v>
      </c>
      <c r="D34" s="80">
        <f>'2020 COP Forecast'!L21</f>
        <v>1.0672999999999999</v>
      </c>
      <c r="E34" s="81">
        <f t="shared" si="8"/>
        <v>0</v>
      </c>
      <c r="F34" s="146">
        <v>0.10693999999999999</v>
      </c>
      <c r="G34" s="83">
        <f t="shared" ref="G34:G41" si="10">(E34*F34)</f>
        <v>0</v>
      </c>
      <c r="J34" s="58" t="str">
        <f>J20</f>
        <v>General Service &lt; 50 kW</v>
      </c>
      <c r="K34" s="74">
        <f t="shared" ref="K34:L41" si="11">K20</f>
        <v>1072756.8398385514</v>
      </c>
      <c r="L34" s="80">
        <f t="shared" si="11"/>
        <v>1.0672999999999999</v>
      </c>
      <c r="M34" s="81">
        <f t="shared" si="9"/>
        <v>1144953.3751596857</v>
      </c>
      <c r="N34" s="146">
        <v>0.10693999999999999</v>
      </c>
      <c r="O34" s="83">
        <f t="shared" ref="O34:O41" si="12">(M34*N34)</f>
        <v>122441.31393957678</v>
      </c>
    </row>
    <row r="35" spans="1:17" x14ac:dyDescent="0.25">
      <c r="A35" s="518"/>
      <c r="B35" s="58" t="str">
        <f>B21</f>
        <v>General Service &gt; 50 to 4999 kW</v>
      </c>
      <c r="C35" s="74">
        <v>0</v>
      </c>
      <c r="D35" s="80">
        <f>'2020 COP Forecast'!L22</f>
        <v>1.0672999999999999</v>
      </c>
      <c r="E35" s="81">
        <f t="shared" si="8"/>
        <v>0</v>
      </c>
      <c r="F35" s="146">
        <v>0.10693999999999999</v>
      </c>
      <c r="G35" s="83">
        <f t="shared" si="10"/>
        <v>0</v>
      </c>
      <c r="J35" s="58" t="str">
        <f>J21</f>
        <v>General Service &gt; 50 to 4999 kW</v>
      </c>
      <c r="K35" s="74">
        <f t="shared" si="11"/>
        <v>12164715.509737715</v>
      </c>
      <c r="L35" s="80">
        <f t="shared" si="11"/>
        <v>1.0672999999999999</v>
      </c>
      <c r="M35" s="81">
        <f t="shared" si="9"/>
        <v>12983400.863543062</v>
      </c>
      <c r="N35" s="146">
        <v>0.10693999999999999</v>
      </c>
      <c r="O35" s="83">
        <f t="shared" si="12"/>
        <v>1388444.8883472949</v>
      </c>
    </row>
    <row r="36" spans="1:17" x14ac:dyDescent="0.25">
      <c r="A36" s="518"/>
      <c r="B36" s="58" t="str">
        <f>B22</f>
        <v>General Service &gt; 1000 to 4999 kW</v>
      </c>
      <c r="C36" s="74">
        <v>0</v>
      </c>
      <c r="D36" s="80">
        <f>'2020 COP Forecast'!L23</f>
        <v>1.0672999999999999</v>
      </c>
      <c r="E36" s="81">
        <f t="shared" si="8"/>
        <v>0</v>
      </c>
      <c r="F36" s="146">
        <v>0.10693999999999999</v>
      </c>
      <c r="G36" s="83">
        <f t="shared" si="10"/>
        <v>0</v>
      </c>
      <c r="J36" s="58" t="str">
        <f>J22</f>
        <v>General Service &gt; 1000 to 4999 kW</v>
      </c>
      <c r="K36" s="74">
        <f t="shared" si="11"/>
        <v>0</v>
      </c>
      <c r="L36" s="80">
        <f t="shared" si="11"/>
        <v>1.0672999999999999</v>
      </c>
      <c r="M36" s="81">
        <f t="shared" si="9"/>
        <v>0</v>
      </c>
      <c r="N36" s="146">
        <v>0.10693999999999999</v>
      </c>
      <c r="O36" s="83">
        <f t="shared" si="12"/>
        <v>0</v>
      </c>
    </row>
    <row r="37" spans="1:17" x14ac:dyDescent="0.25">
      <c r="A37" s="518"/>
      <c r="B37" s="58" t="str">
        <f>B23</f>
        <v>Large User</v>
      </c>
      <c r="C37" s="74">
        <v>0</v>
      </c>
      <c r="D37" s="80">
        <f>'2020 COP Forecast'!L24</f>
        <v>1.0672999999999999</v>
      </c>
      <c r="E37" s="81">
        <f t="shared" si="8"/>
        <v>0</v>
      </c>
      <c r="F37" s="146">
        <v>0.10693999999999999</v>
      </c>
      <c r="G37" s="83">
        <f t="shared" si="10"/>
        <v>0</v>
      </c>
      <c r="J37" s="58" t="str">
        <f>J23</f>
        <v>Large User</v>
      </c>
      <c r="K37" s="74">
        <f t="shared" si="11"/>
        <v>0</v>
      </c>
      <c r="L37" s="80">
        <f t="shared" si="11"/>
        <v>1.0672999999999999</v>
      </c>
      <c r="M37" s="81">
        <f t="shared" si="9"/>
        <v>0</v>
      </c>
      <c r="N37" s="146">
        <v>0.10693999999999999</v>
      </c>
      <c r="O37" s="83">
        <f t="shared" si="12"/>
        <v>0</v>
      </c>
    </row>
    <row r="38" spans="1:17" x14ac:dyDescent="0.25">
      <c r="A38" s="518"/>
      <c r="B38" s="58" t="s">
        <v>107</v>
      </c>
      <c r="C38" s="74">
        <v>0</v>
      </c>
      <c r="D38" s="80">
        <f>'2020 COP Forecast'!L25</f>
        <v>1.0672999999999999</v>
      </c>
      <c r="E38" s="81">
        <f t="shared" si="8"/>
        <v>0</v>
      </c>
      <c r="F38" s="146">
        <v>0.10693999999999999</v>
      </c>
      <c r="G38" s="83">
        <f t="shared" si="10"/>
        <v>0</v>
      </c>
      <c r="J38" s="58" t="s">
        <v>107</v>
      </c>
      <c r="K38" s="74">
        <f t="shared" si="11"/>
        <v>970.30436015764963</v>
      </c>
      <c r="L38" s="80">
        <f t="shared" si="11"/>
        <v>1.0672999999999999</v>
      </c>
      <c r="M38" s="81">
        <f t="shared" si="9"/>
        <v>1035.6058435962593</v>
      </c>
      <c r="N38" s="146">
        <v>0.10693999999999999</v>
      </c>
      <c r="O38" s="83">
        <f t="shared" si="12"/>
        <v>110.74768891418397</v>
      </c>
    </row>
    <row r="39" spans="1:17" x14ac:dyDescent="0.25">
      <c r="A39" s="518"/>
      <c r="B39" s="58" t="str">
        <f>B25</f>
        <v>Street Lights</v>
      </c>
      <c r="C39" s="74">
        <v>0</v>
      </c>
      <c r="D39" s="80">
        <f>'2020 COP Forecast'!L26</f>
        <v>1.0672999999999999</v>
      </c>
      <c r="E39" s="81">
        <f t="shared" si="8"/>
        <v>0</v>
      </c>
      <c r="F39" s="146">
        <v>0.10693999999999999</v>
      </c>
      <c r="G39" s="83">
        <f t="shared" si="10"/>
        <v>0</v>
      </c>
      <c r="J39" s="58" t="str">
        <f>J25</f>
        <v>Street Lights</v>
      </c>
      <c r="K39" s="74">
        <f t="shared" si="11"/>
        <v>224918.5</v>
      </c>
      <c r="L39" s="80">
        <f t="shared" si="11"/>
        <v>1.0672999999999999</v>
      </c>
      <c r="M39" s="81">
        <f t="shared" si="9"/>
        <v>240055.51504999999</v>
      </c>
      <c r="N39" s="146">
        <v>0.10693999999999999</v>
      </c>
      <c r="O39" s="83">
        <f t="shared" si="12"/>
        <v>25671.536779446997</v>
      </c>
    </row>
    <row r="40" spans="1:17" x14ac:dyDescent="0.25">
      <c r="A40" s="518"/>
      <c r="B40" s="58" t="str">
        <f>B26</f>
        <v xml:space="preserve">Unmetered Loads </v>
      </c>
      <c r="C40" s="74">
        <v>0</v>
      </c>
      <c r="D40" s="80">
        <f>'2020 COP Forecast'!L27</f>
        <v>1.0672999999999999</v>
      </c>
      <c r="E40" s="81">
        <f t="shared" si="8"/>
        <v>0</v>
      </c>
      <c r="F40" s="146">
        <v>0.10693999999999999</v>
      </c>
      <c r="G40" s="83">
        <f t="shared" si="10"/>
        <v>0</v>
      </c>
      <c r="J40" s="58" t="str">
        <f>J26</f>
        <v xml:space="preserve">Unmetered Loads </v>
      </c>
      <c r="K40" s="74">
        <f>K26</f>
        <v>10969.757366662743</v>
      </c>
      <c r="L40" s="80">
        <f t="shared" si="11"/>
        <v>1.0672999999999999</v>
      </c>
      <c r="M40" s="81">
        <f t="shared" si="9"/>
        <v>11708.022037439145</v>
      </c>
      <c r="N40" s="146">
        <v>0.10693999999999999</v>
      </c>
      <c r="O40" s="83">
        <f t="shared" si="12"/>
        <v>1252.0558766837421</v>
      </c>
    </row>
    <row r="41" spans="1:17" x14ac:dyDescent="0.25">
      <c r="A41" s="518"/>
      <c r="B41" s="58" t="str">
        <f>B27</f>
        <v>Embedded Distributors - Hydro One</v>
      </c>
      <c r="C41" s="74">
        <v>0</v>
      </c>
      <c r="D41" s="80">
        <f>'2020 COP Forecast'!L28</f>
        <v>0</v>
      </c>
      <c r="E41" s="81">
        <f t="shared" si="8"/>
        <v>0</v>
      </c>
      <c r="F41" s="146">
        <v>0.10693999999999999</v>
      </c>
      <c r="G41" s="83">
        <f t="shared" si="10"/>
        <v>0</v>
      </c>
      <c r="J41" s="58" t="str">
        <f>J27</f>
        <v>Embedded Distributors - Hydro One</v>
      </c>
      <c r="K41" s="74">
        <f t="shared" si="11"/>
        <v>0</v>
      </c>
      <c r="L41" s="80">
        <f t="shared" si="11"/>
        <v>1.0672999999999999</v>
      </c>
      <c r="M41" s="81">
        <f t="shared" si="9"/>
        <v>0</v>
      </c>
      <c r="N41" s="146">
        <v>0.10693999999999999</v>
      </c>
      <c r="O41" s="83">
        <f t="shared" si="12"/>
        <v>0</v>
      </c>
    </row>
    <row r="42" spans="1:17" ht="13" x14ac:dyDescent="0.3">
      <c r="A42" s="518"/>
      <c r="B42" s="77" t="s">
        <v>52</v>
      </c>
      <c r="C42" s="78">
        <f>SUM(C33:C41)</f>
        <v>0</v>
      </c>
      <c r="D42" s="79"/>
      <c r="E42" s="78">
        <f>SUM(E33:E41)</f>
        <v>0</v>
      </c>
      <c r="F42" s="147"/>
      <c r="G42" s="85">
        <f>SUM(G33:G41)</f>
        <v>0</v>
      </c>
      <c r="J42" s="77" t="s">
        <v>52</v>
      </c>
      <c r="K42" s="78">
        <f>SUM(K33:K41)</f>
        <v>14171904.468042186</v>
      </c>
      <c r="L42" s="79"/>
      <c r="M42" s="78">
        <f>SUM(M33:M41)</f>
        <v>15125673.638741422</v>
      </c>
      <c r="N42" s="147"/>
      <c r="O42" s="85">
        <f>SUM(O33:O41)</f>
        <v>1617539.5389270077</v>
      </c>
      <c r="Q42" s="579">
        <f>O42+G42</f>
        <v>1617539.5389270077</v>
      </c>
    </row>
    <row r="43" spans="1:17" s="567" customFormat="1" ht="13" x14ac:dyDescent="0.3">
      <c r="B43" s="580"/>
      <c r="C43" s="581"/>
      <c r="D43" s="582"/>
      <c r="E43" s="583"/>
      <c r="F43" s="584"/>
      <c r="G43" s="585"/>
      <c r="J43" s="86"/>
      <c r="K43" s="87"/>
      <c r="L43" s="88"/>
      <c r="M43" s="87"/>
      <c r="N43" s="586"/>
      <c r="O43" s="90"/>
    </row>
    <row r="44" spans="1:17" s="567" customFormat="1" ht="13" x14ac:dyDescent="0.3">
      <c r="B44" s="580"/>
      <c r="C44" s="581"/>
      <c r="D44" s="582"/>
      <c r="E44" s="583"/>
      <c r="F44" s="584"/>
      <c r="G44" s="585"/>
      <c r="J44" s="86"/>
      <c r="K44" s="87"/>
      <c r="L44" s="88"/>
      <c r="M44" s="87"/>
      <c r="N44" s="586"/>
      <c r="O44" s="90"/>
    </row>
    <row r="45" spans="1:17" ht="13" x14ac:dyDescent="0.3">
      <c r="A45" s="518"/>
      <c r="B45" s="134" t="s">
        <v>57</v>
      </c>
      <c r="C45" s="135"/>
      <c r="D45" s="136" t="s">
        <v>58</v>
      </c>
      <c r="E45" s="137"/>
      <c r="F45" s="138"/>
      <c r="G45" s="135"/>
      <c r="J45" s="134" t="s">
        <v>57</v>
      </c>
      <c r="K45" s="135"/>
      <c r="L45" s="136" t="s">
        <v>58</v>
      </c>
      <c r="M45" s="137"/>
      <c r="N45" s="138"/>
      <c r="O45" s="135"/>
    </row>
    <row r="46" spans="1:17" ht="13" x14ac:dyDescent="0.3">
      <c r="A46" s="518"/>
      <c r="B46" s="133" t="s">
        <v>56</v>
      </c>
      <c r="C46" s="522"/>
      <c r="D46" s="139" t="s">
        <v>59</v>
      </c>
      <c r="E46" s="521">
        <v>2021</v>
      </c>
      <c r="F46" s="524"/>
      <c r="G46" s="522"/>
      <c r="J46" s="133" t="s">
        <v>56</v>
      </c>
      <c r="K46" s="577"/>
      <c r="L46" s="139" t="s">
        <v>59</v>
      </c>
      <c r="M46" s="575">
        <v>2021</v>
      </c>
      <c r="N46" s="576"/>
      <c r="O46" s="577"/>
    </row>
    <row r="47" spans="1:17" x14ac:dyDescent="0.25">
      <c r="A47" s="518"/>
      <c r="B47" s="91" t="str">
        <f>J19</f>
        <v xml:space="preserve">Residential </v>
      </c>
      <c r="C47" s="81"/>
      <c r="D47" s="92" t="s">
        <v>50</v>
      </c>
      <c r="E47" s="81">
        <f>E19</f>
        <v>34091822.740783706</v>
      </c>
      <c r="F47" s="148">
        <v>6.7000000000000002E-3</v>
      </c>
      <c r="G47" s="83">
        <f>(E47*F47)</f>
        <v>228415.21236325084</v>
      </c>
      <c r="J47" s="91" t="s">
        <v>1</v>
      </c>
      <c r="K47" s="81"/>
      <c r="L47" s="92" t="s">
        <v>50</v>
      </c>
      <c r="M47" s="81">
        <f>M19+U19</f>
        <v>744520.25710764062</v>
      </c>
      <c r="N47" s="148">
        <f>F47</f>
        <v>6.7000000000000002E-3</v>
      </c>
      <c r="O47" s="83">
        <f>(M47*N47)*(1-S3)</f>
        <v>4988.2857226211927</v>
      </c>
    </row>
    <row r="48" spans="1:17" x14ac:dyDescent="0.25">
      <c r="A48" s="518"/>
      <c r="B48" s="91" t="str">
        <f>J20</f>
        <v>General Service &lt; 50 kW</v>
      </c>
      <c r="C48" s="81"/>
      <c r="D48" s="92" t="s">
        <v>50</v>
      </c>
      <c r="E48" s="81">
        <f t="shared" ref="E48:E55" si="13">E20</f>
        <v>9732103.6888573356</v>
      </c>
      <c r="F48" s="148">
        <v>6.3E-3</v>
      </c>
      <c r="G48" s="83">
        <f t="shared" ref="G48:G55" si="14">(E48*F48)</f>
        <v>61312.253239801212</v>
      </c>
      <c r="J48" s="91" t="s">
        <v>97</v>
      </c>
      <c r="K48" s="81"/>
      <c r="L48" s="92" t="s">
        <v>50</v>
      </c>
      <c r="M48" s="81">
        <f>M20+U20</f>
        <v>1144953.3751596857</v>
      </c>
      <c r="N48" s="148">
        <f t="shared" ref="N48:N54" si="15">F48</f>
        <v>6.3E-3</v>
      </c>
      <c r="O48" s="83">
        <f t="shared" ref="O48:O55" si="16">M48*N48</f>
        <v>7213.2062635060202</v>
      </c>
    </row>
    <row r="49" spans="1:17" x14ac:dyDescent="0.25">
      <c r="A49" s="518"/>
      <c r="B49" s="91" t="str">
        <f>J21</f>
        <v>General Service &gt; 50 to 4999 kW</v>
      </c>
      <c r="C49" s="81"/>
      <c r="D49" s="92" t="s">
        <v>51</v>
      </c>
      <c r="E49" s="81">
        <v>0</v>
      </c>
      <c r="F49" s="148">
        <v>2.5293999999999999</v>
      </c>
      <c r="G49" s="83">
        <f t="shared" si="14"/>
        <v>0</v>
      </c>
      <c r="J49" s="91" t="s">
        <v>208</v>
      </c>
      <c r="K49" s="81"/>
      <c r="L49" s="92" t="s">
        <v>51</v>
      </c>
      <c r="M49" s="81">
        <f>D7</f>
        <v>38558.693646466199</v>
      </c>
      <c r="N49" s="148">
        <f t="shared" si="15"/>
        <v>2.5293999999999999</v>
      </c>
      <c r="O49" s="83">
        <f t="shared" si="16"/>
        <v>97530.359709371594</v>
      </c>
    </row>
    <row r="50" spans="1:17" x14ac:dyDescent="0.25">
      <c r="A50" s="518"/>
      <c r="B50" s="91" t="str">
        <f>J22</f>
        <v>General Service &gt; 1000 to 4999 kW</v>
      </c>
      <c r="C50" s="81"/>
      <c r="D50" s="92" t="s">
        <v>51</v>
      </c>
      <c r="E50" s="81">
        <f t="shared" si="13"/>
        <v>0</v>
      </c>
      <c r="F50" s="148">
        <v>0</v>
      </c>
      <c r="G50" s="83">
        <f t="shared" si="14"/>
        <v>0</v>
      </c>
      <c r="J50" s="91" t="s">
        <v>98</v>
      </c>
      <c r="K50" s="81"/>
      <c r="L50" s="92" t="s">
        <v>51</v>
      </c>
      <c r="M50" s="81">
        <f>L8</f>
        <v>0</v>
      </c>
      <c r="N50" s="148">
        <f t="shared" si="15"/>
        <v>0</v>
      </c>
      <c r="O50" s="83">
        <f t="shared" si="16"/>
        <v>0</v>
      </c>
    </row>
    <row r="51" spans="1:17" x14ac:dyDescent="0.25">
      <c r="A51" s="518"/>
      <c r="B51" s="91" t="str">
        <f>J23</f>
        <v>Large User</v>
      </c>
      <c r="C51" s="81"/>
      <c r="D51" s="92" t="s">
        <v>51</v>
      </c>
      <c r="E51" s="81">
        <f t="shared" si="13"/>
        <v>0</v>
      </c>
      <c r="F51" s="148">
        <v>0</v>
      </c>
      <c r="G51" s="83">
        <f t="shared" si="14"/>
        <v>0</v>
      </c>
      <c r="J51" s="91" t="s">
        <v>71</v>
      </c>
      <c r="K51" s="81"/>
      <c r="L51" s="92" t="s">
        <v>51</v>
      </c>
      <c r="M51" s="81">
        <f>L9</f>
        <v>0</v>
      </c>
      <c r="N51" s="148">
        <f t="shared" si="15"/>
        <v>0</v>
      </c>
      <c r="O51" s="83">
        <f t="shared" si="16"/>
        <v>0</v>
      </c>
    </row>
    <row r="52" spans="1:17" x14ac:dyDescent="0.25">
      <c r="A52" s="518"/>
      <c r="B52" s="91" t="s">
        <v>107</v>
      </c>
      <c r="C52" s="81"/>
      <c r="D52" s="92" t="s">
        <v>51</v>
      </c>
      <c r="E52" s="81">
        <v>0</v>
      </c>
      <c r="F52" s="148">
        <v>1.9173</v>
      </c>
      <c r="G52" s="83">
        <f t="shared" si="14"/>
        <v>0</v>
      </c>
      <c r="J52" s="91" t="s">
        <v>107</v>
      </c>
      <c r="K52" s="81"/>
      <c r="L52" s="92" t="s">
        <v>51</v>
      </c>
      <c r="M52" s="81">
        <f>D10</f>
        <v>67.382247233170062</v>
      </c>
      <c r="N52" s="148">
        <f t="shared" si="15"/>
        <v>1.9173</v>
      </c>
      <c r="O52" s="83">
        <f t="shared" si="16"/>
        <v>129.19198262015695</v>
      </c>
    </row>
    <row r="53" spans="1:17" x14ac:dyDescent="0.25">
      <c r="A53" s="518"/>
      <c r="B53" s="91" t="str">
        <f>J25</f>
        <v>Street Lights</v>
      </c>
      <c r="C53" s="81"/>
      <c r="D53" s="92" t="s">
        <v>51</v>
      </c>
      <c r="E53" s="81">
        <f t="shared" si="13"/>
        <v>0</v>
      </c>
      <c r="F53" s="148">
        <v>1.9077999999999999</v>
      </c>
      <c r="G53" s="83">
        <f t="shared" si="14"/>
        <v>0</v>
      </c>
      <c r="J53" s="91" t="s">
        <v>47</v>
      </c>
      <c r="K53" s="81"/>
      <c r="L53" s="92" t="s">
        <v>51</v>
      </c>
      <c r="M53" s="81">
        <f>D11</f>
        <v>659.99999999999829</v>
      </c>
      <c r="N53" s="148">
        <f t="shared" si="15"/>
        <v>1.9077999999999999</v>
      </c>
      <c r="O53" s="83">
        <f t="shared" si="16"/>
        <v>1259.1479999999967</v>
      </c>
    </row>
    <row r="54" spans="1:17" x14ac:dyDescent="0.25">
      <c r="A54" s="518"/>
      <c r="B54" s="91" t="str">
        <f>J26</f>
        <v xml:space="preserve">Unmetered Loads </v>
      </c>
      <c r="C54" s="81"/>
      <c r="D54" s="92" t="s">
        <v>50</v>
      </c>
      <c r="E54" s="81">
        <f t="shared" si="13"/>
        <v>111226.20935567186</v>
      </c>
      <c r="F54" s="148">
        <v>6.3E-3</v>
      </c>
      <c r="G54" s="83">
        <f t="shared" si="14"/>
        <v>700.72511894073273</v>
      </c>
      <c r="J54" s="91" t="s">
        <v>2</v>
      </c>
      <c r="K54" s="81"/>
      <c r="L54" s="92" t="s">
        <v>50</v>
      </c>
      <c r="M54" s="81">
        <f>M26+U26</f>
        <v>11708.022037439145</v>
      </c>
      <c r="N54" s="148">
        <f t="shared" si="15"/>
        <v>6.3E-3</v>
      </c>
      <c r="O54" s="83">
        <f t="shared" si="16"/>
        <v>73.760538835866612</v>
      </c>
    </row>
    <row r="55" spans="1:17" x14ac:dyDescent="0.25">
      <c r="A55" s="518"/>
      <c r="B55" s="91" t="str">
        <f>J27</f>
        <v>Embedded Distributors - Hydro One</v>
      </c>
      <c r="C55" s="81"/>
      <c r="D55" s="92" t="s">
        <v>51</v>
      </c>
      <c r="E55" s="81">
        <f t="shared" si="13"/>
        <v>0</v>
      </c>
      <c r="F55" s="148"/>
      <c r="G55" s="83">
        <f t="shared" si="14"/>
        <v>0</v>
      </c>
      <c r="J55" s="91" t="s">
        <v>99</v>
      </c>
      <c r="K55" s="81"/>
      <c r="L55" s="92" t="s">
        <v>51</v>
      </c>
      <c r="M55" s="81">
        <f>L13</f>
        <v>0</v>
      </c>
      <c r="N55" s="148"/>
      <c r="O55" s="83">
        <f t="shared" si="16"/>
        <v>0</v>
      </c>
    </row>
    <row r="56" spans="1:17" ht="13" x14ac:dyDescent="0.3">
      <c r="A56" s="518"/>
      <c r="B56" s="77" t="s">
        <v>52</v>
      </c>
      <c r="C56" s="78"/>
      <c r="D56" s="79"/>
      <c r="E56" s="78">
        <f>SUM(E47:E55)</f>
        <v>43935152.638996713</v>
      </c>
      <c r="F56" s="84">
        <f>G56/E56</f>
        <v>6.6103831050357978E-3</v>
      </c>
      <c r="G56" s="94">
        <f>SUM(G47:G55)</f>
        <v>290428.19072199281</v>
      </c>
      <c r="J56" s="77" t="s">
        <v>52</v>
      </c>
      <c r="K56" s="78"/>
      <c r="L56" s="79"/>
      <c r="M56" s="78">
        <f>SUM(M47:M55)</f>
        <v>1940467.7301984646</v>
      </c>
      <c r="N56" s="84">
        <f>O56/M56</f>
        <v>5.730265465717499E-2</v>
      </c>
      <c r="O56" s="94">
        <f>SUM(O47:O55)</f>
        <v>111193.95221695483</v>
      </c>
      <c r="Q56" s="579">
        <f>O56+G56</f>
        <v>401622.14293894765</v>
      </c>
    </row>
    <row r="57" spans="1:17" x14ac:dyDescent="0.25">
      <c r="A57" s="518"/>
      <c r="B57" s="518"/>
      <c r="C57" s="518"/>
      <c r="D57" s="518"/>
      <c r="E57" s="518"/>
      <c r="F57" s="518"/>
      <c r="G57" s="518"/>
    </row>
    <row r="58" spans="1:17" ht="13" x14ac:dyDescent="0.3">
      <c r="A58" s="518"/>
      <c r="B58" s="134" t="s">
        <v>60</v>
      </c>
      <c r="C58" s="135"/>
      <c r="D58" s="140" t="s">
        <v>58</v>
      </c>
      <c r="E58" s="137"/>
      <c r="F58" s="138"/>
      <c r="G58" s="135"/>
      <c r="J58" s="134" t="s">
        <v>60</v>
      </c>
      <c r="K58" s="135"/>
      <c r="L58" s="140" t="s">
        <v>58</v>
      </c>
      <c r="M58" s="137"/>
      <c r="N58" s="138"/>
      <c r="O58" s="135"/>
    </row>
    <row r="59" spans="1:17" ht="13" x14ac:dyDescent="0.3">
      <c r="A59" s="518"/>
      <c r="B59" s="133" t="s">
        <v>56</v>
      </c>
      <c r="C59" s="522"/>
      <c r="D59" s="141" t="s">
        <v>59</v>
      </c>
      <c r="E59" s="521">
        <v>2021</v>
      </c>
      <c r="F59" s="524"/>
      <c r="G59" s="522"/>
      <c r="J59" s="133" t="s">
        <v>56</v>
      </c>
      <c r="K59" s="577"/>
      <c r="L59" s="141" t="s">
        <v>59</v>
      </c>
      <c r="M59" s="575">
        <v>2021</v>
      </c>
      <c r="N59" s="576"/>
      <c r="O59" s="577"/>
    </row>
    <row r="60" spans="1:17" x14ac:dyDescent="0.25">
      <c r="A60" s="518"/>
      <c r="B60" s="91" t="str">
        <f>B47</f>
        <v xml:space="preserve">Residential </v>
      </c>
      <c r="C60" s="81"/>
      <c r="D60" s="92" t="str">
        <f t="shared" ref="D60:E64" si="17">D47</f>
        <v>kWh</v>
      </c>
      <c r="E60" s="81">
        <f>E47</f>
        <v>34091822.740783706</v>
      </c>
      <c r="F60" s="148">
        <v>5.0000000000000001E-3</v>
      </c>
      <c r="G60" s="83">
        <f>(E60*F60)</f>
        <v>170459.11370391853</v>
      </c>
      <c r="J60" s="91" t="str">
        <f>J47</f>
        <v xml:space="preserve">Residential </v>
      </c>
      <c r="K60" s="81"/>
      <c r="L60" s="92" t="str">
        <f t="shared" ref="L60" si="18">L47</f>
        <v>kWh</v>
      </c>
      <c r="M60" s="81">
        <f>M47</f>
        <v>744520.25710764062</v>
      </c>
      <c r="N60" s="148">
        <f>F60</f>
        <v>5.0000000000000001E-3</v>
      </c>
      <c r="O60" s="83">
        <f>(M60*N60)*(1-S3)</f>
        <v>3722.6012855382032</v>
      </c>
    </row>
    <row r="61" spans="1:17" x14ac:dyDescent="0.25">
      <c r="A61" s="518"/>
      <c r="B61" s="91" t="str">
        <f>B48</f>
        <v>General Service &lt; 50 kW</v>
      </c>
      <c r="C61" s="81"/>
      <c r="D61" s="92" t="str">
        <f t="shared" si="17"/>
        <v>kWh</v>
      </c>
      <c r="E61" s="81">
        <f t="shared" si="17"/>
        <v>9732103.6888573356</v>
      </c>
      <c r="F61" s="148">
        <v>4.4999999999999997E-3</v>
      </c>
      <c r="G61" s="83">
        <f t="shared" ref="G61:G68" si="19">(E61*F61)</f>
        <v>43794.466599858009</v>
      </c>
      <c r="J61" s="91" t="str">
        <f>J48</f>
        <v>General Service &lt; 50 kW</v>
      </c>
      <c r="K61" s="81"/>
      <c r="L61" s="92" t="str">
        <f t="shared" ref="L61:M61" si="20">L48</f>
        <v>kWh</v>
      </c>
      <c r="M61" s="81">
        <f t="shared" si="20"/>
        <v>1144953.3751596857</v>
      </c>
      <c r="N61" s="148">
        <f t="shared" ref="N61:N67" si="21">F61</f>
        <v>4.4999999999999997E-3</v>
      </c>
      <c r="O61" s="83">
        <f t="shared" ref="O61:O68" si="22">M61*N61</f>
        <v>5152.2901882185852</v>
      </c>
    </row>
    <row r="62" spans="1:17" x14ac:dyDescent="0.25">
      <c r="A62" s="518"/>
      <c r="B62" s="91" t="str">
        <f>B49</f>
        <v>General Service &gt; 50 to 4999 kW</v>
      </c>
      <c r="C62" s="81"/>
      <c r="D62" s="92" t="str">
        <f t="shared" si="17"/>
        <v>kW</v>
      </c>
      <c r="E62" s="81">
        <f t="shared" si="17"/>
        <v>0</v>
      </c>
      <c r="F62" s="148">
        <v>1.7377</v>
      </c>
      <c r="G62" s="83">
        <f t="shared" si="19"/>
        <v>0</v>
      </c>
      <c r="J62" s="91" t="str">
        <f>J49</f>
        <v>General Service &gt; 50 to 4999 kW</v>
      </c>
      <c r="K62" s="81"/>
      <c r="L62" s="92" t="str">
        <f t="shared" ref="L62:M62" si="23">L49</f>
        <v>kW</v>
      </c>
      <c r="M62" s="81">
        <f t="shared" si="23"/>
        <v>38558.693646466199</v>
      </c>
      <c r="N62" s="148">
        <f t="shared" si="21"/>
        <v>1.7377</v>
      </c>
      <c r="O62" s="83">
        <f t="shared" si="22"/>
        <v>67003.441949464323</v>
      </c>
    </row>
    <row r="63" spans="1:17" x14ac:dyDescent="0.25">
      <c r="A63" s="518"/>
      <c r="B63" s="91" t="str">
        <f>B50</f>
        <v>General Service &gt; 1000 to 4999 kW</v>
      </c>
      <c r="C63" s="81"/>
      <c r="D63" s="92" t="str">
        <f t="shared" si="17"/>
        <v>kW</v>
      </c>
      <c r="E63" s="81">
        <f t="shared" si="17"/>
        <v>0</v>
      </c>
      <c r="F63" s="148">
        <v>0</v>
      </c>
      <c r="G63" s="83">
        <f t="shared" si="19"/>
        <v>0</v>
      </c>
      <c r="J63" s="91" t="str">
        <f>J50</f>
        <v>General Service &gt; 1000 to 4999 kW</v>
      </c>
      <c r="K63" s="81"/>
      <c r="L63" s="92" t="str">
        <f t="shared" ref="L63:M63" si="24">L50</f>
        <v>kW</v>
      </c>
      <c r="M63" s="81">
        <f t="shared" si="24"/>
        <v>0</v>
      </c>
      <c r="N63" s="148">
        <f t="shared" si="21"/>
        <v>0</v>
      </c>
      <c r="O63" s="83">
        <f t="shared" si="22"/>
        <v>0</v>
      </c>
    </row>
    <row r="64" spans="1:17" x14ac:dyDescent="0.25">
      <c r="A64" s="518"/>
      <c r="B64" s="91" t="str">
        <f>B51</f>
        <v>Large User</v>
      </c>
      <c r="C64" s="81"/>
      <c r="D64" s="92" t="str">
        <f t="shared" si="17"/>
        <v>kW</v>
      </c>
      <c r="E64" s="81">
        <f t="shared" si="17"/>
        <v>0</v>
      </c>
      <c r="F64" s="148">
        <v>0</v>
      </c>
      <c r="G64" s="83">
        <f t="shared" si="19"/>
        <v>0</v>
      </c>
      <c r="J64" s="91" t="str">
        <f>J51</f>
        <v>Large User</v>
      </c>
      <c r="K64" s="81"/>
      <c r="L64" s="92" t="str">
        <f t="shared" ref="L64:M64" si="25">L51</f>
        <v>kW</v>
      </c>
      <c r="M64" s="81">
        <f t="shared" si="25"/>
        <v>0</v>
      </c>
      <c r="N64" s="148">
        <f t="shared" si="21"/>
        <v>0</v>
      </c>
      <c r="O64" s="83">
        <f t="shared" si="22"/>
        <v>0</v>
      </c>
    </row>
    <row r="65" spans="1:17" x14ac:dyDescent="0.25">
      <c r="A65" s="518"/>
      <c r="B65" s="91" t="s">
        <v>107</v>
      </c>
      <c r="C65" s="81"/>
      <c r="D65" s="92" t="str">
        <f>D52</f>
        <v>kW</v>
      </c>
      <c r="E65" s="81">
        <f t="shared" ref="E65:E68" si="26">E52</f>
        <v>0</v>
      </c>
      <c r="F65" s="148">
        <v>1.3713</v>
      </c>
      <c r="G65" s="83">
        <f t="shared" si="19"/>
        <v>0</v>
      </c>
      <c r="J65" s="91" t="s">
        <v>107</v>
      </c>
      <c r="K65" s="81"/>
      <c r="L65" s="92" t="str">
        <f>L52</f>
        <v>kW</v>
      </c>
      <c r="M65" s="81">
        <f t="shared" ref="M65:M68" si="27">M52</f>
        <v>67.382247233170062</v>
      </c>
      <c r="N65" s="148">
        <f t="shared" si="21"/>
        <v>1.3713</v>
      </c>
      <c r="O65" s="83">
        <f t="shared" si="22"/>
        <v>92.401275630846101</v>
      </c>
    </row>
    <row r="66" spans="1:17" x14ac:dyDescent="0.25">
      <c r="A66" s="518"/>
      <c r="B66" s="91" t="str">
        <f>B53</f>
        <v>Street Lights</v>
      </c>
      <c r="C66" s="81"/>
      <c r="D66" s="92" t="str">
        <f>D53</f>
        <v>kW</v>
      </c>
      <c r="E66" s="81">
        <f t="shared" si="26"/>
        <v>0</v>
      </c>
      <c r="F66" s="148">
        <v>1.3432999999999999</v>
      </c>
      <c r="G66" s="83">
        <f t="shared" si="19"/>
        <v>0</v>
      </c>
      <c r="J66" s="91" t="str">
        <f>J53</f>
        <v>Street Lights</v>
      </c>
      <c r="K66" s="81"/>
      <c r="L66" s="92" t="str">
        <f>L53</f>
        <v>kW</v>
      </c>
      <c r="M66" s="81">
        <f t="shared" si="27"/>
        <v>659.99999999999829</v>
      </c>
      <c r="N66" s="148">
        <f t="shared" si="21"/>
        <v>1.3432999999999999</v>
      </c>
      <c r="O66" s="83">
        <f t="shared" si="22"/>
        <v>886.5779999999977</v>
      </c>
    </row>
    <row r="67" spans="1:17" x14ac:dyDescent="0.25">
      <c r="A67" s="518"/>
      <c r="B67" s="91" t="str">
        <f>B54</f>
        <v xml:space="preserve">Unmetered Loads </v>
      </c>
      <c r="C67" s="81"/>
      <c r="D67" s="92" t="str">
        <f>D54</f>
        <v>kWh</v>
      </c>
      <c r="E67" s="81">
        <f t="shared" si="26"/>
        <v>111226.20935567186</v>
      </c>
      <c r="F67" s="148">
        <v>4.4999999999999997E-3</v>
      </c>
      <c r="G67" s="83">
        <f t="shared" si="19"/>
        <v>500.51794210052333</v>
      </c>
      <c r="J67" s="91" t="str">
        <f>J54</f>
        <v xml:space="preserve">Unmetered Loads </v>
      </c>
      <c r="K67" s="81"/>
      <c r="L67" s="92" t="str">
        <f>L54</f>
        <v>kWh</v>
      </c>
      <c r="M67" s="81">
        <f t="shared" si="27"/>
        <v>11708.022037439145</v>
      </c>
      <c r="N67" s="148">
        <f t="shared" si="21"/>
        <v>4.4999999999999997E-3</v>
      </c>
      <c r="O67" s="83">
        <f t="shared" si="22"/>
        <v>52.686099168476147</v>
      </c>
    </row>
    <row r="68" spans="1:17" x14ac:dyDescent="0.25">
      <c r="A68" s="518"/>
      <c r="B68" s="91" t="str">
        <f>B55</f>
        <v>Embedded Distributors - Hydro One</v>
      </c>
      <c r="C68" s="81"/>
      <c r="D68" s="92" t="str">
        <f>D55</f>
        <v>kW</v>
      </c>
      <c r="E68" s="81">
        <f t="shared" si="26"/>
        <v>0</v>
      </c>
      <c r="F68" s="148"/>
      <c r="G68" s="83">
        <f t="shared" si="19"/>
        <v>0</v>
      </c>
      <c r="J68" s="91" t="str">
        <f>J55</f>
        <v>Embedded Distributors - Hydro One</v>
      </c>
      <c r="K68" s="81"/>
      <c r="L68" s="92" t="str">
        <f>L55</f>
        <v>kW</v>
      </c>
      <c r="M68" s="81">
        <f t="shared" si="27"/>
        <v>0</v>
      </c>
      <c r="N68" s="148"/>
      <c r="O68" s="83">
        <f t="shared" si="22"/>
        <v>0</v>
      </c>
    </row>
    <row r="69" spans="1:17" ht="13" x14ac:dyDescent="0.3">
      <c r="A69" s="518"/>
      <c r="B69" s="77" t="s">
        <v>52</v>
      </c>
      <c r="C69" s="78"/>
      <c r="D69" s="79"/>
      <c r="E69" s="78">
        <f>SUM(E60:E68)</f>
        <v>43935152.638996713</v>
      </c>
      <c r="F69" s="84">
        <f>G69/E69</f>
        <v>4.8879788812947467E-3</v>
      </c>
      <c r="G69" s="94">
        <f>SUM(G60:G68)</f>
        <v>214754.09824587707</v>
      </c>
      <c r="J69" s="77" t="s">
        <v>52</v>
      </c>
      <c r="K69" s="78"/>
      <c r="L69" s="79"/>
      <c r="M69" s="78">
        <f>SUM(M60:M68)</f>
        <v>1940467.7301984646</v>
      </c>
      <c r="N69" s="84">
        <f>O69/M69</f>
        <v>3.9634773411127186E-2</v>
      </c>
      <c r="O69" s="94">
        <f>SUM(O60:O68)</f>
        <v>76909.998798020431</v>
      </c>
      <c r="Q69" s="579">
        <f>O69+G69</f>
        <v>291664.09704389749</v>
      </c>
    </row>
    <row r="70" spans="1:17" x14ac:dyDescent="0.25">
      <c r="A70" s="518"/>
      <c r="B70" s="518"/>
      <c r="C70" s="518"/>
      <c r="D70" s="518"/>
      <c r="E70" s="518"/>
      <c r="F70" s="518"/>
      <c r="G70" s="518"/>
    </row>
    <row r="71" spans="1:17" ht="13" x14ac:dyDescent="0.3">
      <c r="A71" s="518"/>
      <c r="B71" s="134" t="s">
        <v>61</v>
      </c>
      <c r="C71" s="135"/>
      <c r="D71" s="140"/>
      <c r="E71" s="137"/>
      <c r="F71" s="138"/>
      <c r="G71" s="135"/>
      <c r="J71" s="134" t="s">
        <v>61</v>
      </c>
      <c r="K71" s="135"/>
      <c r="L71" s="140"/>
      <c r="M71" s="137"/>
      <c r="N71" s="138"/>
      <c r="O71" s="135"/>
    </row>
    <row r="72" spans="1:17" ht="13" x14ac:dyDescent="0.3">
      <c r="A72" s="518"/>
      <c r="B72" s="133" t="s">
        <v>56</v>
      </c>
      <c r="C72" s="522"/>
      <c r="D72" s="141"/>
      <c r="E72" s="521">
        <v>2021</v>
      </c>
      <c r="F72" s="524"/>
      <c r="G72" s="525"/>
      <c r="J72" s="133" t="s">
        <v>56</v>
      </c>
      <c r="K72" s="577"/>
      <c r="L72" s="141"/>
      <c r="M72" s="575">
        <v>2021</v>
      </c>
      <c r="N72" s="576"/>
      <c r="O72" s="577"/>
    </row>
    <row r="73" spans="1:17" x14ac:dyDescent="0.25">
      <c r="A73" s="518"/>
      <c r="B73" s="91" t="str">
        <f>B60</f>
        <v xml:space="preserve">Residential </v>
      </c>
      <c r="C73" s="81"/>
      <c r="D73" s="92" t="s">
        <v>50</v>
      </c>
      <c r="E73" s="81">
        <f>E19</f>
        <v>34091822.740783706</v>
      </c>
      <c r="F73" s="93">
        <v>3.5000000000000001E-3</v>
      </c>
      <c r="G73" s="83">
        <f>(E73*F73)</f>
        <v>119321.37959274297</v>
      </c>
      <c r="J73" s="91" t="s">
        <v>1</v>
      </c>
      <c r="K73" s="81"/>
      <c r="L73" s="92" t="s">
        <v>50</v>
      </c>
      <c r="M73" s="81">
        <f>M19</f>
        <v>744520.25710764062</v>
      </c>
      <c r="N73" s="148">
        <v>3.5000000000000001E-3</v>
      </c>
      <c r="O73" s="83">
        <f>M73*N73</f>
        <v>2605.8208998767423</v>
      </c>
    </row>
    <row r="74" spans="1:17" x14ac:dyDescent="0.25">
      <c r="A74" s="518"/>
      <c r="B74" s="91" t="str">
        <f>B61</f>
        <v>General Service &lt; 50 kW</v>
      </c>
      <c r="C74" s="81"/>
      <c r="D74" s="92" t="s">
        <v>50</v>
      </c>
      <c r="E74" s="81">
        <f t="shared" ref="E74:E81" si="28">E20</f>
        <v>9732103.6888573356</v>
      </c>
      <c r="F74" s="93">
        <v>3.5000000000000001E-3</v>
      </c>
      <c r="G74" s="83">
        <f t="shared" ref="G74:G81" si="29">(E74*F74)</f>
        <v>34062.362911000673</v>
      </c>
      <c r="J74" s="91" t="s">
        <v>97</v>
      </c>
      <c r="K74" s="81"/>
      <c r="L74" s="92" t="s">
        <v>50</v>
      </c>
      <c r="M74" s="81">
        <f t="shared" ref="M74:M81" si="30">M20</f>
        <v>1144953.3751596857</v>
      </c>
      <c r="N74" s="148">
        <v>3.5000000000000001E-3</v>
      </c>
      <c r="O74" s="83">
        <f t="shared" ref="O74:O81" si="31">M74*N74</f>
        <v>4007.3368130589001</v>
      </c>
    </row>
    <row r="75" spans="1:17" x14ac:dyDescent="0.25">
      <c r="A75" s="518"/>
      <c r="B75" s="91" t="str">
        <f>B62</f>
        <v>General Service &gt; 50 to 4999 kW</v>
      </c>
      <c r="C75" s="81"/>
      <c r="D75" s="92" t="s">
        <v>50</v>
      </c>
      <c r="E75" s="81">
        <f t="shared" si="28"/>
        <v>3540927.5082390164</v>
      </c>
      <c r="F75" s="93">
        <v>3.5000000000000001E-3</v>
      </c>
      <c r="G75" s="83">
        <f t="shared" si="29"/>
        <v>12393.246278836557</v>
      </c>
      <c r="J75" s="91" t="s">
        <v>208</v>
      </c>
      <c r="K75" s="81"/>
      <c r="L75" s="92" t="s">
        <v>50</v>
      </c>
      <c r="M75" s="81">
        <f t="shared" si="30"/>
        <v>12983400.863543062</v>
      </c>
      <c r="N75" s="148">
        <v>3.5000000000000001E-3</v>
      </c>
      <c r="O75" s="83">
        <f t="shared" si="31"/>
        <v>45441.903022400715</v>
      </c>
    </row>
    <row r="76" spans="1:17" x14ac:dyDescent="0.25">
      <c r="A76" s="518"/>
      <c r="B76" s="91" t="str">
        <f>B63</f>
        <v>General Service &gt; 1000 to 4999 kW</v>
      </c>
      <c r="C76" s="81"/>
      <c r="D76" s="92" t="s">
        <v>50</v>
      </c>
      <c r="E76" s="81">
        <f t="shared" si="28"/>
        <v>0</v>
      </c>
      <c r="F76" s="93"/>
      <c r="G76" s="83">
        <f t="shared" si="29"/>
        <v>0</v>
      </c>
      <c r="J76" s="91" t="s">
        <v>98</v>
      </c>
      <c r="K76" s="81"/>
      <c r="L76" s="92" t="s">
        <v>50</v>
      </c>
      <c r="M76" s="81">
        <f t="shared" si="30"/>
        <v>0</v>
      </c>
      <c r="N76" s="148"/>
      <c r="O76" s="83">
        <f t="shared" si="31"/>
        <v>0</v>
      </c>
    </row>
    <row r="77" spans="1:17" x14ac:dyDescent="0.25">
      <c r="A77" s="518"/>
      <c r="B77" s="91" t="str">
        <f>B64</f>
        <v>Large User</v>
      </c>
      <c r="C77" s="81"/>
      <c r="D77" s="92" t="s">
        <v>50</v>
      </c>
      <c r="E77" s="81">
        <f t="shared" si="28"/>
        <v>0</v>
      </c>
      <c r="F77" s="93"/>
      <c r="G77" s="83">
        <f t="shared" si="29"/>
        <v>0</v>
      </c>
      <c r="J77" s="91" t="s">
        <v>71</v>
      </c>
      <c r="K77" s="81"/>
      <c r="L77" s="92" t="s">
        <v>50</v>
      </c>
      <c r="M77" s="81">
        <f t="shared" si="30"/>
        <v>0</v>
      </c>
      <c r="N77" s="148"/>
      <c r="O77" s="83">
        <f t="shared" si="31"/>
        <v>0</v>
      </c>
    </row>
    <row r="78" spans="1:17" x14ac:dyDescent="0.25">
      <c r="A78" s="518"/>
      <c r="B78" s="91" t="s">
        <v>107</v>
      </c>
      <c r="C78" s="81"/>
      <c r="D78" s="186" t="s">
        <v>50</v>
      </c>
      <c r="E78" s="81">
        <f t="shared" si="28"/>
        <v>24854.5402463102</v>
      </c>
      <c r="F78" s="93">
        <v>3.5000000000000001E-3</v>
      </c>
      <c r="G78" s="83">
        <f t="shared" si="29"/>
        <v>86.990890862085706</v>
      </c>
      <c r="J78" s="91" t="s">
        <v>107</v>
      </c>
      <c r="K78" s="81"/>
      <c r="L78" s="92" t="s">
        <v>50</v>
      </c>
      <c r="M78" s="81">
        <f t="shared" si="30"/>
        <v>1035.6058435962593</v>
      </c>
      <c r="N78" s="148">
        <v>3.5000000000000001E-3</v>
      </c>
      <c r="O78" s="83">
        <f t="shared" si="31"/>
        <v>3.6246204525869077</v>
      </c>
    </row>
    <row r="79" spans="1:17" x14ac:dyDescent="0.25">
      <c r="A79" s="518"/>
      <c r="B79" s="91" t="str">
        <f>B66</f>
        <v>Street Lights</v>
      </c>
      <c r="C79" s="81"/>
      <c r="D79" s="92" t="s">
        <v>50</v>
      </c>
      <c r="E79" s="81">
        <f t="shared" si="28"/>
        <v>0</v>
      </c>
      <c r="F79" s="93">
        <v>3.5000000000000001E-3</v>
      </c>
      <c r="G79" s="83">
        <f t="shared" si="29"/>
        <v>0</v>
      </c>
      <c r="J79" s="91" t="s">
        <v>47</v>
      </c>
      <c r="K79" s="81"/>
      <c r="L79" s="92" t="s">
        <v>50</v>
      </c>
      <c r="M79" s="81">
        <f t="shared" si="30"/>
        <v>240055.51504999999</v>
      </c>
      <c r="N79" s="148">
        <v>3.5000000000000001E-3</v>
      </c>
      <c r="O79" s="83">
        <f t="shared" si="31"/>
        <v>840.19430267500002</v>
      </c>
    </row>
    <row r="80" spans="1:17" x14ac:dyDescent="0.25">
      <c r="A80" s="518"/>
      <c r="B80" s="91" t="str">
        <f>B67</f>
        <v xml:space="preserve">Unmetered Loads </v>
      </c>
      <c r="C80" s="81"/>
      <c r="D80" s="92" t="s">
        <v>50</v>
      </c>
      <c r="E80" s="81">
        <f t="shared" si="28"/>
        <v>111226.20935567186</v>
      </c>
      <c r="F80" s="93">
        <v>3.5000000000000001E-3</v>
      </c>
      <c r="G80" s="83">
        <f t="shared" si="29"/>
        <v>389.29173274485152</v>
      </c>
      <c r="J80" s="91" t="s">
        <v>2</v>
      </c>
      <c r="K80" s="81"/>
      <c r="L80" s="92" t="s">
        <v>50</v>
      </c>
      <c r="M80" s="81">
        <f t="shared" si="30"/>
        <v>11708.022037439145</v>
      </c>
      <c r="N80" s="148">
        <v>3.5000000000000001E-3</v>
      </c>
      <c r="O80" s="83">
        <f t="shared" si="31"/>
        <v>40.978077131037004</v>
      </c>
    </row>
    <row r="81" spans="1:17" x14ac:dyDescent="0.25">
      <c r="A81" s="518"/>
      <c r="B81" s="91" t="str">
        <f>B68</f>
        <v>Embedded Distributors - Hydro One</v>
      </c>
      <c r="C81" s="81"/>
      <c r="D81" s="92" t="s">
        <v>50</v>
      </c>
      <c r="E81" s="81">
        <f t="shared" si="28"/>
        <v>0</v>
      </c>
      <c r="F81" s="93"/>
      <c r="G81" s="83">
        <f t="shared" si="29"/>
        <v>0</v>
      </c>
      <c r="J81" s="91" t="s">
        <v>99</v>
      </c>
      <c r="K81" s="81"/>
      <c r="L81" s="92" t="s">
        <v>50</v>
      </c>
      <c r="M81" s="81">
        <f t="shared" si="30"/>
        <v>0</v>
      </c>
      <c r="N81" s="148"/>
      <c r="O81" s="83">
        <f t="shared" si="31"/>
        <v>0</v>
      </c>
    </row>
    <row r="82" spans="1:17" ht="13" x14ac:dyDescent="0.3">
      <c r="A82" s="518"/>
      <c r="B82" s="77" t="s">
        <v>52</v>
      </c>
      <c r="C82" s="78"/>
      <c r="D82" s="79"/>
      <c r="E82" s="78">
        <f>SUM(E73:E81)</f>
        <v>47500934.687482037</v>
      </c>
      <c r="F82" s="84">
        <f>G82/E82</f>
        <v>3.5000000000000005E-3</v>
      </c>
      <c r="G82" s="94">
        <f>SUM(G73:G81)</f>
        <v>166253.27140618715</v>
      </c>
      <c r="J82" s="77" t="s">
        <v>52</v>
      </c>
      <c r="K82" s="78"/>
      <c r="L82" s="79"/>
      <c r="M82" s="78">
        <v>58151004.132170156</v>
      </c>
      <c r="N82" s="84">
        <f>O82/M82</f>
        <v>9.1038596023671641E-4</v>
      </c>
      <c r="O82" s="94">
        <f>SUM(O73:O81)</f>
        <v>52939.857735594989</v>
      </c>
      <c r="Q82" s="579">
        <f>O82+G82</f>
        <v>219193.12914178215</v>
      </c>
    </row>
    <row r="83" spans="1:17" x14ac:dyDescent="0.25">
      <c r="A83" s="518"/>
      <c r="B83" s="518"/>
      <c r="C83" s="518"/>
      <c r="D83" s="518"/>
      <c r="E83" s="518"/>
      <c r="F83" s="518"/>
      <c r="G83" s="518"/>
    </row>
    <row r="84" spans="1:17" ht="13" x14ac:dyDescent="0.3">
      <c r="A84" s="518"/>
      <c r="B84" s="134" t="s">
        <v>62</v>
      </c>
      <c r="C84" s="135"/>
      <c r="D84" s="140"/>
      <c r="E84" s="137"/>
      <c r="F84" s="138"/>
      <c r="G84" s="135"/>
      <c r="J84" s="134" t="s">
        <v>62</v>
      </c>
      <c r="K84" s="135"/>
      <c r="L84" s="140"/>
      <c r="M84" s="137"/>
      <c r="N84" s="138"/>
      <c r="O84" s="135"/>
    </row>
    <row r="85" spans="1:17" ht="13" x14ac:dyDescent="0.3">
      <c r="A85" s="518"/>
      <c r="B85" s="133" t="s">
        <v>56</v>
      </c>
      <c r="C85" s="522"/>
      <c r="D85" s="141"/>
      <c r="E85" s="523">
        <v>2021</v>
      </c>
      <c r="F85" s="524"/>
      <c r="G85" s="522"/>
      <c r="J85" s="133" t="s">
        <v>56</v>
      </c>
      <c r="K85" s="577"/>
      <c r="L85" s="141"/>
      <c r="M85" s="578">
        <v>2021</v>
      </c>
      <c r="N85" s="576"/>
      <c r="O85" s="577"/>
    </row>
    <row r="86" spans="1:17" x14ac:dyDescent="0.25">
      <c r="A86" s="518"/>
      <c r="B86" s="91" t="str">
        <f>B73</f>
        <v xml:space="preserve">Residential </v>
      </c>
      <c r="C86" s="81"/>
      <c r="D86" s="92" t="str">
        <f t="shared" ref="D86:E90" si="32">D73</f>
        <v>kWh</v>
      </c>
      <c r="E86" s="81">
        <f t="shared" si="32"/>
        <v>34091822.740783706</v>
      </c>
      <c r="F86" s="149">
        <v>4.0000000000000002E-4</v>
      </c>
      <c r="G86" s="83">
        <f>(E86*F86)</f>
        <v>13636.729096313484</v>
      </c>
      <c r="J86" s="91" t="str">
        <f>J73</f>
        <v xml:space="preserve">Residential </v>
      </c>
      <c r="K86" s="81"/>
      <c r="L86" s="92" t="str">
        <f t="shared" ref="L86:M86" si="33">L73</f>
        <v>kWh</v>
      </c>
      <c r="M86" s="81">
        <f t="shared" si="33"/>
        <v>744520.25710764062</v>
      </c>
      <c r="N86" s="149">
        <v>4.0000000000000002E-4</v>
      </c>
      <c r="O86" s="83">
        <f>(M86*N86)</f>
        <v>297.80810284305625</v>
      </c>
    </row>
    <row r="87" spans="1:17" x14ac:dyDescent="0.25">
      <c r="A87" s="518"/>
      <c r="B87" s="91" t="str">
        <f>B74</f>
        <v>General Service &lt; 50 kW</v>
      </c>
      <c r="C87" s="81"/>
      <c r="D87" s="92" t="str">
        <f t="shared" si="32"/>
        <v>kWh</v>
      </c>
      <c r="E87" s="81">
        <f t="shared" si="32"/>
        <v>9732103.6888573356</v>
      </c>
      <c r="F87" s="149">
        <v>4.0000000000000002E-4</v>
      </c>
      <c r="G87" s="83">
        <f t="shared" ref="G87:G94" si="34">(E87*F87)</f>
        <v>3892.8414755429344</v>
      </c>
      <c r="J87" s="91" t="str">
        <f>J74</f>
        <v>General Service &lt; 50 kW</v>
      </c>
      <c r="K87" s="81"/>
      <c r="L87" s="92" t="str">
        <f t="shared" ref="L87:M87" si="35">L74</f>
        <v>kWh</v>
      </c>
      <c r="M87" s="81">
        <f t="shared" si="35"/>
        <v>1144953.3751596857</v>
      </c>
      <c r="N87" s="149">
        <v>4.0000000000000002E-4</v>
      </c>
      <c r="O87" s="83">
        <f t="shared" ref="O87:O94" si="36">(M87*N87)</f>
        <v>457.98135006387429</v>
      </c>
    </row>
    <row r="88" spans="1:17" x14ac:dyDescent="0.25">
      <c r="A88" s="518"/>
      <c r="B88" s="91" t="str">
        <f>B75</f>
        <v>General Service &gt; 50 to 4999 kW</v>
      </c>
      <c r="C88" s="81"/>
      <c r="D88" s="92" t="str">
        <f t="shared" si="32"/>
        <v>kWh</v>
      </c>
      <c r="E88" s="81">
        <f t="shared" si="32"/>
        <v>3540927.5082390164</v>
      </c>
      <c r="F88" s="149">
        <v>4.0000000000000002E-4</v>
      </c>
      <c r="G88" s="83">
        <f t="shared" si="34"/>
        <v>1416.3710032956067</v>
      </c>
      <c r="J88" s="91" t="str">
        <f>J75</f>
        <v>General Service &gt; 50 to 4999 kW</v>
      </c>
      <c r="K88" s="81"/>
      <c r="L88" s="92" t="str">
        <f t="shared" ref="L88:M88" si="37">L75</f>
        <v>kWh</v>
      </c>
      <c r="M88" s="81">
        <f t="shared" si="37"/>
        <v>12983400.863543062</v>
      </c>
      <c r="N88" s="149">
        <v>4.0000000000000002E-4</v>
      </c>
      <c r="O88" s="83">
        <f t="shared" si="36"/>
        <v>5193.3603454172253</v>
      </c>
    </row>
    <row r="89" spans="1:17" x14ac:dyDescent="0.25">
      <c r="A89" s="518"/>
      <c r="B89" s="91" t="str">
        <f>B76</f>
        <v>General Service &gt; 1000 to 4999 kW</v>
      </c>
      <c r="C89" s="81"/>
      <c r="D89" s="92" t="str">
        <f t="shared" si="32"/>
        <v>kWh</v>
      </c>
      <c r="E89" s="81">
        <f t="shared" si="32"/>
        <v>0</v>
      </c>
      <c r="F89" s="149"/>
      <c r="G89" s="83">
        <f t="shared" si="34"/>
        <v>0</v>
      </c>
      <c r="J89" s="91" t="str">
        <f>J76</f>
        <v>General Service &gt; 1000 to 4999 kW</v>
      </c>
      <c r="K89" s="81"/>
      <c r="L89" s="92" t="str">
        <f t="shared" ref="L89:M89" si="38">L76</f>
        <v>kWh</v>
      </c>
      <c r="M89" s="81">
        <f t="shared" si="38"/>
        <v>0</v>
      </c>
      <c r="N89" s="149"/>
      <c r="O89" s="83">
        <f t="shared" si="36"/>
        <v>0</v>
      </c>
    </row>
    <row r="90" spans="1:17" x14ac:dyDescent="0.25">
      <c r="A90" s="518"/>
      <c r="B90" s="91" t="str">
        <f>B77</f>
        <v>Large User</v>
      </c>
      <c r="C90" s="81"/>
      <c r="D90" s="92" t="str">
        <f t="shared" si="32"/>
        <v>kWh</v>
      </c>
      <c r="E90" s="81">
        <f t="shared" si="32"/>
        <v>0</v>
      </c>
      <c r="F90" s="149"/>
      <c r="G90" s="83">
        <f t="shared" si="34"/>
        <v>0</v>
      </c>
      <c r="J90" s="91" t="str">
        <f>J77</f>
        <v>Large User</v>
      </c>
      <c r="K90" s="81"/>
      <c r="L90" s="92" t="str">
        <f t="shared" ref="L90:M90" si="39">L77</f>
        <v>kWh</v>
      </c>
      <c r="M90" s="81">
        <f t="shared" si="39"/>
        <v>0</v>
      </c>
      <c r="N90" s="149"/>
      <c r="O90" s="83">
        <f t="shared" si="36"/>
        <v>0</v>
      </c>
    </row>
    <row r="91" spans="1:17" x14ac:dyDescent="0.25">
      <c r="A91" s="518"/>
      <c r="B91" s="91" t="s">
        <v>107</v>
      </c>
      <c r="C91" s="81"/>
      <c r="D91" s="186" t="s">
        <v>50</v>
      </c>
      <c r="E91" s="81">
        <f>E78</f>
        <v>24854.5402463102</v>
      </c>
      <c r="F91" s="149">
        <v>4.0000000000000002E-4</v>
      </c>
      <c r="G91" s="83">
        <f t="shared" si="34"/>
        <v>9.9418160985240807</v>
      </c>
      <c r="J91" s="91" t="s">
        <v>107</v>
      </c>
      <c r="K91" s="81"/>
      <c r="L91" s="186" t="s">
        <v>50</v>
      </c>
      <c r="M91" s="81">
        <f>M78</f>
        <v>1035.6058435962593</v>
      </c>
      <c r="N91" s="149">
        <v>4.0000000000000002E-4</v>
      </c>
      <c r="O91" s="83">
        <f t="shared" si="36"/>
        <v>0.41424233743850375</v>
      </c>
    </row>
    <row r="92" spans="1:17" x14ac:dyDescent="0.25">
      <c r="A92" s="518"/>
      <c r="B92" s="91" t="str">
        <f t="shared" ref="B92:B94" si="40">B79</f>
        <v>Street Lights</v>
      </c>
      <c r="C92" s="81"/>
      <c r="D92" s="92" t="str">
        <f t="shared" ref="D92:E94" si="41">D79</f>
        <v>kWh</v>
      </c>
      <c r="E92" s="81">
        <f t="shared" si="41"/>
        <v>0</v>
      </c>
      <c r="F92" s="149">
        <v>4.0000000000000002E-4</v>
      </c>
      <c r="G92" s="83">
        <f t="shared" si="34"/>
        <v>0</v>
      </c>
      <c r="J92" s="91" t="str">
        <f t="shared" ref="J92:J94" si="42">J79</f>
        <v>Street Lights</v>
      </c>
      <c r="K92" s="81"/>
      <c r="L92" s="92" t="str">
        <f t="shared" ref="L92:M92" si="43">L79</f>
        <v>kWh</v>
      </c>
      <c r="M92" s="81">
        <f t="shared" si="43"/>
        <v>240055.51504999999</v>
      </c>
      <c r="N92" s="149">
        <v>4.0000000000000002E-4</v>
      </c>
      <c r="O92" s="83">
        <f t="shared" si="36"/>
        <v>96.022206019999999</v>
      </c>
    </row>
    <row r="93" spans="1:17" x14ac:dyDescent="0.25">
      <c r="A93" s="518"/>
      <c r="B93" s="91" t="str">
        <f t="shared" si="40"/>
        <v xml:space="preserve">Unmetered Loads </v>
      </c>
      <c r="C93" s="81"/>
      <c r="D93" s="92" t="str">
        <f t="shared" si="41"/>
        <v>kWh</v>
      </c>
      <c r="E93" s="81">
        <f t="shared" si="41"/>
        <v>111226.20935567186</v>
      </c>
      <c r="F93" s="149">
        <v>4.0000000000000002E-4</v>
      </c>
      <c r="G93" s="83">
        <f t="shared" si="34"/>
        <v>44.490483742268744</v>
      </c>
      <c r="J93" s="91" t="str">
        <f t="shared" si="42"/>
        <v xml:space="preserve">Unmetered Loads </v>
      </c>
      <c r="K93" s="81"/>
      <c r="L93" s="92" t="str">
        <f t="shared" ref="L93:M93" si="44">L80</f>
        <v>kWh</v>
      </c>
      <c r="M93" s="81">
        <f t="shared" si="44"/>
        <v>11708.022037439145</v>
      </c>
      <c r="N93" s="149">
        <v>4.0000000000000002E-4</v>
      </c>
      <c r="O93" s="83">
        <f t="shared" si="36"/>
        <v>4.6832088149756581</v>
      </c>
    </row>
    <row r="94" spans="1:17" x14ac:dyDescent="0.25">
      <c r="A94" s="518"/>
      <c r="B94" s="91" t="str">
        <f t="shared" si="40"/>
        <v>Embedded Distributors - Hydro One</v>
      </c>
      <c r="C94" s="81"/>
      <c r="D94" s="92" t="str">
        <f t="shared" si="41"/>
        <v>kWh</v>
      </c>
      <c r="E94" s="81">
        <f t="shared" si="41"/>
        <v>0</v>
      </c>
      <c r="F94" s="149"/>
      <c r="G94" s="83">
        <f t="shared" si="34"/>
        <v>0</v>
      </c>
      <c r="J94" s="91" t="str">
        <f t="shared" si="42"/>
        <v>Embedded Distributors - Hydro One</v>
      </c>
      <c r="K94" s="81"/>
      <c r="L94" s="92" t="str">
        <f t="shared" ref="L94:M94" si="45">L81</f>
        <v>kWh</v>
      </c>
      <c r="M94" s="81">
        <f t="shared" si="45"/>
        <v>0</v>
      </c>
      <c r="N94" s="149"/>
      <c r="O94" s="83">
        <f t="shared" si="36"/>
        <v>0</v>
      </c>
    </row>
    <row r="95" spans="1:17" ht="13" x14ac:dyDescent="0.3">
      <c r="A95" s="518"/>
      <c r="B95" s="77" t="s">
        <v>52</v>
      </c>
      <c r="C95" s="78"/>
      <c r="D95" s="79"/>
      <c r="E95" s="78">
        <f>SUM(E86:E94)</f>
        <v>47500934.687482037</v>
      </c>
      <c r="F95" s="84">
        <f>G95/E95</f>
        <v>4.0000000000000002E-4</v>
      </c>
      <c r="G95" s="94">
        <f>SUM(G86:G94)</f>
        <v>19000.373874992816</v>
      </c>
      <c r="J95" s="77" t="s">
        <v>52</v>
      </c>
      <c r="K95" s="78"/>
      <c r="L95" s="79"/>
      <c r="M95" s="78">
        <f>SUM(M86:M94)</f>
        <v>15125673.638741422</v>
      </c>
      <c r="N95" s="84">
        <f>O95/M95</f>
        <v>4.0000000000000013E-4</v>
      </c>
      <c r="O95" s="94">
        <f>SUM(O86:O94)</f>
        <v>6050.269455496571</v>
      </c>
      <c r="Q95" s="579">
        <f>O95+G95</f>
        <v>25050.643330489387</v>
      </c>
    </row>
    <row r="96" spans="1:17" x14ac:dyDescent="0.25">
      <c r="A96" s="518"/>
      <c r="B96" s="518"/>
      <c r="C96" s="518"/>
      <c r="D96" s="518"/>
      <c r="E96" s="518"/>
      <c r="F96" s="518"/>
      <c r="G96" s="518"/>
    </row>
    <row r="97" spans="1:17" ht="13" x14ac:dyDescent="0.3">
      <c r="A97" s="518"/>
      <c r="B97" s="134" t="s">
        <v>180</v>
      </c>
      <c r="C97" s="135"/>
      <c r="D97" s="140"/>
      <c r="E97" s="137"/>
      <c r="F97" s="138"/>
      <c r="G97" s="135"/>
      <c r="J97" s="134" t="s">
        <v>180</v>
      </c>
      <c r="K97" s="135"/>
      <c r="L97" s="140"/>
      <c r="M97" s="137"/>
      <c r="N97" s="138"/>
      <c r="O97" s="135"/>
    </row>
    <row r="98" spans="1:17" ht="13" x14ac:dyDescent="0.3">
      <c r="A98" s="518"/>
      <c r="B98" s="133" t="s">
        <v>56</v>
      </c>
      <c r="C98" s="522"/>
      <c r="D98" s="141"/>
      <c r="E98" s="523">
        <v>2021</v>
      </c>
      <c r="F98" s="524"/>
      <c r="G98" s="522"/>
      <c r="J98" s="133" t="s">
        <v>56</v>
      </c>
      <c r="K98" s="577"/>
      <c r="L98" s="141"/>
      <c r="M98" s="578">
        <v>2021</v>
      </c>
      <c r="N98" s="576"/>
      <c r="O98" s="577"/>
    </row>
    <row r="99" spans="1:17" x14ac:dyDescent="0.25">
      <c r="A99" s="518"/>
      <c r="B99" s="91" t="str">
        <f>B86</f>
        <v xml:space="preserve">Residential </v>
      </c>
      <c r="C99" s="81"/>
      <c r="D99" s="92" t="str">
        <f>D86</f>
        <v>kWh</v>
      </c>
      <c r="E99" s="81">
        <f>C19</f>
        <v>31942118.186811309</v>
      </c>
      <c r="F99" s="149">
        <v>7.0000000000000001E-3</v>
      </c>
      <c r="G99" s="657">
        <f>(E99*F99)</f>
        <v>223594.82730767917</v>
      </c>
      <c r="J99" s="91" t="str">
        <f>J86</f>
        <v xml:space="preserve">Residential </v>
      </c>
      <c r="K99" s="81"/>
      <c r="L99" s="92" t="str">
        <f>L86</f>
        <v>kWh</v>
      </c>
      <c r="M99" s="81">
        <f>K19</f>
        <v>697573.55673909932</v>
      </c>
      <c r="N99" s="149">
        <f>F99</f>
        <v>7.0000000000000001E-3</v>
      </c>
      <c r="O99" s="657">
        <f>(M99*N99)</f>
        <v>4883.0148971736953</v>
      </c>
      <c r="Q99" s="598">
        <f>-O99-G99</f>
        <v>-228477.84220485287</v>
      </c>
    </row>
    <row r="100" spans="1:17" x14ac:dyDescent="0.25">
      <c r="A100" s="518"/>
      <c r="B100" s="91" t="str">
        <f>B87</f>
        <v>General Service &lt; 50 kW</v>
      </c>
      <c r="C100" s="81"/>
      <c r="D100" s="92" t="str">
        <f>D87</f>
        <v>kWh</v>
      </c>
      <c r="E100" s="81">
        <f>C20</f>
        <v>9118433.1386276931</v>
      </c>
      <c r="F100" s="149">
        <v>6.3E-3</v>
      </c>
      <c r="G100" s="657">
        <f t="shared" ref="G100:G107" si="46">(E100*F100)</f>
        <v>57446.128773354467</v>
      </c>
      <c r="J100" s="91" t="str">
        <f>J87</f>
        <v>General Service &lt; 50 kW</v>
      </c>
      <c r="K100" s="81"/>
      <c r="L100" s="92" t="str">
        <f>L87</f>
        <v>kWh</v>
      </c>
      <c r="M100" s="81">
        <f>K20</f>
        <v>1072756.8398385514</v>
      </c>
      <c r="N100" s="149">
        <f t="shared" ref="N100:N106" si="47">F100</f>
        <v>6.3E-3</v>
      </c>
      <c r="O100" s="657">
        <f t="shared" ref="O100:O107" si="48">(M100*N100)</f>
        <v>6758.3680909828736</v>
      </c>
      <c r="Q100" s="598">
        <f t="shared" ref="Q100:Q106" si="49">-O100-G100</f>
        <v>-64204.496864337343</v>
      </c>
    </row>
    <row r="101" spans="1:17" x14ac:dyDescent="0.25">
      <c r="A101" s="518"/>
      <c r="B101" s="91" t="str">
        <f>B88</f>
        <v>General Service &gt; 50 to 4999 kW</v>
      </c>
      <c r="C101" s="81"/>
      <c r="D101" s="186" t="s">
        <v>51</v>
      </c>
      <c r="E101" s="81">
        <v>0</v>
      </c>
      <c r="F101" s="149">
        <v>2.4327000000000001</v>
      </c>
      <c r="G101" s="657">
        <f t="shared" si="46"/>
        <v>0</v>
      </c>
      <c r="J101" s="91" t="str">
        <f>J88</f>
        <v>General Service &gt; 50 to 4999 kW</v>
      </c>
      <c r="K101" s="81"/>
      <c r="L101" s="186" t="s">
        <v>51</v>
      </c>
      <c r="M101" s="81">
        <f>D7</f>
        <v>38558.693646466199</v>
      </c>
      <c r="N101" s="149">
        <f t="shared" si="47"/>
        <v>2.4327000000000001</v>
      </c>
      <c r="O101" s="657">
        <f t="shared" si="48"/>
        <v>93801.73403375833</v>
      </c>
      <c r="Q101" s="598">
        <f t="shared" si="49"/>
        <v>-93801.73403375833</v>
      </c>
    </row>
    <row r="102" spans="1:17" x14ac:dyDescent="0.25">
      <c r="A102" s="518"/>
      <c r="B102" s="91" t="str">
        <f>B89</f>
        <v>General Service &gt; 1000 to 4999 kW</v>
      </c>
      <c r="C102" s="81"/>
      <c r="D102" s="92" t="str">
        <f>D89</f>
        <v>kWh</v>
      </c>
      <c r="E102" s="81">
        <f>E89</f>
        <v>0</v>
      </c>
      <c r="F102" s="149">
        <v>0</v>
      </c>
      <c r="G102" s="657">
        <f t="shared" si="46"/>
        <v>0</v>
      </c>
      <c r="J102" s="91" t="str">
        <f>J89</f>
        <v>General Service &gt; 1000 to 4999 kW</v>
      </c>
      <c r="K102" s="81"/>
      <c r="L102" s="92" t="str">
        <f>L89</f>
        <v>kWh</v>
      </c>
      <c r="M102" s="81">
        <f>M89</f>
        <v>0</v>
      </c>
      <c r="N102" s="149">
        <f t="shared" si="47"/>
        <v>0</v>
      </c>
      <c r="O102" s="657">
        <f t="shared" si="48"/>
        <v>0</v>
      </c>
      <c r="Q102" s="598">
        <f t="shared" si="49"/>
        <v>0</v>
      </c>
    </row>
    <row r="103" spans="1:17" x14ac:dyDescent="0.25">
      <c r="A103" s="518"/>
      <c r="B103" s="91" t="str">
        <f>B90</f>
        <v>Large User</v>
      </c>
      <c r="C103" s="81"/>
      <c r="D103" s="92" t="str">
        <f>D90</f>
        <v>kWh</v>
      </c>
      <c r="E103" s="81">
        <f>E90</f>
        <v>0</v>
      </c>
      <c r="F103" s="149">
        <v>0</v>
      </c>
      <c r="G103" s="657">
        <f t="shared" si="46"/>
        <v>0</v>
      </c>
      <c r="J103" s="91" t="str">
        <f>J90</f>
        <v>Large User</v>
      </c>
      <c r="K103" s="81"/>
      <c r="L103" s="92" t="str">
        <f>L90</f>
        <v>kWh</v>
      </c>
      <c r="M103" s="81">
        <f>M90</f>
        <v>0</v>
      </c>
      <c r="N103" s="149">
        <f t="shared" si="47"/>
        <v>0</v>
      </c>
      <c r="O103" s="657">
        <f t="shared" si="48"/>
        <v>0</v>
      </c>
      <c r="Q103" s="598">
        <f t="shared" si="49"/>
        <v>0</v>
      </c>
    </row>
    <row r="104" spans="1:17" x14ac:dyDescent="0.25">
      <c r="A104" s="518"/>
      <c r="B104" s="91" t="s">
        <v>107</v>
      </c>
      <c r="C104" s="81"/>
      <c r="D104" s="186" t="s">
        <v>51</v>
      </c>
      <c r="E104" s="81">
        <v>0</v>
      </c>
      <c r="F104" s="149">
        <v>1.9197</v>
      </c>
      <c r="G104" s="657">
        <f t="shared" si="46"/>
        <v>0</v>
      </c>
      <c r="J104" s="73" t="s">
        <v>107</v>
      </c>
      <c r="K104" s="81"/>
      <c r="L104" s="186" t="s">
        <v>51</v>
      </c>
      <c r="M104" s="81">
        <f>D10</f>
        <v>67.382247233170062</v>
      </c>
      <c r="N104" s="149">
        <f t="shared" si="47"/>
        <v>1.9197</v>
      </c>
      <c r="O104" s="657">
        <f t="shared" si="48"/>
        <v>129.35370001351657</v>
      </c>
      <c r="Q104" s="598">
        <f t="shared" si="49"/>
        <v>-129.35370001351657</v>
      </c>
    </row>
    <row r="105" spans="1:17" x14ac:dyDescent="0.25">
      <c r="A105" s="518"/>
      <c r="B105" s="91" t="str">
        <f t="shared" ref="B105:B107" si="50">B92</f>
        <v>Street Lights</v>
      </c>
      <c r="C105" s="81"/>
      <c r="D105" s="186" t="s">
        <v>51</v>
      </c>
      <c r="E105" s="81">
        <v>0</v>
      </c>
      <c r="F105" s="149">
        <v>1.8805000000000001</v>
      </c>
      <c r="G105" s="657">
        <f t="shared" si="46"/>
        <v>0</v>
      </c>
      <c r="J105" s="91" t="str">
        <f t="shared" ref="J105:J107" si="51">J92</f>
        <v>Street Lights</v>
      </c>
      <c r="K105" s="81"/>
      <c r="L105" s="186" t="s">
        <v>51</v>
      </c>
      <c r="M105" s="81">
        <f>D11</f>
        <v>659.99999999999829</v>
      </c>
      <c r="N105" s="149">
        <f t="shared" si="47"/>
        <v>1.8805000000000001</v>
      </c>
      <c r="O105" s="657">
        <f t="shared" si="48"/>
        <v>1241.1299999999969</v>
      </c>
      <c r="Q105" s="598">
        <f t="shared" si="49"/>
        <v>-1241.1299999999969</v>
      </c>
    </row>
    <row r="106" spans="1:17" x14ac:dyDescent="0.25">
      <c r="A106" s="518"/>
      <c r="B106" s="91" t="str">
        <f t="shared" si="50"/>
        <v xml:space="preserve">Unmetered Loads </v>
      </c>
      <c r="C106" s="81"/>
      <c r="D106" s="92" t="str">
        <f>D93</f>
        <v>kWh</v>
      </c>
      <c r="E106" s="81">
        <f>C26</f>
        <v>104212.69498329605</v>
      </c>
      <c r="F106" s="149">
        <v>6.3E-3</v>
      </c>
      <c r="G106" s="657">
        <f t="shared" si="46"/>
        <v>656.53997839476517</v>
      </c>
      <c r="J106" s="91" t="str">
        <f t="shared" si="51"/>
        <v xml:space="preserve">Unmetered Loads </v>
      </c>
      <c r="K106" s="81"/>
      <c r="L106" s="92" t="str">
        <f>L93</f>
        <v>kWh</v>
      </c>
      <c r="M106" s="81">
        <f>K26</f>
        <v>10969.757366662743</v>
      </c>
      <c r="N106" s="149">
        <f t="shared" si="47"/>
        <v>6.3E-3</v>
      </c>
      <c r="O106" s="657">
        <f t="shared" si="48"/>
        <v>69.109471409975285</v>
      </c>
      <c r="Q106" s="598">
        <f t="shared" si="49"/>
        <v>-725.64944980474047</v>
      </c>
    </row>
    <row r="107" spans="1:17" x14ac:dyDescent="0.25">
      <c r="A107" s="518"/>
      <c r="B107" s="91" t="str">
        <f t="shared" si="50"/>
        <v>Embedded Distributors - Hydro One</v>
      </c>
      <c r="C107" s="81"/>
      <c r="D107" s="92" t="str">
        <f>D94</f>
        <v>kWh</v>
      </c>
      <c r="E107" s="81">
        <f>E94</f>
        <v>0</v>
      </c>
      <c r="F107" s="149">
        <v>0</v>
      </c>
      <c r="G107" s="657">
        <f t="shared" si="46"/>
        <v>0</v>
      </c>
      <c r="J107" s="91" t="str">
        <f t="shared" si="51"/>
        <v>Embedded Distributors - Hydro One</v>
      </c>
      <c r="K107" s="81"/>
      <c r="L107" s="92" t="str">
        <f>L94</f>
        <v>kWh</v>
      </c>
      <c r="M107" s="81">
        <f>M94</f>
        <v>0</v>
      </c>
      <c r="N107" s="149">
        <v>0</v>
      </c>
      <c r="O107" s="657">
        <f t="shared" si="48"/>
        <v>0</v>
      </c>
    </row>
    <row r="108" spans="1:17" ht="13" x14ac:dyDescent="0.3">
      <c r="A108" s="518"/>
      <c r="B108" s="77" t="s">
        <v>52</v>
      </c>
      <c r="C108" s="78"/>
      <c r="D108" s="79"/>
      <c r="E108" s="78">
        <f>SUM(E99:E107)</f>
        <v>41164764.020422302</v>
      </c>
      <c r="F108" s="84">
        <f>G108/E108</f>
        <v>6.8431704338126429E-3</v>
      </c>
      <c r="G108" s="94">
        <f>SUM(G99:G107)</f>
        <v>281697.49605942838</v>
      </c>
      <c r="J108" s="77" t="s">
        <v>52</v>
      </c>
      <c r="K108" s="78"/>
      <c r="L108" s="79"/>
      <c r="M108" s="78">
        <f>SUM(M99:M107)</f>
        <v>1820586.2298380127</v>
      </c>
      <c r="N108" s="84">
        <f>O108/M108</f>
        <v>5.8707853789956597E-2</v>
      </c>
      <c r="O108" s="94">
        <f>SUM(O99:O107)</f>
        <v>106882.71019333837</v>
      </c>
      <c r="Q108" s="579">
        <f>O108+G108</f>
        <v>388580.20625276677</v>
      </c>
    </row>
    <row r="109" spans="1:17" ht="13" x14ac:dyDescent="0.3">
      <c r="A109" s="518"/>
      <c r="B109" s="86"/>
      <c r="C109" s="87"/>
      <c r="D109" s="88"/>
      <c r="E109" s="87"/>
      <c r="F109" s="89"/>
      <c r="G109" s="189"/>
    </row>
    <row r="110" spans="1:17" ht="13" x14ac:dyDescent="0.3">
      <c r="A110" s="518"/>
      <c r="B110" s="134" t="s">
        <v>178</v>
      </c>
      <c r="C110" s="135"/>
      <c r="D110" s="137"/>
      <c r="E110" s="135"/>
      <c r="F110" s="519"/>
      <c r="G110" s="520"/>
    </row>
    <row r="111" spans="1:17" ht="13" x14ac:dyDescent="0.3">
      <c r="A111" s="518"/>
      <c r="B111" s="133" t="s">
        <v>56</v>
      </c>
      <c r="C111" s="522" t="s">
        <v>179</v>
      </c>
      <c r="D111" s="521">
        <v>2017</v>
      </c>
      <c r="E111" s="522"/>
      <c r="F111" s="701"/>
      <c r="G111" s="31"/>
    </row>
    <row r="112" spans="1:17" x14ac:dyDescent="0.25">
      <c r="A112" s="518"/>
      <c r="B112" s="91" t="str">
        <f>B99</f>
        <v xml:space="preserve">Residential </v>
      </c>
      <c r="C112" s="81">
        <f>Summary!M14</f>
        <v>2910</v>
      </c>
      <c r="D112" s="149">
        <v>0.56999999999999995</v>
      </c>
      <c r="E112" s="657">
        <f>(C112*D112*12)</f>
        <v>19904.399999999998</v>
      </c>
      <c r="F112" s="518"/>
      <c r="G112" s="518"/>
    </row>
    <row r="113" spans="1:7" x14ac:dyDescent="0.25">
      <c r="A113" s="518"/>
      <c r="B113" s="91" t="str">
        <f>B100</f>
        <v>General Service &lt; 50 kW</v>
      </c>
      <c r="C113" s="81">
        <f>Summary!M18</f>
        <v>369</v>
      </c>
      <c r="D113" s="149">
        <v>0.56999999999999995</v>
      </c>
      <c r="E113" s="657">
        <f t="shared" ref="E113:E120" si="52">(C113*D113*12)</f>
        <v>2523.96</v>
      </c>
      <c r="F113" s="518"/>
      <c r="G113" s="518"/>
    </row>
    <row r="114" spans="1:7" x14ac:dyDescent="0.25">
      <c r="A114" s="518"/>
      <c r="B114" s="91" t="str">
        <f>B101</f>
        <v>General Service &gt; 50 to 4999 kW</v>
      </c>
      <c r="C114" s="81">
        <f>Summary!M22</f>
        <v>30</v>
      </c>
      <c r="D114" s="149">
        <v>0.56999999999999995</v>
      </c>
      <c r="E114" s="657">
        <f t="shared" si="52"/>
        <v>205.2</v>
      </c>
      <c r="F114" s="518"/>
      <c r="G114" s="518"/>
    </row>
    <row r="115" spans="1:7" x14ac:dyDescent="0.25">
      <c r="A115" s="518"/>
      <c r="B115" s="91" t="str">
        <f>B102</f>
        <v>General Service &gt; 1000 to 4999 kW</v>
      </c>
      <c r="C115" s="81">
        <v>0</v>
      </c>
      <c r="D115" s="149">
        <v>0.56999999999999995</v>
      </c>
      <c r="E115" s="83">
        <f t="shared" si="52"/>
        <v>0</v>
      </c>
      <c r="F115" s="518"/>
      <c r="G115" s="518"/>
    </row>
    <row r="116" spans="1:7" x14ac:dyDescent="0.25">
      <c r="A116" s="518"/>
      <c r="B116" s="91" t="str">
        <f>B103</f>
        <v>Large User</v>
      </c>
      <c r="C116" s="81">
        <v>0</v>
      </c>
      <c r="D116" s="149"/>
      <c r="E116" s="83">
        <f t="shared" si="52"/>
        <v>0</v>
      </c>
      <c r="F116" s="518"/>
      <c r="G116" s="518"/>
    </row>
    <row r="117" spans="1:7" x14ac:dyDescent="0.25">
      <c r="A117" s="518"/>
      <c r="B117" s="91" t="s">
        <v>107</v>
      </c>
      <c r="C117" s="81">
        <f>Summary!L27</f>
        <v>24.90214024902302</v>
      </c>
      <c r="D117" s="149"/>
      <c r="E117" s="83">
        <f t="shared" si="52"/>
        <v>0</v>
      </c>
      <c r="F117" s="518"/>
      <c r="G117" s="518"/>
    </row>
    <row r="118" spans="1:7" x14ac:dyDescent="0.25">
      <c r="A118" s="518"/>
      <c r="B118" s="91" t="str">
        <f t="shared" ref="B118:B120" si="53">B105</f>
        <v>Street Lights</v>
      </c>
      <c r="C118" s="81">
        <v>2</v>
      </c>
      <c r="D118" s="149"/>
      <c r="E118" s="83">
        <f t="shared" si="52"/>
        <v>0</v>
      </c>
      <c r="F118" s="518"/>
      <c r="G118" s="518"/>
    </row>
    <row r="119" spans="1:7" x14ac:dyDescent="0.25">
      <c r="A119" s="518"/>
      <c r="B119" s="91" t="str">
        <f t="shared" si="53"/>
        <v xml:space="preserve">Unmetered Loads </v>
      </c>
      <c r="C119" s="81">
        <f>Summary!L37</f>
        <v>21</v>
      </c>
      <c r="D119" s="149"/>
      <c r="E119" s="83">
        <f t="shared" si="52"/>
        <v>0</v>
      </c>
      <c r="F119" s="518"/>
      <c r="G119" s="518"/>
    </row>
    <row r="120" spans="1:7" x14ac:dyDescent="0.25">
      <c r="A120" s="518"/>
      <c r="B120" s="91" t="str">
        <f t="shared" si="53"/>
        <v>Embedded Distributors - Hydro One</v>
      </c>
      <c r="C120" s="81">
        <v>0</v>
      </c>
      <c r="D120" s="149"/>
      <c r="E120" s="83">
        <f t="shared" si="52"/>
        <v>0</v>
      </c>
      <c r="F120" s="518"/>
      <c r="G120" s="518"/>
    </row>
    <row r="121" spans="1:7" ht="13" x14ac:dyDescent="0.3">
      <c r="A121" s="518"/>
      <c r="B121" s="77" t="s">
        <v>52</v>
      </c>
      <c r="C121" s="78"/>
      <c r="D121" s="84"/>
      <c r="E121" s="94">
        <f>SUM(E112:E120)</f>
        <v>22633.559999999998</v>
      </c>
      <c r="F121" s="518"/>
      <c r="G121" s="518"/>
    </row>
    <row r="122" spans="1:7" ht="13" x14ac:dyDescent="0.3">
      <c r="A122" s="518"/>
      <c r="B122" s="86"/>
      <c r="C122" s="87"/>
      <c r="D122" s="88"/>
      <c r="E122" s="87"/>
      <c r="F122" s="89"/>
      <c r="G122" s="189"/>
    </row>
    <row r="123" spans="1:7" ht="14.5" x14ac:dyDescent="0.35">
      <c r="A123" s="518"/>
      <c r="B123" s="142"/>
      <c r="C123" s="143">
        <v>2021</v>
      </c>
      <c r="D123" s="518"/>
      <c r="E123" s="651"/>
      <c r="F123" s="651"/>
      <c r="G123" s="518"/>
    </row>
    <row r="124" spans="1:7" ht="14.5" x14ac:dyDescent="0.35">
      <c r="A124" s="518"/>
      <c r="B124" s="56"/>
      <c r="C124" s="95"/>
      <c r="D124" s="518"/>
      <c r="E124" s="652"/>
      <c r="F124" s="653"/>
      <c r="G124" s="518"/>
    </row>
    <row r="125" spans="1:7" ht="14.5" x14ac:dyDescent="0.35">
      <c r="A125" s="518"/>
      <c r="B125" s="54" t="s">
        <v>63</v>
      </c>
      <c r="C125" s="658">
        <f>G28+O28</f>
        <v>6385419.4514406417</v>
      </c>
      <c r="D125" s="518"/>
      <c r="E125" s="652"/>
      <c r="F125" s="654"/>
      <c r="G125" s="518"/>
    </row>
    <row r="126" spans="1:7" s="567" customFormat="1" ht="14.5" x14ac:dyDescent="0.35">
      <c r="B126" s="144" t="s">
        <v>320</v>
      </c>
      <c r="C126" s="658">
        <f>O42</f>
        <v>1617539.5389270077</v>
      </c>
      <c r="E126" s="652"/>
      <c r="F126" s="654"/>
    </row>
    <row r="127" spans="1:7" ht="14.5" x14ac:dyDescent="0.35">
      <c r="A127" s="518"/>
      <c r="B127" s="54" t="s">
        <v>64</v>
      </c>
      <c r="C127" s="659">
        <f>G82+O82</f>
        <v>219193.12914178215</v>
      </c>
      <c r="D127" s="518"/>
      <c r="E127" s="702"/>
      <c r="F127" s="654"/>
      <c r="G127" s="518"/>
    </row>
    <row r="128" spans="1:7" ht="14.5" x14ac:dyDescent="0.35">
      <c r="A128" s="518"/>
      <c r="B128" s="54" t="s">
        <v>65</v>
      </c>
      <c r="C128" s="659">
        <f>G56+O56</f>
        <v>401622.14293894765</v>
      </c>
      <c r="D128" s="678"/>
      <c r="E128" s="702"/>
      <c r="F128" s="654"/>
      <c r="G128" s="518"/>
    </row>
    <row r="129" spans="1:8" ht="14.5" x14ac:dyDescent="0.35">
      <c r="A129" s="518"/>
      <c r="B129" s="54" t="s">
        <v>66</v>
      </c>
      <c r="C129" s="659">
        <f>G69+O69</f>
        <v>291664.09704389749</v>
      </c>
      <c r="D129" s="678"/>
      <c r="E129" s="702"/>
      <c r="F129" s="654"/>
      <c r="G129" s="518"/>
    </row>
    <row r="130" spans="1:8" ht="14.5" x14ac:dyDescent="0.35">
      <c r="A130" s="518"/>
      <c r="B130" s="54" t="s">
        <v>67</v>
      </c>
      <c r="C130" s="659">
        <f>G95+O95</f>
        <v>25050.643330489387</v>
      </c>
      <c r="D130" s="678"/>
      <c r="E130" s="702"/>
      <c r="F130" s="654"/>
      <c r="G130" s="518"/>
    </row>
    <row r="131" spans="1:8" ht="14.5" x14ac:dyDescent="0.35">
      <c r="A131" s="518"/>
      <c r="B131" s="54" t="s">
        <v>68</v>
      </c>
      <c r="C131" s="660">
        <f>+G108+O108</f>
        <v>388580.20625276677</v>
      </c>
      <c r="D131" s="678"/>
      <c r="E131" s="702"/>
      <c r="F131" s="654"/>
      <c r="G131" s="518"/>
    </row>
    <row r="132" spans="1:8" ht="14.5" x14ac:dyDescent="0.35">
      <c r="A132" s="518"/>
      <c r="B132" s="144" t="s">
        <v>96</v>
      </c>
      <c r="C132" s="660">
        <f>+E121</f>
        <v>22633.559999999998</v>
      </c>
      <c r="D132" s="518"/>
      <c r="E132" s="655"/>
      <c r="F132" s="656"/>
      <c r="G132" s="518"/>
    </row>
    <row r="133" spans="1:8" s="567" customFormat="1" x14ac:dyDescent="0.25">
      <c r="B133" s="144" t="s">
        <v>414</v>
      </c>
      <c r="C133" s="660">
        <f>-(E121+G108+G95+G82+G69+G56+G28)*0.332</f>
        <v>-2349335.4705711394</v>
      </c>
    </row>
    <row r="134" spans="1:8" ht="13" x14ac:dyDescent="0.3">
      <c r="A134" s="518"/>
      <c r="B134" s="61" t="s">
        <v>52</v>
      </c>
      <c r="C134" s="736">
        <f>SUM(C125:C133)</f>
        <v>7002367.2985043954</v>
      </c>
      <c r="D134" s="518"/>
      <c r="E134" s="518"/>
      <c r="F134" s="518"/>
      <c r="G134" s="518"/>
    </row>
    <row r="135" spans="1:8" x14ac:dyDescent="0.25">
      <c r="B135" s="534"/>
      <c r="C135" s="534"/>
    </row>
    <row r="136" spans="1:8" ht="13" x14ac:dyDescent="0.3">
      <c r="B136" s="142"/>
      <c r="C136" s="594">
        <v>2021</v>
      </c>
      <c r="D136" s="594"/>
      <c r="E136" s="594"/>
      <c r="F136" s="594"/>
      <c r="G136" s="594"/>
      <c r="H136" s="602"/>
    </row>
    <row r="137" spans="1:8" ht="26" x14ac:dyDescent="0.3">
      <c r="B137" s="56"/>
      <c r="C137" s="595" t="s">
        <v>322</v>
      </c>
      <c r="D137" s="596" t="s">
        <v>323</v>
      </c>
      <c r="E137" s="597" t="s">
        <v>11</v>
      </c>
      <c r="F137" s="18" t="s">
        <v>324</v>
      </c>
      <c r="G137" s="18" t="s">
        <v>418</v>
      </c>
      <c r="H137" s="603" t="s">
        <v>326</v>
      </c>
    </row>
    <row r="138" spans="1:8" x14ac:dyDescent="0.25">
      <c r="B138" s="144" t="s">
        <v>297</v>
      </c>
      <c r="C138" s="588">
        <f>G19+G33</f>
        <v>4364776.0655025383</v>
      </c>
      <c r="D138" s="587">
        <f>O19+O33</f>
        <v>94576.408260383585</v>
      </c>
      <c r="E138" s="589">
        <f>C138+D138</f>
        <v>4459352.473762922</v>
      </c>
      <c r="F138" s="512">
        <f>E138/SUM($E$138:$E$142)</f>
        <v>0.55721296074741766</v>
      </c>
      <c r="G138" s="598">
        <f>F138*$C$133</f>
        <v>-1309080.1733458722</v>
      </c>
      <c r="H138" s="604">
        <f>E138+G138</f>
        <v>3150272.3004170498</v>
      </c>
    </row>
    <row r="139" spans="1:8" x14ac:dyDescent="0.25">
      <c r="B139" s="144" t="s">
        <v>298</v>
      </c>
      <c r="C139" s="590">
        <f>G25+G39</f>
        <v>0</v>
      </c>
      <c r="D139" s="587">
        <f>O25+O39</f>
        <v>30494.252076801495</v>
      </c>
      <c r="E139" s="589">
        <f t="shared" ref="E139:E147" si="54">C139+D139</f>
        <v>30494.252076801495</v>
      </c>
      <c r="F139" s="512">
        <f t="shared" ref="F139:F142" si="55">E139/SUM($E$138:$E$142)</f>
        <v>3.8103721527880294E-3</v>
      </c>
      <c r="G139" s="598">
        <f t="shared" ref="G139:G142" si="56">F139*$C$133</f>
        <v>-8951.8424546214301</v>
      </c>
      <c r="H139" s="604">
        <f t="shared" ref="H139:H148" si="57">E139+G139</f>
        <v>21542.409622180065</v>
      </c>
    </row>
    <row r="140" spans="1:8" x14ac:dyDescent="0.25">
      <c r="B140" s="144" t="s">
        <v>299</v>
      </c>
      <c r="C140" s="590">
        <f>G24+G38</f>
        <v>3182.1267877350951</v>
      </c>
      <c r="D140" s="587">
        <f>O24+O38</f>
        <v>131.55301031203282</v>
      </c>
      <c r="E140" s="589">
        <f t="shared" si="54"/>
        <v>3313.6797980471279</v>
      </c>
      <c r="F140" s="512">
        <f t="shared" si="55"/>
        <v>4.1405682598592201E-4</v>
      </c>
      <c r="G140" s="598">
        <f t="shared" si="56"/>
        <v>-972.7583881208285</v>
      </c>
      <c r="H140" s="604">
        <f t="shared" si="57"/>
        <v>2340.9214099262995</v>
      </c>
    </row>
    <row r="141" spans="1:8" x14ac:dyDescent="0.25">
      <c r="B141" s="144" t="s">
        <v>300</v>
      </c>
      <c r="C141" s="590">
        <f>G20+G21+G34+G35</f>
        <v>1699346.1841642461</v>
      </c>
      <c r="D141" s="587">
        <f>O20+O21+O34+O35</f>
        <v>1794724.83894241</v>
      </c>
      <c r="E141" s="589">
        <f t="shared" si="54"/>
        <v>3494071.023106656</v>
      </c>
      <c r="F141" s="512">
        <f t="shared" si="55"/>
        <v>0.43659739195366554</v>
      </c>
      <c r="G141" s="598">
        <f t="shared" si="56"/>
        <v>-1025713.739275597</v>
      </c>
      <c r="H141" s="604">
        <f t="shared" si="57"/>
        <v>2468357.283831059</v>
      </c>
    </row>
    <row r="142" spans="1:8" x14ac:dyDescent="0.25">
      <c r="B142" s="144" t="s">
        <v>327</v>
      </c>
      <c r="C142" s="588">
        <f>G26</f>
        <v>14240.291583806669</v>
      </c>
      <c r="D142" s="587">
        <f>O26+O40</f>
        <v>1487.2700394158946</v>
      </c>
      <c r="E142" s="589">
        <f t="shared" si="54"/>
        <v>15727.561623222564</v>
      </c>
      <c r="F142" s="512">
        <f t="shared" si="55"/>
        <v>1.9652183201428666E-3</v>
      </c>
      <c r="G142" s="598">
        <f t="shared" si="56"/>
        <v>-4616.9571069278654</v>
      </c>
      <c r="H142" s="604">
        <f t="shared" si="57"/>
        <v>11110.604516294698</v>
      </c>
    </row>
    <row r="143" spans="1:8" x14ac:dyDescent="0.25">
      <c r="B143" s="144" t="s">
        <v>301</v>
      </c>
      <c r="C143" s="590">
        <f>G82+G95</f>
        <v>185253.64528117998</v>
      </c>
      <c r="D143" s="587">
        <f>O95+O82</f>
        <v>58990.12719109156</v>
      </c>
      <c r="E143" s="589">
        <f t="shared" si="54"/>
        <v>244243.77247227155</v>
      </c>
      <c r="H143" s="604">
        <f t="shared" si="57"/>
        <v>244243.77247227155</v>
      </c>
    </row>
    <row r="144" spans="1:8" x14ac:dyDescent="0.25">
      <c r="B144" s="144" t="s">
        <v>302</v>
      </c>
      <c r="C144" s="590">
        <f>G56</f>
        <v>290428.19072199281</v>
      </c>
      <c r="D144" s="587">
        <f>O56</f>
        <v>111193.95221695483</v>
      </c>
      <c r="E144" s="589">
        <f t="shared" si="54"/>
        <v>401622.14293894765</v>
      </c>
      <c r="H144" s="604">
        <f t="shared" si="57"/>
        <v>401622.14293894765</v>
      </c>
    </row>
    <row r="145" spans="2:8" x14ac:dyDescent="0.25">
      <c r="B145" s="144" t="s">
        <v>303</v>
      </c>
      <c r="C145" s="590">
        <f>G69</f>
        <v>214754.09824587707</v>
      </c>
      <c r="D145" s="587">
        <f>O69</f>
        <v>76909.998798020431</v>
      </c>
      <c r="E145" s="589">
        <f t="shared" si="54"/>
        <v>291664.09704389749</v>
      </c>
      <c r="H145" s="604">
        <f t="shared" si="57"/>
        <v>291664.09704389749</v>
      </c>
    </row>
    <row r="146" spans="2:8" x14ac:dyDescent="0.25">
      <c r="B146" s="144" t="s">
        <v>304</v>
      </c>
      <c r="C146" s="590">
        <f>G108</f>
        <v>281697.49605942838</v>
      </c>
      <c r="D146" s="587">
        <f>O108</f>
        <v>106882.71019333837</v>
      </c>
      <c r="E146" s="589">
        <f t="shared" si="54"/>
        <v>388580.20625276677</v>
      </c>
      <c r="H146" s="604">
        <f t="shared" si="57"/>
        <v>388580.20625276677</v>
      </c>
    </row>
    <row r="147" spans="2:8" x14ac:dyDescent="0.25">
      <c r="B147" s="144" t="s">
        <v>305</v>
      </c>
      <c r="C147" s="591">
        <f>E121</f>
        <v>22633.559999999998</v>
      </c>
      <c r="D147" s="592"/>
      <c r="E147" s="593">
        <f t="shared" si="54"/>
        <v>22633.559999999998</v>
      </c>
      <c r="H147" s="604">
        <f t="shared" si="57"/>
        <v>22633.559999999998</v>
      </c>
    </row>
    <row r="148" spans="2:8" ht="13" x14ac:dyDescent="0.3">
      <c r="B148" s="61" t="s">
        <v>52</v>
      </c>
      <c r="C148" s="78">
        <f>SUM(C138:C147)</f>
        <v>7076311.658346802</v>
      </c>
      <c r="D148" s="599">
        <f>SUM(D138:D147)</f>
        <v>2275391.1107287286</v>
      </c>
      <c r="E148" s="600">
        <f>SUM(E138:E147)</f>
        <v>9351702.7690755334</v>
      </c>
      <c r="F148" s="78"/>
      <c r="G148" s="600">
        <f>SUM(G138:G142)</f>
        <v>-2349335.4705711394</v>
      </c>
      <c r="H148" s="601">
        <f t="shared" si="57"/>
        <v>7002367.2985043935</v>
      </c>
    </row>
  </sheetData>
  <customSheetViews>
    <customSheetView guid="{7481AE0E-2D6B-416C-8D95-7DAA8CA7C9F5}" topLeftCell="A114">
      <selection activeCell="E146" sqref="E146"/>
      <pageMargins left="0.7" right="0.7" top="0.75" bottom="0.75" header="0.3" footer="0.3"/>
      <pageSetup orientation="portrait" r:id="rId1"/>
    </customSheetView>
    <customSheetView guid="{DE47F5DD-3736-469D-8704-852547698004}" showPageBreaks="1">
      <selection activeCell="L31" sqref="L31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A16" sqref="A16:I21"/>
    </sheetView>
  </sheetViews>
  <sheetFormatPr defaultRowHeight="12.5" x14ac:dyDescent="0.25"/>
  <sheetData>
    <row r="1" spans="1:9" x14ac:dyDescent="0.25">
      <c r="A1" t="s">
        <v>27</v>
      </c>
    </row>
    <row r="2" spans="1:9" ht="13" thickBot="1" x14ac:dyDescent="0.3"/>
    <row r="3" spans="1:9" ht="13" x14ac:dyDescent="0.3">
      <c r="A3" s="468" t="s">
        <v>248</v>
      </c>
      <c r="B3" s="468"/>
    </row>
    <row r="4" spans="1:9" x14ac:dyDescent="0.25">
      <c r="A4" s="32" t="s">
        <v>249</v>
      </c>
      <c r="B4" s="32">
        <v>0.95659228588544565</v>
      </c>
    </row>
    <row r="5" spans="1:9" x14ac:dyDescent="0.25">
      <c r="A5" s="32" t="s">
        <v>28</v>
      </c>
      <c r="B5" s="32">
        <v>0.91506880141554214</v>
      </c>
    </row>
    <row r="6" spans="1:9" x14ac:dyDescent="0.25">
      <c r="A6" s="32" t="s">
        <v>29</v>
      </c>
      <c r="B6" s="32">
        <v>0.91211467276912628</v>
      </c>
    </row>
    <row r="7" spans="1:9" x14ac:dyDescent="0.25">
      <c r="A7" s="32" t="s">
        <v>250</v>
      </c>
      <c r="B7" s="32">
        <v>342137.03588064178</v>
      </c>
    </row>
    <row r="8" spans="1:9" ht="13" thickBot="1" x14ac:dyDescent="0.3">
      <c r="A8" s="466" t="s">
        <v>251</v>
      </c>
      <c r="B8" s="466">
        <v>120</v>
      </c>
    </row>
    <row r="10" spans="1:9" ht="13" thickBot="1" x14ac:dyDescent="0.3">
      <c r="A10" t="s">
        <v>252</v>
      </c>
    </row>
    <row r="11" spans="1:9" ht="13" x14ac:dyDescent="0.3">
      <c r="A11" s="467"/>
      <c r="B11" s="467" t="s">
        <v>256</v>
      </c>
      <c r="C11" s="467" t="s">
        <v>257</v>
      </c>
      <c r="D11" s="467" t="s">
        <v>258</v>
      </c>
      <c r="E11" s="467" t="s">
        <v>259</v>
      </c>
      <c r="F11" s="467" t="s">
        <v>260</v>
      </c>
    </row>
    <row r="12" spans="1:9" x14ac:dyDescent="0.25">
      <c r="A12" s="32" t="s">
        <v>253</v>
      </c>
      <c r="B12" s="32">
        <v>4</v>
      </c>
      <c r="C12" s="32">
        <v>145038905232294.47</v>
      </c>
      <c r="D12" s="32">
        <v>36259726308073.617</v>
      </c>
      <c r="E12" s="32">
        <v>309.75929315933587</v>
      </c>
      <c r="F12" s="32">
        <v>1.4147026155058194E-60</v>
      </c>
    </row>
    <row r="13" spans="1:9" x14ac:dyDescent="0.25">
      <c r="A13" s="32" t="s">
        <v>254</v>
      </c>
      <c r="B13" s="32">
        <v>115</v>
      </c>
      <c r="C13" s="32">
        <v>13461641401937.031</v>
      </c>
      <c r="D13" s="32">
        <v>117057751321.19157</v>
      </c>
      <c r="E13" s="32"/>
      <c r="F13" s="32"/>
    </row>
    <row r="14" spans="1:9" ht="13" thickBot="1" x14ac:dyDescent="0.3">
      <c r="A14" s="466" t="s">
        <v>11</v>
      </c>
      <c r="B14" s="466">
        <v>119</v>
      </c>
      <c r="C14" s="466">
        <v>158500546634231.5</v>
      </c>
      <c r="D14" s="466"/>
      <c r="E14" s="466"/>
      <c r="F14" s="466"/>
    </row>
    <row r="16" spans="1:9" x14ac:dyDescent="0.25">
      <c r="B16" t="s">
        <v>261</v>
      </c>
      <c r="C16" t="s">
        <v>250</v>
      </c>
      <c r="D16" t="s">
        <v>262</v>
      </c>
      <c r="E16" t="s">
        <v>263</v>
      </c>
      <c r="F16" t="s">
        <v>264</v>
      </c>
      <c r="G16" t="s">
        <v>265</v>
      </c>
      <c r="H16" t="s">
        <v>266</v>
      </c>
      <c r="I16" t="s">
        <v>267</v>
      </c>
    </row>
    <row r="17" spans="1:9" x14ac:dyDescent="0.25">
      <c r="A17" t="s">
        <v>255</v>
      </c>
      <c r="B17">
        <v>1093720.8071989347</v>
      </c>
      <c r="C17">
        <v>1198107.0527368756</v>
      </c>
      <c r="D17">
        <v>0.91287402465456824</v>
      </c>
      <c r="E17">
        <v>0.36321862049108267</v>
      </c>
      <c r="F17">
        <v>-1279498.6779120485</v>
      </c>
      <c r="G17">
        <v>3466940.292309918</v>
      </c>
      <c r="H17">
        <v>-1279498.6779120485</v>
      </c>
      <c r="I17">
        <v>3466940.292309918</v>
      </c>
    </row>
    <row r="18" spans="1:9" x14ac:dyDescent="0.25">
      <c r="A18" t="s">
        <v>343</v>
      </c>
      <c r="B18">
        <v>3551.3332337725979</v>
      </c>
      <c r="C18">
        <v>134.35335623524341</v>
      </c>
      <c r="D18">
        <v>26.432783916126812</v>
      </c>
      <c r="E18">
        <v>1.1010231717330575E-50</v>
      </c>
      <c r="F18">
        <v>3285.2050925692074</v>
      </c>
      <c r="G18">
        <v>3817.4613749759883</v>
      </c>
      <c r="H18">
        <v>3285.2050925692074</v>
      </c>
      <c r="I18">
        <v>3817.4613749759883</v>
      </c>
    </row>
    <row r="19" spans="1:9" x14ac:dyDescent="0.25">
      <c r="A19" t="s">
        <v>344</v>
      </c>
      <c r="B19">
        <v>7743.5506832168057</v>
      </c>
      <c r="C19">
        <v>2054.3439566051966</v>
      </c>
      <c r="D19">
        <v>3.7693545223133049</v>
      </c>
      <c r="E19">
        <v>2.5994497386885829E-4</v>
      </c>
      <c r="F19">
        <v>3674.2906819519885</v>
      </c>
      <c r="G19">
        <v>11812.810684481623</v>
      </c>
      <c r="H19">
        <v>3674.2906819519885</v>
      </c>
      <c r="I19">
        <v>11812.810684481623</v>
      </c>
    </row>
    <row r="20" spans="1:9" x14ac:dyDescent="0.25">
      <c r="A20" t="s">
        <v>345</v>
      </c>
      <c r="B20">
        <v>-407111.1469504516</v>
      </c>
      <c r="C20">
        <v>75320.62354936605</v>
      </c>
      <c r="D20">
        <v>-5.4050421752499966</v>
      </c>
      <c r="E20">
        <v>3.5555151666363334E-7</v>
      </c>
      <c r="F20">
        <v>-556306.80607768463</v>
      </c>
      <c r="G20">
        <v>-257915.48782321857</v>
      </c>
      <c r="H20">
        <v>-556306.80607768463</v>
      </c>
      <c r="I20">
        <v>-257915.48782321857</v>
      </c>
    </row>
    <row r="21" spans="1:9" x14ac:dyDescent="0.25">
      <c r="A21" t="s">
        <v>346</v>
      </c>
      <c r="B21">
        <v>90223.645532886352</v>
      </c>
      <c r="C21">
        <v>39625.715874735804</v>
      </c>
      <c r="D21">
        <v>2.2768962917439759</v>
      </c>
      <c r="E21">
        <v>2.4641836419250111E-2</v>
      </c>
      <c r="F21">
        <v>11732.728706568741</v>
      </c>
      <c r="G21">
        <v>168714.56235920396</v>
      </c>
      <c r="H21">
        <v>11732.728706568741</v>
      </c>
      <c r="I21">
        <v>168714.56235920396</v>
      </c>
    </row>
  </sheetData>
  <customSheetViews>
    <customSheetView guid="{DE47F5DD-3736-469D-8704-852547698004}" state="hidden">
      <selection activeCell="A16" sqref="A16:I21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2:AZ27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" sqref="J2"/>
    </sheetView>
  </sheetViews>
  <sheetFormatPr defaultRowHeight="12.5" x14ac:dyDescent="0.25"/>
  <cols>
    <col min="1" max="1" width="11.90625" style="37" customWidth="1"/>
    <col min="2" max="2" width="18" style="6" customWidth="1"/>
    <col min="3" max="3" width="11.6328125" style="1" customWidth="1"/>
    <col min="4" max="4" width="13.453125" style="1" customWidth="1"/>
    <col min="5" max="5" width="12.453125" style="1" customWidth="1"/>
    <col min="6" max="6" width="10.08984375" style="157" customWidth="1"/>
    <col min="7" max="7" width="10.08984375" style="157" hidden="1" customWidth="1"/>
    <col min="8" max="8" width="14.90625" style="97" hidden="1" customWidth="1"/>
    <col min="9" max="9" width="12.36328125" style="394" hidden="1" customWidth="1"/>
    <col min="10" max="10" width="13" style="22" hidden="1" customWidth="1"/>
    <col min="11" max="11" width="15.54296875" style="1" bestFit="1" customWidth="1"/>
    <col min="12" max="12" width="16" style="1" customWidth="1"/>
    <col min="13" max="13" width="9.453125" style="1" customWidth="1"/>
    <col min="14" max="14" width="8.90625" style="1" customWidth="1"/>
    <col min="15" max="15" width="16.54296875" style="1" customWidth="1"/>
    <col min="16" max="16" width="13.90625" style="1" customWidth="1"/>
    <col min="17" max="17" width="42.08984375" customWidth="1"/>
    <col min="18" max="18" width="17.453125" bestFit="1" customWidth="1"/>
    <col min="19" max="19" width="15.36328125" bestFit="1" customWidth="1"/>
    <col min="20" max="20" width="14.36328125" bestFit="1" customWidth="1"/>
    <col min="21" max="21" width="17.08984375" customWidth="1"/>
    <col min="22" max="22" width="15.453125" customWidth="1"/>
    <col min="23" max="23" width="16" bestFit="1" customWidth="1"/>
    <col min="24" max="24" width="15.453125" customWidth="1"/>
    <col min="25" max="25" width="15" bestFit="1" customWidth="1"/>
    <col min="26" max="26" width="42.453125" bestFit="1" customWidth="1"/>
    <col min="27" max="27" width="15.54296875" bestFit="1" customWidth="1"/>
    <col min="28" max="28" width="26.08984375" bestFit="1" customWidth="1"/>
    <col min="29" max="29" width="23" bestFit="1" customWidth="1"/>
    <col min="32" max="32" width="40.6328125" bestFit="1" customWidth="1"/>
    <col min="33" max="33" width="42.90625" bestFit="1" customWidth="1"/>
  </cols>
  <sheetData>
    <row r="2" spans="1:46" s="31" customFormat="1" ht="37.5" x14ac:dyDescent="0.25">
      <c r="A2" s="172"/>
      <c r="B2" s="151" t="s">
        <v>46</v>
      </c>
      <c r="C2" s="152" t="s">
        <v>3</v>
      </c>
      <c r="D2" s="152" t="s">
        <v>4</v>
      </c>
      <c r="E2" s="152" t="s">
        <v>26</v>
      </c>
      <c r="F2" s="152" t="s">
        <v>5</v>
      </c>
      <c r="G2" s="152" t="s">
        <v>245</v>
      </c>
      <c r="H2" s="152" t="s">
        <v>69</v>
      </c>
      <c r="I2" s="154" t="s">
        <v>7</v>
      </c>
      <c r="J2" s="171" t="s">
        <v>6</v>
      </c>
      <c r="K2" s="152" t="s">
        <v>12</v>
      </c>
      <c r="L2" s="153" t="s">
        <v>13</v>
      </c>
      <c r="M2" s="152" t="s">
        <v>14</v>
      </c>
      <c r="N2" s="152" t="s">
        <v>70</v>
      </c>
      <c r="Q2" s="102"/>
      <c r="R2"/>
      <c r="S2"/>
      <c r="T2"/>
      <c r="U2"/>
      <c r="V2"/>
      <c r="W2"/>
      <c r="X2"/>
      <c r="Y2"/>
    </row>
    <row r="3" spans="1:46" x14ac:dyDescent="0.25">
      <c r="A3" s="173">
        <v>40209</v>
      </c>
      <c r="B3" s="176">
        <v>7177749.2999999998</v>
      </c>
      <c r="C3" s="174">
        <v>878.8</v>
      </c>
      <c r="D3" s="174">
        <v>0</v>
      </c>
      <c r="E3" s="175">
        <v>0</v>
      </c>
      <c r="F3" s="175">
        <v>31</v>
      </c>
      <c r="G3" s="442" t="e">
        <f>#REF!</f>
        <v>#REF!</v>
      </c>
      <c r="H3" s="162">
        <v>3303</v>
      </c>
      <c r="I3" s="396">
        <v>134.72999999999999</v>
      </c>
      <c r="J3" s="161">
        <v>320</v>
      </c>
      <c r="K3" s="444">
        <f>$R$41+C3*$R$42+D3*$R$43+E3*$R$44+F3*$R$45</f>
        <v>7011565.4645577706</v>
      </c>
      <c r="L3" s="445">
        <f>K3-B3</f>
        <v>-166183.83544222917</v>
      </c>
      <c r="M3" s="446">
        <f>L3/B3</f>
        <v>-2.3152638591351912E-2</v>
      </c>
      <c r="N3" s="447">
        <f>ABS(M3)</f>
        <v>2.3152638591351912E-2</v>
      </c>
      <c r="O3" s="13"/>
      <c r="P3"/>
      <c r="Q3" s="55"/>
      <c r="R3" s="55"/>
      <c r="S3" s="55"/>
      <c r="T3" s="55"/>
      <c r="U3" s="55"/>
      <c r="V3" s="55"/>
      <c r="W3" s="55"/>
      <c r="X3" s="55"/>
      <c r="Y3" s="55"/>
    </row>
    <row r="4" spans="1:46" ht="13" x14ac:dyDescent="0.3">
      <c r="A4" s="173">
        <v>40237</v>
      </c>
      <c r="B4" s="176">
        <v>7114370.2079999996</v>
      </c>
      <c r="C4" s="174">
        <v>750.7</v>
      </c>
      <c r="D4" s="174">
        <v>0</v>
      </c>
      <c r="E4" s="175">
        <v>0</v>
      </c>
      <c r="F4" s="175">
        <v>28</v>
      </c>
      <c r="G4" s="442" t="e">
        <f>#REF!</f>
        <v>#REF!</v>
      </c>
      <c r="H4" s="162">
        <v>3307</v>
      </c>
      <c r="I4" s="396">
        <v>135.1</v>
      </c>
      <c r="J4" s="161">
        <v>304</v>
      </c>
      <c r="K4" s="444">
        <f t="shared" ref="K4" si="0">$R$41+C4*$R$42+D4*$R$43+E4*$R$44+F4*$R$45</f>
        <v>6285968.740712842</v>
      </c>
      <c r="L4" s="445">
        <f t="shared" ref="L4:L67" si="1">K4-B4</f>
        <v>-828401.46728715766</v>
      </c>
      <c r="M4" s="446">
        <f t="shared" ref="M4:M67" si="2">L4/B4</f>
        <v>-0.11644059039205368</v>
      </c>
      <c r="N4" s="447">
        <f t="shared" ref="N4:N67" si="3">ABS(M4)</f>
        <v>0.11644059039205368</v>
      </c>
      <c r="O4" s="13"/>
      <c r="P4"/>
      <c r="Q4" s="477"/>
      <c r="R4" s="477"/>
      <c r="S4" s="55"/>
      <c r="T4" s="55"/>
      <c r="U4" s="55"/>
      <c r="V4" s="55"/>
      <c r="W4" s="55"/>
      <c r="X4" s="55"/>
      <c r="Y4" s="55"/>
    </row>
    <row r="5" spans="1:46" x14ac:dyDescent="0.25">
      <c r="A5" s="173">
        <v>40268</v>
      </c>
      <c r="B5" s="176">
        <v>5311814.42</v>
      </c>
      <c r="C5" s="174">
        <v>502.9</v>
      </c>
      <c r="D5" s="174">
        <v>0</v>
      </c>
      <c r="E5" s="175">
        <v>1</v>
      </c>
      <c r="F5" s="175">
        <v>31</v>
      </c>
      <c r="G5" s="442" t="e">
        <f>#REF!</f>
        <v>#REF!</v>
      </c>
      <c r="H5" s="162">
        <v>3308</v>
      </c>
      <c r="I5" s="396">
        <v>135.46</v>
      </c>
      <c r="J5" s="161">
        <v>368</v>
      </c>
      <c r="K5" s="444">
        <f t="shared" ref="K5:K36" si="4">$R$41+C5*$R$42+D5*$R$43+E5*$R$44+F5*$R$45</f>
        <v>5269508.1550321989</v>
      </c>
      <c r="L5" s="445">
        <f t="shared" si="1"/>
        <v>-42306.264967801049</v>
      </c>
      <c r="M5" s="446">
        <f t="shared" si="2"/>
        <v>-7.9645600585197124E-3</v>
      </c>
      <c r="N5" s="447">
        <f t="shared" si="3"/>
        <v>7.9645600585197124E-3</v>
      </c>
      <c r="O5" s="13"/>
      <c r="P5"/>
      <c r="Q5" s="32"/>
      <c r="R5" s="469"/>
      <c r="S5" s="55"/>
      <c r="T5" s="55"/>
      <c r="U5" s="55"/>
      <c r="V5" s="55"/>
      <c r="W5" s="55"/>
      <c r="X5" s="55"/>
      <c r="Y5" s="55"/>
    </row>
    <row r="6" spans="1:46" x14ac:dyDescent="0.25">
      <c r="A6" s="173">
        <v>40298</v>
      </c>
      <c r="B6" s="176">
        <v>4914695.6040000003</v>
      </c>
      <c r="C6" s="174">
        <v>324.10000000000002</v>
      </c>
      <c r="D6" s="174">
        <v>0</v>
      </c>
      <c r="E6" s="175">
        <v>1</v>
      </c>
      <c r="F6" s="175">
        <v>30</v>
      </c>
      <c r="G6" s="442" t="e">
        <f>#REF!</f>
        <v>#REF!</v>
      </c>
      <c r="H6" s="162">
        <v>3298</v>
      </c>
      <c r="I6" s="396">
        <v>135.83000000000001</v>
      </c>
      <c r="J6" s="161">
        <v>320</v>
      </c>
      <c r="K6" s="444">
        <f t="shared" si="4"/>
        <v>4544306.1273007728</v>
      </c>
      <c r="L6" s="445">
        <f t="shared" si="1"/>
        <v>-370389.47669922747</v>
      </c>
      <c r="M6" s="446">
        <f t="shared" si="2"/>
        <v>-7.5363665737054553E-2</v>
      </c>
      <c r="N6" s="447">
        <f t="shared" si="3"/>
        <v>7.5363665737054553E-2</v>
      </c>
      <c r="O6" s="13"/>
      <c r="P6"/>
      <c r="Q6" s="32"/>
      <c r="R6" s="469"/>
      <c r="S6" s="55"/>
      <c r="T6" s="55"/>
      <c r="U6" s="55"/>
      <c r="V6" s="55"/>
      <c r="W6" s="55"/>
      <c r="X6" s="55"/>
      <c r="Y6" s="55"/>
    </row>
    <row r="7" spans="1:46" x14ac:dyDescent="0.25">
      <c r="A7" s="173">
        <v>40329</v>
      </c>
      <c r="B7" s="176">
        <v>4779232.3559999997</v>
      </c>
      <c r="C7" s="174">
        <v>138.9</v>
      </c>
      <c r="D7" s="174">
        <v>33.1</v>
      </c>
      <c r="E7" s="175">
        <v>1</v>
      </c>
      <c r="F7" s="175">
        <v>31</v>
      </c>
      <c r="G7" s="442" t="e">
        <f>#REF!</f>
        <v>#REF!</v>
      </c>
      <c r="H7" s="162">
        <v>3333</v>
      </c>
      <c r="I7" s="396">
        <v>136.19999999999999</v>
      </c>
      <c r="J7" s="161">
        <v>320</v>
      </c>
      <c r="K7" s="444">
        <f t="shared" si="4"/>
        <v>4233134.3855534494</v>
      </c>
      <c r="L7" s="445">
        <f t="shared" si="1"/>
        <v>-546097.97044655029</v>
      </c>
      <c r="M7" s="446">
        <f t="shared" si="2"/>
        <v>-0.11426478768310179</v>
      </c>
      <c r="N7" s="447">
        <f t="shared" si="3"/>
        <v>0.11426478768310179</v>
      </c>
      <c r="O7" s="13"/>
      <c r="P7"/>
      <c r="Q7" s="32"/>
      <c r="R7" s="469"/>
      <c r="S7" s="55"/>
      <c r="T7" s="55"/>
      <c r="U7" s="55"/>
      <c r="V7" s="55"/>
      <c r="W7" s="55"/>
      <c r="X7" s="55"/>
      <c r="Y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</row>
    <row r="8" spans="1:46" x14ac:dyDescent="0.25">
      <c r="A8" s="173">
        <v>40359</v>
      </c>
      <c r="B8" s="176">
        <v>4124468.9640000002</v>
      </c>
      <c r="C8" s="174">
        <v>70.5</v>
      </c>
      <c r="D8" s="174">
        <v>9.1</v>
      </c>
      <c r="E8" s="175">
        <v>0</v>
      </c>
      <c r="F8" s="175">
        <v>30</v>
      </c>
      <c r="G8" s="442" t="e">
        <f>#REF!</f>
        <v>#REF!</v>
      </c>
      <c r="H8" s="162">
        <v>3284</v>
      </c>
      <c r="I8" s="396">
        <v>136.57</v>
      </c>
      <c r="J8" s="161">
        <v>352</v>
      </c>
      <c r="K8" s="444">
        <f t="shared" si="4"/>
        <v>4121265.4773837663</v>
      </c>
      <c r="L8" s="445">
        <f t="shared" si="1"/>
        <v>-3203.4866162338294</v>
      </c>
      <c r="M8" s="446">
        <f t="shared" si="2"/>
        <v>-7.7670280566907648E-4</v>
      </c>
      <c r="N8" s="447">
        <f t="shared" si="3"/>
        <v>7.7670280566907648E-4</v>
      </c>
      <c r="O8" s="13"/>
      <c r="P8"/>
      <c r="Q8" s="32"/>
      <c r="R8" s="32"/>
      <c r="S8" s="55"/>
      <c r="T8" s="55"/>
      <c r="U8" s="55"/>
      <c r="V8" s="55"/>
      <c r="W8" s="55"/>
      <c r="X8" s="55"/>
      <c r="Y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</row>
    <row r="9" spans="1:46" x14ac:dyDescent="0.25">
      <c r="A9" s="173">
        <v>40390</v>
      </c>
      <c r="B9" s="176">
        <v>4708129.9479999999</v>
      </c>
      <c r="C9" s="174">
        <v>8.3000000000000007</v>
      </c>
      <c r="D9" s="174">
        <v>100</v>
      </c>
      <c r="E9" s="175">
        <v>0</v>
      </c>
      <c r="F9" s="175">
        <v>31</v>
      </c>
      <c r="G9" s="442" t="e">
        <f>#REF!</f>
        <v>#REF!</v>
      </c>
      <c r="H9" s="162">
        <v>3309</v>
      </c>
      <c r="I9" s="396">
        <v>136.94</v>
      </c>
      <c r="J9" s="161">
        <v>336</v>
      </c>
      <c r="K9" s="444">
        <f t="shared" si="4"/>
        <v>4694484.9528804049</v>
      </c>
      <c r="L9" s="445">
        <f t="shared" si="1"/>
        <v>-13644.995119594969</v>
      </c>
      <c r="M9" s="446">
        <f t="shared" si="2"/>
        <v>-2.8981772530283119E-3</v>
      </c>
      <c r="N9" s="447">
        <f t="shared" si="3"/>
        <v>2.8981772530283119E-3</v>
      </c>
      <c r="O9" s="13"/>
      <c r="P9"/>
      <c r="Q9" s="32"/>
      <c r="R9" s="32"/>
      <c r="S9" s="55"/>
      <c r="T9" s="55"/>
      <c r="U9" s="55"/>
      <c r="V9" s="55"/>
      <c r="W9" s="55"/>
      <c r="X9" s="55"/>
      <c r="Y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</row>
    <row r="10" spans="1:46" ht="13" x14ac:dyDescent="0.3">
      <c r="A10" s="173">
        <v>40421</v>
      </c>
      <c r="B10" s="176">
        <v>4926115.7319999998</v>
      </c>
      <c r="C10" s="174">
        <v>26.6</v>
      </c>
      <c r="D10" s="174">
        <v>70.7</v>
      </c>
      <c r="E10" s="175">
        <v>0</v>
      </c>
      <c r="F10" s="175">
        <v>31</v>
      </c>
      <c r="G10" s="442" t="e">
        <f>#REF!</f>
        <v>#REF!</v>
      </c>
      <c r="H10" s="162">
        <v>3279</v>
      </c>
      <c r="I10" s="396">
        <v>137.31</v>
      </c>
      <c r="J10" s="161">
        <v>336</v>
      </c>
      <c r="K10" s="444">
        <f t="shared" si="4"/>
        <v>4532588.3160401909</v>
      </c>
      <c r="L10" s="445">
        <f t="shared" si="1"/>
        <v>-393527.41595980898</v>
      </c>
      <c r="M10" s="446">
        <f t="shared" si="2"/>
        <v>-7.9885946122511639E-2</v>
      </c>
      <c r="N10" s="447">
        <f t="shared" si="3"/>
        <v>7.9885946122511639E-2</v>
      </c>
      <c r="O10" s="13"/>
      <c r="P10"/>
      <c r="Q10" s="55"/>
      <c r="R10" s="55"/>
      <c r="S10" s="55"/>
      <c r="T10" s="55"/>
      <c r="U10" s="55"/>
      <c r="V10" s="55"/>
      <c r="W10" s="55"/>
      <c r="X10" s="55"/>
      <c r="Y10" s="55"/>
      <c r="AA10" s="113"/>
      <c r="AB10" s="113"/>
      <c r="AC10" s="113"/>
      <c r="AD10" s="113"/>
      <c r="AE10" s="113"/>
      <c r="AF10" s="113"/>
      <c r="AG10" s="113"/>
      <c r="AH10" s="113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</row>
    <row r="11" spans="1:46" x14ac:dyDescent="0.25">
      <c r="A11" s="173">
        <v>40451</v>
      </c>
      <c r="B11" s="176">
        <v>4287110.4639999997</v>
      </c>
      <c r="C11" s="174">
        <v>180.9</v>
      </c>
      <c r="D11" s="174">
        <v>8.5</v>
      </c>
      <c r="E11" s="175">
        <v>1</v>
      </c>
      <c r="F11" s="175">
        <v>30</v>
      </c>
      <c r="G11" s="442" t="e">
        <f>#REF!</f>
        <v>#REF!</v>
      </c>
      <c r="H11" s="162">
        <v>3282</v>
      </c>
      <c r="I11" s="396">
        <v>137.68</v>
      </c>
      <c r="J11" s="161">
        <v>336</v>
      </c>
      <c r="K11" s="444">
        <f t="shared" si="4"/>
        <v>4101575.3890318796</v>
      </c>
      <c r="L11" s="445">
        <f t="shared" si="1"/>
        <v>-185535.07496812008</v>
      </c>
      <c r="M11" s="446">
        <f t="shared" si="2"/>
        <v>-4.3277418794338794E-2</v>
      </c>
      <c r="N11" s="447">
        <f t="shared" si="3"/>
        <v>4.3277418794338794E-2</v>
      </c>
      <c r="O11" s="13"/>
      <c r="P11"/>
      <c r="Q11" s="55"/>
      <c r="R11" s="55"/>
      <c r="S11" s="55"/>
      <c r="T11" s="55"/>
      <c r="U11" s="55"/>
      <c r="V11" s="55"/>
      <c r="W11" s="55"/>
      <c r="X11" s="55"/>
      <c r="Y11" s="55"/>
      <c r="AA11" s="32"/>
      <c r="AB11" s="32"/>
      <c r="AC11" s="32"/>
      <c r="AD11" s="32"/>
      <c r="AE11" s="32"/>
      <c r="AF11" s="32"/>
      <c r="AG11" s="32"/>
      <c r="AH11" s="32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</row>
    <row r="12" spans="1:46" ht="13" x14ac:dyDescent="0.3">
      <c r="A12" s="173">
        <v>40482</v>
      </c>
      <c r="B12" s="176">
        <v>5014291.22</v>
      </c>
      <c r="C12" s="174">
        <v>364.7</v>
      </c>
      <c r="D12" s="174">
        <v>0</v>
      </c>
      <c r="E12" s="175">
        <v>1</v>
      </c>
      <c r="F12" s="175">
        <v>31</v>
      </c>
      <c r="G12" s="442" t="e">
        <f>#REF!</f>
        <v>#REF!</v>
      </c>
      <c r="H12" s="162">
        <v>3313</v>
      </c>
      <c r="I12" s="396">
        <v>138.05000000000001</v>
      </c>
      <c r="J12" s="161">
        <v>320</v>
      </c>
      <c r="K12" s="444">
        <f t="shared" si="4"/>
        <v>4778713.9021248259</v>
      </c>
      <c r="L12" s="445">
        <f t="shared" si="1"/>
        <v>-235577.31787517387</v>
      </c>
      <c r="M12" s="446">
        <f t="shared" si="2"/>
        <v>-4.6981179899474187E-2</v>
      </c>
      <c r="N12" s="447">
        <f t="shared" si="3"/>
        <v>4.6981179899474187E-2</v>
      </c>
      <c r="O12" s="13"/>
      <c r="P12"/>
      <c r="Q12" s="113"/>
      <c r="R12" s="113"/>
      <c r="S12" s="113"/>
      <c r="T12" s="113"/>
      <c r="U12" s="113"/>
      <c r="V12" s="113"/>
      <c r="W12" s="55"/>
      <c r="X12" s="55"/>
      <c r="Y12" s="55"/>
      <c r="AA12" s="99"/>
      <c r="AB12" s="99"/>
      <c r="AC12" s="99"/>
      <c r="AD12" s="99"/>
      <c r="AE12" s="99"/>
      <c r="AF12" s="99"/>
      <c r="AG12" s="99"/>
      <c r="AH12" s="99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</row>
    <row r="13" spans="1:46" x14ac:dyDescent="0.25">
      <c r="A13" s="173">
        <v>40512</v>
      </c>
      <c r="B13" s="176">
        <v>5454156.3799999999</v>
      </c>
      <c r="C13" s="174">
        <v>525.29999999999995</v>
      </c>
      <c r="D13" s="174">
        <v>0</v>
      </c>
      <c r="E13" s="175">
        <v>1</v>
      </c>
      <c r="F13" s="175">
        <v>30</v>
      </c>
      <c r="G13" s="442" t="e">
        <f>#REF!</f>
        <v>#REF!</v>
      </c>
      <c r="H13" s="162">
        <v>3302</v>
      </c>
      <c r="I13" s="396">
        <v>138.43</v>
      </c>
      <c r="J13" s="161">
        <v>336</v>
      </c>
      <c r="K13" s="444">
        <f t="shared" si="4"/>
        <v>5258834.3739358187</v>
      </c>
      <c r="L13" s="445">
        <f t="shared" si="1"/>
        <v>-195322.00606418122</v>
      </c>
      <c r="M13" s="446">
        <f t="shared" si="2"/>
        <v>-3.5811588897673156E-2</v>
      </c>
      <c r="N13" s="447">
        <f t="shared" si="3"/>
        <v>3.5811588897673156E-2</v>
      </c>
      <c r="O13" s="13"/>
      <c r="P13"/>
      <c r="Q13" s="32"/>
      <c r="R13" s="32"/>
      <c r="S13" s="32"/>
      <c r="T13" s="32"/>
      <c r="U13" s="32"/>
      <c r="V13" s="32"/>
      <c r="W13" s="55"/>
      <c r="X13" s="55"/>
      <c r="Y13" s="55"/>
      <c r="AA13" s="99"/>
      <c r="AB13" s="99"/>
      <c r="AC13" s="99"/>
      <c r="AD13" s="99"/>
      <c r="AE13" s="99"/>
      <c r="AF13" s="99"/>
      <c r="AG13" s="99"/>
      <c r="AH13" s="99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</row>
    <row r="14" spans="1:46" x14ac:dyDescent="0.25">
      <c r="A14" s="173">
        <v>40543</v>
      </c>
      <c r="B14" s="176">
        <v>6984955.5039999997</v>
      </c>
      <c r="C14" s="174">
        <v>804.9</v>
      </c>
      <c r="D14" s="174">
        <v>0</v>
      </c>
      <c r="E14" s="175">
        <v>0</v>
      </c>
      <c r="F14" s="175">
        <v>31</v>
      </c>
      <c r="G14" s="442" t="e">
        <f>#REF!</f>
        <v>#REF!</v>
      </c>
      <c r="H14" s="162">
        <v>3289.7706227358981</v>
      </c>
      <c r="I14" s="396">
        <v>138.80000000000001</v>
      </c>
      <c r="J14" s="161">
        <v>368</v>
      </c>
      <c r="K14" s="444">
        <f t="shared" si="4"/>
        <v>6749121.9385819752</v>
      </c>
      <c r="L14" s="445">
        <f t="shared" si="1"/>
        <v>-235833.56541802455</v>
      </c>
      <c r="M14" s="446">
        <f t="shared" si="2"/>
        <v>-3.3763073405832331E-2</v>
      </c>
      <c r="N14" s="447">
        <f t="shared" si="3"/>
        <v>3.3763073405832331E-2</v>
      </c>
      <c r="O14" s="13"/>
      <c r="P14"/>
      <c r="Q14" s="32"/>
      <c r="R14" s="32"/>
      <c r="S14" s="32"/>
      <c r="T14" s="32"/>
      <c r="U14" s="32"/>
      <c r="V14" s="32"/>
      <c r="W14" s="55"/>
      <c r="X14" s="55"/>
      <c r="Y14" s="55"/>
      <c r="AA14" s="99"/>
      <c r="AB14" s="99"/>
      <c r="AC14" s="99"/>
      <c r="AD14" s="99"/>
      <c r="AE14" s="99"/>
      <c r="AF14" s="99"/>
      <c r="AG14" s="99"/>
      <c r="AH14" s="99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</row>
    <row r="15" spans="1:46" x14ac:dyDescent="0.25">
      <c r="A15" s="173">
        <v>40574</v>
      </c>
      <c r="B15" s="176">
        <v>7898853.0959999999</v>
      </c>
      <c r="C15" s="174">
        <v>1005.1</v>
      </c>
      <c r="D15" s="174">
        <v>0</v>
      </c>
      <c r="E15" s="175">
        <v>0</v>
      </c>
      <c r="F15" s="175">
        <v>31</v>
      </c>
      <c r="G15" s="442" t="e">
        <f>#REF!</f>
        <v>#REF!</v>
      </c>
      <c r="H15" s="162">
        <v>3291.25</v>
      </c>
      <c r="I15" s="396">
        <v>139.1</v>
      </c>
      <c r="J15" s="161">
        <v>336</v>
      </c>
      <c r="K15" s="444">
        <f t="shared" si="4"/>
        <v>7460098.8519832492</v>
      </c>
      <c r="L15" s="445">
        <f t="shared" si="1"/>
        <v>-438754.24401675072</v>
      </c>
      <c r="M15" s="446">
        <f t="shared" si="2"/>
        <v>-5.5546576026200188E-2</v>
      </c>
      <c r="N15" s="447">
        <f t="shared" si="3"/>
        <v>5.5546576026200188E-2</v>
      </c>
      <c r="O15" s="13"/>
      <c r="P15"/>
      <c r="Q15" s="32"/>
      <c r="R15" s="32"/>
      <c r="S15" s="32"/>
      <c r="T15" s="32"/>
      <c r="U15" s="32"/>
      <c r="V15" s="32"/>
      <c r="W15" s="55"/>
      <c r="X15" s="55"/>
      <c r="Y15" s="55"/>
      <c r="AA15" s="99"/>
      <c r="AB15" s="99"/>
      <c r="AC15" s="99"/>
      <c r="AD15" s="99"/>
      <c r="AE15" s="99"/>
      <c r="AF15" s="99"/>
      <c r="AG15" s="99"/>
      <c r="AH15" s="99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</row>
    <row r="16" spans="1:46" x14ac:dyDescent="0.25">
      <c r="A16" s="173">
        <v>40602</v>
      </c>
      <c r="B16" s="176">
        <v>7055612.148</v>
      </c>
      <c r="C16" s="174">
        <v>797.2</v>
      </c>
      <c r="D16" s="174">
        <v>0</v>
      </c>
      <c r="E16" s="175">
        <v>0</v>
      </c>
      <c r="F16" s="175">
        <v>29</v>
      </c>
      <c r="G16" s="442" t="e">
        <f>#REF!</f>
        <v>#REF!</v>
      </c>
      <c r="H16" s="162">
        <v>3292.1666666666665</v>
      </c>
      <c r="I16" s="396">
        <v>139.4</v>
      </c>
      <c r="J16" s="161">
        <v>304</v>
      </c>
      <c r="K16" s="444">
        <f t="shared" si="4"/>
        <v>6541329.3816161547</v>
      </c>
      <c r="L16" s="445">
        <f t="shared" si="1"/>
        <v>-514282.76638384536</v>
      </c>
      <c r="M16" s="446">
        <f t="shared" si="2"/>
        <v>-7.2889886178001601E-2</v>
      </c>
      <c r="N16" s="447">
        <f t="shared" si="3"/>
        <v>7.2889886178001601E-2</v>
      </c>
      <c r="O16" s="13"/>
      <c r="P16"/>
      <c r="Q16" s="55"/>
      <c r="R16" s="55"/>
      <c r="S16" s="55"/>
      <c r="T16" s="55"/>
      <c r="U16" s="55"/>
      <c r="V16" s="55"/>
      <c r="W16" s="55"/>
      <c r="X16" s="55"/>
      <c r="Y16" s="55"/>
      <c r="AA16" s="99"/>
      <c r="AB16" s="99"/>
      <c r="AC16" s="99"/>
      <c r="AD16" s="99"/>
      <c r="AE16" s="99"/>
      <c r="AF16" s="99"/>
      <c r="AG16" s="99"/>
      <c r="AH16" s="99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</row>
    <row r="17" spans="1:46" ht="13" x14ac:dyDescent="0.3">
      <c r="A17" s="173">
        <v>40633</v>
      </c>
      <c r="B17" s="176">
        <v>6068078.392</v>
      </c>
      <c r="C17" s="174">
        <v>752.7</v>
      </c>
      <c r="D17" s="174">
        <v>0</v>
      </c>
      <c r="E17" s="175">
        <v>1</v>
      </c>
      <c r="F17" s="175">
        <v>31</v>
      </c>
      <c r="G17" s="442" t="e">
        <f>#REF!</f>
        <v>#REF!</v>
      </c>
      <c r="H17" s="162">
        <v>3293.0833333333335</v>
      </c>
      <c r="I17" s="396">
        <v>139.69999999999999</v>
      </c>
      <c r="J17" s="161">
        <v>368</v>
      </c>
      <c r="K17" s="444">
        <f t="shared" si="4"/>
        <v>6156631.1968285944</v>
      </c>
      <c r="L17" s="445">
        <f t="shared" si="1"/>
        <v>88552.804828594439</v>
      </c>
      <c r="M17" s="446">
        <f t="shared" si="2"/>
        <v>1.4593220309305859E-2</v>
      </c>
      <c r="N17" s="447">
        <f t="shared" si="3"/>
        <v>1.4593220309305859E-2</v>
      </c>
      <c r="O17" s="13"/>
      <c r="P17" s="13"/>
      <c r="Q17" s="113"/>
      <c r="R17" s="113"/>
      <c r="S17" s="113"/>
      <c r="T17" s="113"/>
      <c r="U17" s="113"/>
      <c r="V17" s="113"/>
      <c r="W17" s="113"/>
      <c r="X17" s="113"/>
      <c r="Y17" s="113"/>
      <c r="AA17" s="99"/>
      <c r="AB17" s="99"/>
      <c r="AC17" s="99"/>
      <c r="AD17" s="99"/>
      <c r="AE17" s="99"/>
      <c r="AF17" s="99"/>
      <c r="AG17" s="99"/>
      <c r="AH17" s="99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</row>
    <row r="18" spans="1:46" x14ac:dyDescent="0.25">
      <c r="A18" s="173">
        <v>40663</v>
      </c>
      <c r="B18" s="176">
        <v>5833655.96</v>
      </c>
      <c r="C18" s="174">
        <v>453</v>
      </c>
      <c r="D18" s="174">
        <v>0</v>
      </c>
      <c r="E18" s="175">
        <v>1</v>
      </c>
      <c r="F18" s="175">
        <v>30</v>
      </c>
      <c r="G18" s="442" t="e">
        <f>#REF!</f>
        <v>#REF!</v>
      </c>
      <c r="H18" s="162">
        <v>3294</v>
      </c>
      <c r="I18" s="396">
        <v>140</v>
      </c>
      <c r="J18" s="161">
        <v>320</v>
      </c>
      <c r="K18" s="444">
        <f t="shared" si="4"/>
        <v>5002072.9811340608</v>
      </c>
      <c r="L18" s="445">
        <f t="shared" si="1"/>
        <v>-831582.97886593919</v>
      </c>
      <c r="M18" s="446">
        <f t="shared" si="2"/>
        <v>-0.14254919806171415</v>
      </c>
      <c r="N18" s="447">
        <f t="shared" si="3"/>
        <v>0.14254919806171415</v>
      </c>
      <c r="O18" s="13"/>
      <c r="P18" s="13"/>
      <c r="Q18" s="32"/>
      <c r="R18" s="471"/>
      <c r="S18" s="471"/>
      <c r="T18" s="32"/>
      <c r="U18" s="32"/>
      <c r="V18" s="32"/>
      <c r="W18" s="32"/>
      <c r="X18" s="32"/>
      <c r="Y18" s="32"/>
      <c r="AA18" s="99"/>
      <c r="AB18" s="99"/>
      <c r="AC18" s="99"/>
      <c r="AD18" s="99"/>
      <c r="AE18" s="99"/>
      <c r="AF18" s="99"/>
      <c r="AG18" s="99"/>
      <c r="AH18" s="99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</row>
    <row r="19" spans="1:46" x14ac:dyDescent="0.25">
      <c r="A19" s="173">
        <v>40694</v>
      </c>
      <c r="B19" s="176">
        <v>4007642.9240000001</v>
      </c>
      <c r="C19" s="174">
        <v>187.9</v>
      </c>
      <c r="D19" s="174">
        <v>4.9000000000000004</v>
      </c>
      <c r="E19" s="175">
        <v>1</v>
      </c>
      <c r="F19" s="175">
        <v>31</v>
      </c>
      <c r="G19" s="442" t="e">
        <f>#REF!</f>
        <v>#REF!</v>
      </c>
      <c r="H19" s="162">
        <v>3294.916666666667</v>
      </c>
      <c r="I19" s="396">
        <v>140.30000000000001</v>
      </c>
      <c r="J19" s="161">
        <v>336</v>
      </c>
      <c r="K19" s="444">
        <f t="shared" si="4"/>
        <v>4188781.5847415933</v>
      </c>
      <c r="L19" s="445">
        <f t="shared" si="1"/>
        <v>181138.66074159322</v>
      </c>
      <c r="M19" s="446">
        <f t="shared" si="2"/>
        <v>4.5198303385971327E-2</v>
      </c>
      <c r="N19" s="447">
        <f t="shared" si="3"/>
        <v>4.5198303385971327E-2</v>
      </c>
      <c r="O19" s="13"/>
      <c r="P19" s="13"/>
      <c r="Q19" s="32"/>
      <c r="R19" s="471"/>
      <c r="S19" s="471"/>
      <c r="T19" s="32"/>
      <c r="U19" s="32"/>
      <c r="V19" s="32"/>
      <c r="W19" s="32"/>
      <c r="X19" s="32"/>
      <c r="Y19" s="32"/>
      <c r="AA19" s="99"/>
      <c r="AB19" s="99"/>
      <c r="AC19" s="99"/>
      <c r="AD19" s="99"/>
      <c r="AE19" s="99"/>
      <c r="AF19" s="99"/>
      <c r="AG19" s="99"/>
      <c r="AH19" s="99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</row>
    <row r="20" spans="1:46" x14ac:dyDescent="0.25">
      <c r="A20" s="173">
        <v>40724</v>
      </c>
      <c r="B20" s="176">
        <v>4529149.8679999998</v>
      </c>
      <c r="C20" s="174">
        <v>61.5</v>
      </c>
      <c r="D20" s="174">
        <v>14.9</v>
      </c>
      <c r="E20" s="175">
        <v>0</v>
      </c>
      <c r="F20" s="175">
        <v>30</v>
      </c>
      <c r="G20" s="442" t="e">
        <f>#REF!</f>
        <v>#REF!</v>
      </c>
      <c r="H20" s="162">
        <v>3295.8333333333335</v>
      </c>
      <c r="I20" s="396">
        <v>140.6</v>
      </c>
      <c r="J20" s="161">
        <v>352</v>
      </c>
      <c r="K20" s="444">
        <f t="shared" si="4"/>
        <v>4134216.0722424705</v>
      </c>
      <c r="L20" s="445">
        <f t="shared" si="1"/>
        <v>-394933.79575752933</v>
      </c>
      <c r="M20" s="446">
        <f t="shared" si="2"/>
        <v>-8.7198217605443426E-2</v>
      </c>
      <c r="N20" s="447">
        <f t="shared" si="3"/>
        <v>8.7198217605443426E-2</v>
      </c>
      <c r="O20" s="13"/>
      <c r="P20" s="13"/>
      <c r="Q20" s="32"/>
      <c r="R20" s="471"/>
      <c r="S20" s="471"/>
      <c r="T20" s="32"/>
      <c r="U20" s="32"/>
      <c r="V20" s="32"/>
      <c r="W20" s="32"/>
      <c r="X20" s="32"/>
      <c r="Y20" s="32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x14ac:dyDescent="0.25">
      <c r="A21" s="173">
        <v>40755</v>
      </c>
      <c r="B21" s="176">
        <v>4702217.4519999996</v>
      </c>
      <c r="C21" s="174">
        <v>2.4</v>
      </c>
      <c r="D21" s="174">
        <v>104.6</v>
      </c>
      <c r="E21" s="175">
        <v>0</v>
      </c>
      <c r="F21" s="175">
        <v>31</v>
      </c>
      <c r="G21" s="442" t="e">
        <f>#REF!</f>
        <v>#REF!</v>
      </c>
      <c r="H21" s="162">
        <v>3297.75</v>
      </c>
      <c r="I21" s="396">
        <v>140.9</v>
      </c>
      <c r="J21" s="161">
        <v>320</v>
      </c>
      <c r="K21" s="444">
        <f t="shared" si="4"/>
        <v>4709152.4199439436</v>
      </c>
      <c r="L21" s="445">
        <f t="shared" si="1"/>
        <v>6934.967943944037</v>
      </c>
      <c r="M21" s="446">
        <f t="shared" si="2"/>
        <v>1.474829272515753E-3</v>
      </c>
      <c r="N21" s="447">
        <f t="shared" si="3"/>
        <v>1.474829272515753E-3</v>
      </c>
      <c r="O21" s="13"/>
      <c r="P21" s="13"/>
      <c r="Q21" s="32"/>
      <c r="R21" s="471"/>
      <c r="S21" s="471"/>
      <c r="T21" s="32"/>
      <c r="U21" s="32"/>
      <c r="V21" s="32"/>
      <c r="W21" s="32"/>
      <c r="X21" s="32"/>
      <c r="Y21" s="32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</row>
    <row r="22" spans="1:46" x14ac:dyDescent="0.25">
      <c r="A22" s="173">
        <v>40786</v>
      </c>
      <c r="B22" s="176">
        <v>4300840.4560000002</v>
      </c>
      <c r="C22" s="174">
        <v>16.2</v>
      </c>
      <c r="D22" s="174">
        <v>49.8</v>
      </c>
      <c r="E22" s="175">
        <v>0</v>
      </c>
      <c r="F22" s="175">
        <v>31</v>
      </c>
      <c r="G22" s="442" t="e">
        <f>#REF!</f>
        <v>#REF!</v>
      </c>
      <c r="H22" s="162">
        <v>3298.666666666667</v>
      </c>
      <c r="I22" s="396">
        <v>141.19999999999999</v>
      </c>
      <c r="J22" s="161">
        <v>352</v>
      </c>
      <c r="K22" s="444">
        <f t="shared" si="4"/>
        <v>4333814.2411297243</v>
      </c>
      <c r="L22" s="445">
        <f t="shared" si="1"/>
        <v>32973.78512972407</v>
      </c>
      <c r="M22" s="446">
        <f t="shared" si="2"/>
        <v>7.6668236050754053E-3</v>
      </c>
      <c r="N22" s="447">
        <f t="shared" si="3"/>
        <v>7.6668236050754053E-3</v>
      </c>
      <c r="O22" s="13"/>
      <c r="P22" s="13"/>
      <c r="Q22" s="32"/>
      <c r="R22" s="471"/>
      <c r="S22" s="471"/>
      <c r="T22" s="32"/>
      <c r="U22" s="32"/>
      <c r="V22" s="32"/>
      <c r="W22" s="32"/>
      <c r="X22" s="32"/>
      <c r="Y22" s="32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</row>
    <row r="23" spans="1:46" x14ac:dyDescent="0.25">
      <c r="A23" s="173">
        <v>40816</v>
      </c>
      <c r="B23" s="176">
        <v>4515954.1279999996</v>
      </c>
      <c r="C23" s="174">
        <v>128.9</v>
      </c>
      <c r="D23" s="174">
        <v>16.2</v>
      </c>
      <c r="E23" s="175">
        <v>1</v>
      </c>
      <c r="F23" s="175">
        <v>30</v>
      </c>
      <c r="G23" s="442" t="e">
        <f>#REF!</f>
        <v>#REF!</v>
      </c>
      <c r="H23" s="162">
        <v>3299.5833333333335</v>
      </c>
      <c r="I23" s="396">
        <v>141.5</v>
      </c>
      <c r="J23" s="161">
        <v>336</v>
      </c>
      <c r="K23" s="444">
        <f t="shared" si="4"/>
        <v>3976531.4011364738</v>
      </c>
      <c r="L23" s="445">
        <f t="shared" si="1"/>
        <v>-539422.72686352581</v>
      </c>
      <c r="M23" s="446">
        <f t="shared" si="2"/>
        <v>-0.11944822989210085</v>
      </c>
      <c r="N23" s="447">
        <f t="shared" si="3"/>
        <v>0.11944822989210085</v>
      </c>
      <c r="O23" s="13"/>
      <c r="P23" s="13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</row>
    <row r="24" spans="1:46" x14ac:dyDescent="0.25">
      <c r="A24" s="173">
        <v>40847</v>
      </c>
      <c r="B24" s="176">
        <v>4716306.9919999996</v>
      </c>
      <c r="C24" s="174">
        <v>304.3</v>
      </c>
      <c r="D24" s="174">
        <v>0.5</v>
      </c>
      <c r="E24" s="175">
        <v>1</v>
      </c>
      <c r="F24" s="175">
        <v>31</v>
      </c>
      <c r="G24" s="442" t="e">
        <f>#REF!</f>
        <v>#REF!</v>
      </c>
      <c r="H24" s="162">
        <v>3300.5</v>
      </c>
      <c r="I24" s="396">
        <v>141.80000000000001</v>
      </c>
      <c r="J24" s="161">
        <v>320</v>
      </c>
      <c r="K24" s="444">
        <f t="shared" si="4"/>
        <v>4568085.1501465701</v>
      </c>
      <c r="L24" s="445">
        <f t="shared" si="1"/>
        <v>-148221.84185342956</v>
      </c>
      <c r="M24" s="446">
        <f t="shared" si="2"/>
        <v>-3.1427522021965436E-2</v>
      </c>
      <c r="N24" s="447">
        <f t="shared" si="3"/>
        <v>3.1427522021965436E-2</v>
      </c>
      <c r="O24" s="13"/>
      <c r="P24" s="13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</row>
    <row r="25" spans="1:46" x14ac:dyDescent="0.25">
      <c r="A25" s="173">
        <v>40877</v>
      </c>
      <c r="B25" s="176">
        <v>5284404.91732</v>
      </c>
      <c r="C25" s="174">
        <v>481.4</v>
      </c>
      <c r="D25" s="174">
        <v>0</v>
      </c>
      <c r="E25" s="175">
        <v>1</v>
      </c>
      <c r="F25" s="175">
        <v>30</v>
      </c>
      <c r="G25" s="442" t="e">
        <f>#REF!</f>
        <v>#REF!</v>
      </c>
      <c r="H25" s="162">
        <v>3301.416666666667</v>
      </c>
      <c r="I25" s="396">
        <v>142.11000000000001</v>
      </c>
      <c r="J25" s="161">
        <v>352</v>
      </c>
      <c r="K25" s="444">
        <f t="shared" si="4"/>
        <v>5102930.8449732028</v>
      </c>
      <c r="L25" s="445">
        <f t="shared" si="1"/>
        <v>-181474.07234679721</v>
      </c>
      <c r="M25" s="446">
        <f t="shared" si="2"/>
        <v>-3.4341439610731474E-2</v>
      </c>
      <c r="N25" s="447">
        <f t="shared" si="3"/>
        <v>3.4341439610731474E-2</v>
      </c>
      <c r="O25" s="13"/>
      <c r="P25" s="13"/>
      <c r="Q25" s="102" t="s">
        <v>347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</row>
    <row r="26" spans="1:46" ht="13" thickBot="1" x14ac:dyDescent="0.3">
      <c r="A26" s="173">
        <v>40908</v>
      </c>
      <c r="B26" s="176">
        <v>7485466.9280000003</v>
      </c>
      <c r="C26" s="174">
        <v>752.9</v>
      </c>
      <c r="D26" s="174">
        <v>0</v>
      </c>
      <c r="E26" s="175">
        <v>0</v>
      </c>
      <c r="F26" s="175">
        <v>31</v>
      </c>
      <c r="G26" s="442" t="e">
        <f>#REF!</f>
        <v>#REF!</v>
      </c>
      <c r="H26" s="162">
        <v>3302</v>
      </c>
      <c r="I26" s="396">
        <v>142.41</v>
      </c>
      <c r="J26" s="161">
        <v>336</v>
      </c>
      <c r="K26" s="444">
        <f t="shared" si="4"/>
        <v>6564452.6104258001</v>
      </c>
      <c r="L26" s="445">
        <f t="shared" si="1"/>
        <v>-921014.31757420022</v>
      </c>
      <c r="M26" s="446">
        <f t="shared" si="2"/>
        <v>-0.12304032953897251</v>
      </c>
      <c r="N26" s="447">
        <f t="shared" si="3"/>
        <v>0.12304032953897251</v>
      </c>
      <c r="O26" s="13"/>
      <c r="P26" s="13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ht="13" x14ac:dyDescent="0.3">
      <c r="A27" s="173">
        <v>40939</v>
      </c>
      <c r="B27" s="176">
        <v>6612158.8514400003</v>
      </c>
      <c r="C27" s="174">
        <v>861.5</v>
      </c>
      <c r="D27" s="174">
        <v>0</v>
      </c>
      <c r="E27" s="175">
        <v>0</v>
      </c>
      <c r="F27" s="175">
        <v>31</v>
      </c>
      <c r="G27" s="442" t="e">
        <f>#REF!</f>
        <v>#REF!</v>
      </c>
      <c r="H27" s="162">
        <v>3299.1666666666665</v>
      </c>
      <c r="I27" s="396">
        <v>142.61000000000001</v>
      </c>
      <c r="J27" s="161">
        <f>16*22</f>
        <v>352</v>
      </c>
      <c r="K27" s="444">
        <f t="shared" si="4"/>
        <v>6950127.3996135052</v>
      </c>
      <c r="L27" s="445">
        <f t="shared" si="1"/>
        <v>337968.54817350488</v>
      </c>
      <c r="M27" s="446">
        <f t="shared" si="2"/>
        <v>5.1113192493840623E-2</v>
      </c>
      <c r="N27" s="447">
        <f t="shared" si="3"/>
        <v>5.1113192493840623E-2</v>
      </c>
      <c r="O27" s="13"/>
      <c r="P27" s="13"/>
      <c r="Q27" s="468" t="s">
        <v>248</v>
      </c>
      <c r="R27" s="468"/>
    </row>
    <row r="28" spans="1:46" x14ac:dyDescent="0.25">
      <c r="A28" s="173">
        <v>40968</v>
      </c>
      <c r="B28" s="176">
        <v>6302096.9976399997</v>
      </c>
      <c r="C28" s="174">
        <v>720.2</v>
      </c>
      <c r="D28" s="174">
        <v>0</v>
      </c>
      <c r="E28" s="175">
        <v>0</v>
      </c>
      <c r="F28" s="175">
        <v>28</v>
      </c>
      <c r="G28" s="442" t="e">
        <f>#REF!</f>
        <v>#REF!</v>
      </c>
      <c r="H28" s="162">
        <v>3299.333333333333</v>
      </c>
      <c r="I28" s="396">
        <v>142.81</v>
      </c>
      <c r="J28" s="161">
        <f>16*21</f>
        <v>336</v>
      </c>
      <c r="K28" s="444">
        <f t="shared" si="4"/>
        <v>6177653.0770827774</v>
      </c>
      <c r="L28" s="445">
        <f t="shared" si="1"/>
        <v>-124443.92055722233</v>
      </c>
      <c r="M28" s="446">
        <f t="shared" si="2"/>
        <v>-1.9746430530000397E-2</v>
      </c>
      <c r="N28" s="447">
        <f t="shared" si="3"/>
        <v>1.9746430530000397E-2</v>
      </c>
      <c r="O28" s="13"/>
      <c r="P28" s="13"/>
      <c r="Q28" s="32" t="s">
        <v>249</v>
      </c>
      <c r="R28" s="469">
        <v>0.95659228588544565</v>
      </c>
    </row>
    <row r="29" spans="1:46" x14ac:dyDescent="0.25">
      <c r="A29" s="173">
        <v>40999</v>
      </c>
      <c r="B29" s="176">
        <v>5646609.19276</v>
      </c>
      <c r="C29" s="174">
        <v>527</v>
      </c>
      <c r="D29" s="174">
        <v>0</v>
      </c>
      <c r="E29" s="175">
        <v>1</v>
      </c>
      <c r="F29" s="175">
        <v>31</v>
      </c>
      <c r="G29" s="442" t="e">
        <f>#REF!</f>
        <v>#REF!</v>
      </c>
      <c r="H29" s="162">
        <v>3299.5</v>
      </c>
      <c r="I29" s="396">
        <v>143.01</v>
      </c>
      <c r="J29" s="161">
        <f>16*22</f>
        <v>352</v>
      </c>
      <c r="K29" s="444">
        <f t="shared" si="4"/>
        <v>5355095.2859661188</v>
      </c>
      <c r="L29" s="445">
        <f t="shared" si="1"/>
        <v>-291513.90679388121</v>
      </c>
      <c r="M29" s="446">
        <f t="shared" si="2"/>
        <v>-5.162636492847001E-2</v>
      </c>
      <c r="N29" s="447">
        <f t="shared" si="3"/>
        <v>5.162636492847001E-2</v>
      </c>
      <c r="O29" s="13"/>
      <c r="P29" s="13"/>
      <c r="Q29" s="32" t="s">
        <v>28</v>
      </c>
      <c r="R29" s="469">
        <v>0.91506880141554214</v>
      </c>
    </row>
    <row r="30" spans="1:46" x14ac:dyDescent="0.25">
      <c r="A30" s="173">
        <v>41029</v>
      </c>
      <c r="B30" s="176">
        <v>4955514.2422000002</v>
      </c>
      <c r="C30" s="174">
        <v>420.6</v>
      </c>
      <c r="D30" s="174">
        <v>0</v>
      </c>
      <c r="E30" s="175">
        <v>1</v>
      </c>
      <c r="F30" s="175">
        <v>30</v>
      </c>
      <c r="G30" s="442" t="e">
        <f>#REF!</f>
        <v>#REF!</v>
      </c>
      <c r="H30" s="162">
        <v>3299.6666666666661</v>
      </c>
      <c r="I30" s="396">
        <v>143.21</v>
      </c>
      <c r="J30" s="161">
        <f>16*21</f>
        <v>336</v>
      </c>
      <c r="K30" s="444">
        <f t="shared" si="4"/>
        <v>4887009.7843598286</v>
      </c>
      <c r="L30" s="445">
        <f t="shared" si="1"/>
        <v>-68504.457840171643</v>
      </c>
      <c r="M30" s="446">
        <f t="shared" si="2"/>
        <v>-1.3823884765944915E-2</v>
      </c>
      <c r="N30" s="447">
        <f t="shared" si="3"/>
        <v>1.3823884765944915E-2</v>
      </c>
      <c r="O30" s="13"/>
      <c r="P30" s="13"/>
      <c r="Q30" s="32" t="s">
        <v>29</v>
      </c>
      <c r="R30" s="469">
        <v>0.91211467276912628</v>
      </c>
    </row>
    <row r="31" spans="1:46" x14ac:dyDescent="0.25">
      <c r="A31" s="173">
        <v>41060</v>
      </c>
      <c r="B31" s="176">
        <v>3945790.9975999999</v>
      </c>
      <c r="C31" s="174">
        <v>145.5</v>
      </c>
      <c r="D31" s="174">
        <v>11.1</v>
      </c>
      <c r="E31" s="175">
        <v>1</v>
      </c>
      <c r="F31" s="175">
        <v>31</v>
      </c>
      <c r="G31" s="442" t="e">
        <f>#REF!</f>
        <v>#REF!</v>
      </c>
      <c r="H31" s="162">
        <v>3299.8333333333326</v>
      </c>
      <c r="I31" s="396">
        <v>143.41999999999999</v>
      </c>
      <c r="J31" s="161">
        <f>16*23</f>
        <v>368</v>
      </c>
      <c r="K31" s="444">
        <f t="shared" si="4"/>
        <v>4086215.0698655793</v>
      </c>
      <c r="L31" s="445">
        <f t="shared" si="1"/>
        <v>140424.07226557937</v>
      </c>
      <c r="M31" s="446">
        <f t="shared" si="2"/>
        <v>3.5588319896059199E-2</v>
      </c>
      <c r="N31" s="447">
        <f t="shared" si="3"/>
        <v>3.5588319896059199E-2</v>
      </c>
      <c r="O31" s="13"/>
      <c r="P31" s="13"/>
      <c r="Q31" s="32" t="s">
        <v>250</v>
      </c>
      <c r="R31" s="32">
        <v>342137.03588064178</v>
      </c>
    </row>
    <row r="32" spans="1:46" ht="13" thickBot="1" x14ac:dyDescent="0.3">
      <c r="A32" s="173">
        <v>41090</v>
      </c>
      <c r="B32" s="176">
        <v>4598078.2236799998</v>
      </c>
      <c r="C32" s="174">
        <v>43.7</v>
      </c>
      <c r="D32" s="174">
        <v>45.5</v>
      </c>
      <c r="E32" s="175">
        <v>0</v>
      </c>
      <c r="F32" s="175">
        <v>30</v>
      </c>
      <c r="G32" s="442" t="e">
        <f>#REF!</f>
        <v>#REF!</v>
      </c>
      <c r="H32" s="162">
        <v>3300</v>
      </c>
      <c r="I32" s="396">
        <v>143.62</v>
      </c>
      <c r="J32" s="161">
        <f>16*21</f>
        <v>336</v>
      </c>
      <c r="K32" s="444">
        <f t="shared" si="4"/>
        <v>4307954.9915877525</v>
      </c>
      <c r="L32" s="445">
        <f t="shared" si="1"/>
        <v>-290123.23209224734</v>
      </c>
      <c r="M32" s="446">
        <f t="shared" si="2"/>
        <v>-6.3096628195257576E-2</v>
      </c>
      <c r="N32" s="447">
        <f t="shared" si="3"/>
        <v>6.3096628195257576E-2</v>
      </c>
      <c r="O32" s="13"/>
      <c r="P32" s="13"/>
      <c r="Q32" s="466" t="s">
        <v>251</v>
      </c>
      <c r="R32" s="466">
        <v>120</v>
      </c>
    </row>
    <row r="33" spans="1:52" x14ac:dyDescent="0.25">
      <c r="A33" s="173">
        <v>41121</v>
      </c>
      <c r="B33" s="176">
        <v>4549659.2845200002</v>
      </c>
      <c r="C33" s="174">
        <v>0.4</v>
      </c>
      <c r="D33" s="174">
        <v>94.3</v>
      </c>
      <c r="E33" s="175">
        <v>0</v>
      </c>
      <c r="F33" s="175">
        <v>31</v>
      </c>
      <c r="G33" s="442" t="e">
        <f>#REF!</f>
        <v>#REF!</v>
      </c>
      <c r="H33" s="162">
        <v>3301.1666666666656</v>
      </c>
      <c r="I33" s="396">
        <v>143.82</v>
      </c>
      <c r="J33" s="161">
        <f>16*22</f>
        <v>352</v>
      </c>
      <c r="K33" s="444">
        <f t="shared" si="4"/>
        <v>4622291.1814392656</v>
      </c>
      <c r="L33" s="445">
        <f t="shared" si="1"/>
        <v>72631.896919265389</v>
      </c>
      <c r="M33" s="446">
        <f t="shared" si="2"/>
        <v>1.5964249711267826E-2</v>
      </c>
      <c r="N33" s="447">
        <f t="shared" si="3"/>
        <v>1.5964249711267826E-2</v>
      </c>
      <c r="O33" s="13"/>
      <c r="P33" s="13"/>
    </row>
    <row r="34" spans="1:52" ht="13" thickBot="1" x14ac:dyDescent="0.3">
      <c r="A34" s="173">
        <v>41152</v>
      </c>
      <c r="B34" s="176">
        <v>4387558.2476399997</v>
      </c>
      <c r="C34" s="174">
        <v>30.1</v>
      </c>
      <c r="D34" s="174">
        <v>47.4</v>
      </c>
      <c r="E34" s="175">
        <v>0</v>
      </c>
      <c r="F34" s="175">
        <v>31</v>
      </c>
      <c r="G34" s="442" t="e">
        <f>#REF!</f>
        <v>#REF!</v>
      </c>
      <c r="H34" s="162">
        <v>3300.3333333333321</v>
      </c>
      <c r="I34" s="396">
        <v>144.02000000000001</v>
      </c>
      <c r="J34" s="161">
        <f>16*23</f>
        <v>368</v>
      </c>
      <c r="K34" s="444">
        <f t="shared" si="4"/>
        <v>4364593.2514394429</v>
      </c>
      <c r="L34" s="445">
        <f t="shared" si="1"/>
        <v>-22964.996200556867</v>
      </c>
      <c r="M34" s="446">
        <f t="shared" si="2"/>
        <v>-5.2341176810380549E-3</v>
      </c>
      <c r="N34" s="447">
        <f t="shared" si="3"/>
        <v>5.2341176810380549E-3</v>
      </c>
      <c r="O34" s="13"/>
      <c r="P34" s="13"/>
      <c r="Q34" t="s">
        <v>252</v>
      </c>
    </row>
    <row r="35" spans="1:52" ht="13" x14ac:dyDescent="0.3">
      <c r="A35" s="173">
        <v>41182</v>
      </c>
      <c r="B35" s="176">
        <v>4527836.6846399996</v>
      </c>
      <c r="C35" s="174">
        <v>165.3</v>
      </c>
      <c r="D35" s="174">
        <v>11.8</v>
      </c>
      <c r="E35" s="175">
        <v>1</v>
      </c>
      <c r="F35" s="175">
        <v>30</v>
      </c>
      <c r="G35" s="442" t="e">
        <f>#REF!</f>
        <v>#REF!</v>
      </c>
      <c r="H35" s="162">
        <v>3300.5</v>
      </c>
      <c r="I35" s="396">
        <v>144.22</v>
      </c>
      <c r="J35" s="161">
        <f>16*20</f>
        <v>320</v>
      </c>
      <c r="K35" s="444">
        <f t="shared" si="4"/>
        <v>4071728.3078396423</v>
      </c>
      <c r="L35" s="445">
        <f t="shared" si="1"/>
        <v>-456108.37680035736</v>
      </c>
      <c r="M35" s="446">
        <f t="shared" si="2"/>
        <v>-0.10073428185862709</v>
      </c>
      <c r="N35" s="447">
        <f t="shared" si="3"/>
        <v>0.10073428185862709</v>
      </c>
      <c r="O35" s="13"/>
      <c r="P35" s="13"/>
      <c r="Q35" s="467"/>
      <c r="R35" s="467" t="s">
        <v>256</v>
      </c>
      <c r="S35" s="467" t="s">
        <v>257</v>
      </c>
      <c r="T35" s="467" t="s">
        <v>258</v>
      </c>
      <c r="U35" s="467" t="s">
        <v>259</v>
      </c>
      <c r="V35" s="467" t="s">
        <v>260</v>
      </c>
    </row>
    <row r="36" spans="1:52" x14ac:dyDescent="0.25">
      <c r="A36" s="173">
        <v>41213</v>
      </c>
      <c r="B36" s="176">
        <v>4721308.4912799997</v>
      </c>
      <c r="C36" s="174">
        <v>351.9</v>
      </c>
      <c r="D36" s="174">
        <v>0</v>
      </c>
      <c r="E36" s="175">
        <v>1</v>
      </c>
      <c r="F36" s="175">
        <v>31</v>
      </c>
      <c r="G36" s="442" t="e">
        <f>#REF!</f>
        <v>#REF!</v>
      </c>
      <c r="H36" s="162">
        <v>3300.6666666666652</v>
      </c>
      <c r="I36" s="396">
        <v>144.43</v>
      </c>
      <c r="J36" s="161">
        <f>16*23</f>
        <v>368</v>
      </c>
      <c r="K36" s="444">
        <f t="shared" si="4"/>
        <v>4733256.8367325366</v>
      </c>
      <c r="L36" s="445">
        <f t="shared" si="1"/>
        <v>11948.345452536829</v>
      </c>
      <c r="M36" s="446">
        <f t="shared" si="2"/>
        <v>2.5307275461039611E-3</v>
      </c>
      <c r="N36" s="447">
        <f t="shared" si="3"/>
        <v>2.5307275461039611E-3</v>
      </c>
      <c r="O36" s="13"/>
      <c r="P36" s="13"/>
      <c r="Q36" s="32" t="s">
        <v>253</v>
      </c>
      <c r="R36" s="32">
        <v>4</v>
      </c>
      <c r="S36" s="32">
        <v>145038905232294.47</v>
      </c>
      <c r="T36" s="32">
        <v>36259726308073.617</v>
      </c>
      <c r="U36" s="32">
        <v>309.75929315933587</v>
      </c>
      <c r="V36" s="32">
        <v>1.4147026155058194E-60</v>
      </c>
    </row>
    <row r="37" spans="1:52" x14ac:dyDescent="0.25">
      <c r="A37" s="173">
        <v>41243</v>
      </c>
      <c r="B37" s="176">
        <v>5471631.9107600003</v>
      </c>
      <c r="C37" s="174">
        <v>571.4</v>
      </c>
      <c r="D37" s="174">
        <v>0</v>
      </c>
      <c r="E37" s="175">
        <v>1</v>
      </c>
      <c r="F37" s="175">
        <v>30</v>
      </c>
      <c r="G37" s="442" t="e">
        <f>#REF!</f>
        <v>#REF!</v>
      </c>
      <c r="H37" s="162">
        <v>3300.8333333333317</v>
      </c>
      <c r="I37" s="396">
        <v>144.63</v>
      </c>
      <c r="J37" s="161">
        <f>16*22</f>
        <v>352</v>
      </c>
      <c r="K37" s="444">
        <f t="shared" ref="K37:K67" si="5">$R$41+C37*$R$42+D37*$R$43+E37*$R$44+F37*$R$45</f>
        <v>5422550.836012736</v>
      </c>
      <c r="L37" s="445">
        <f t="shared" si="1"/>
        <v>-49081.074747264385</v>
      </c>
      <c r="M37" s="446">
        <f t="shared" si="2"/>
        <v>-8.97009805260221E-3</v>
      </c>
      <c r="N37" s="447">
        <f t="shared" si="3"/>
        <v>8.97009805260221E-3</v>
      </c>
      <c r="O37" s="13"/>
      <c r="P37" s="13"/>
      <c r="Q37" s="32" t="s">
        <v>254</v>
      </c>
      <c r="R37" s="32">
        <v>115</v>
      </c>
      <c r="S37" s="32">
        <v>13461641401937.031</v>
      </c>
      <c r="T37" s="32">
        <v>117057751321.19157</v>
      </c>
      <c r="U37" s="32"/>
      <c r="V37" s="32"/>
    </row>
    <row r="38" spans="1:52" ht="13" thickBot="1" x14ac:dyDescent="0.3">
      <c r="A38" s="173">
        <v>41274</v>
      </c>
      <c r="B38" s="176">
        <v>7566301.7703600004</v>
      </c>
      <c r="C38" s="174">
        <v>775.8</v>
      </c>
      <c r="D38" s="174">
        <v>0</v>
      </c>
      <c r="E38" s="175">
        <v>0</v>
      </c>
      <c r="F38" s="175">
        <v>31</v>
      </c>
      <c r="G38" s="442" t="e">
        <f>#REF!</f>
        <v>#REF!</v>
      </c>
      <c r="H38" s="162">
        <v>3301</v>
      </c>
      <c r="I38" s="396">
        <v>144.83000000000001</v>
      </c>
      <c r="J38" s="161">
        <f>16*21</f>
        <v>336</v>
      </c>
      <c r="K38" s="444">
        <f t="shared" si="5"/>
        <v>6645778.1414791923</v>
      </c>
      <c r="L38" s="445">
        <f t="shared" si="1"/>
        <v>-920523.62888080813</v>
      </c>
      <c r="M38" s="446">
        <f t="shared" si="2"/>
        <v>-0.12166097213923442</v>
      </c>
      <c r="N38" s="447">
        <f t="shared" si="3"/>
        <v>0.12166097213923442</v>
      </c>
      <c r="O38" s="13"/>
      <c r="P38" s="13"/>
      <c r="Q38" s="466" t="s">
        <v>11</v>
      </c>
      <c r="R38" s="466">
        <v>119</v>
      </c>
      <c r="S38" s="466">
        <v>158500546634231.5</v>
      </c>
      <c r="T38" s="466"/>
      <c r="U38" s="466"/>
      <c r="V38" s="466"/>
    </row>
    <row r="39" spans="1:52" s="14" customFormat="1" ht="13" thickBot="1" x14ac:dyDescent="0.3">
      <c r="A39" s="173">
        <v>41305</v>
      </c>
      <c r="B39" s="176">
        <v>6827261.4294800004</v>
      </c>
      <c r="C39" s="174">
        <v>914.4</v>
      </c>
      <c r="D39" s="174">
        <v>0</v>
      </c>
      <c r="E39" s="175">
        <v>0</v>
      </c>
      <c r="F39" s="175">
        <v>31</v>
      </c>
      <c r="G39" s="442" t="e">
        <f>#REF!</f>
        <v>#REF!</v>
      </c>
      <c r="H39" s="72">
        <v>3338</v>
      </c>
      <c r="I39" s="396">
        <v>144.99</v>
      </c>
      <c r="J39" s="160">
        <f>16*23</f>
        <v>368</v>
      </c>
      <c r="K39" s="444">
        <f t="shared" si="5"/>
        <v>7137992.9276800752</v>
      </c>
      <c r="L39" s="445">
        <f t="shared" si="1"/>
        <v>310731.49820007477</v>
      </c>
      <c r="M39" s="446">
        <f t="shared" si="2"/>
        <v>4.5513344026690022E-2</v>
      </c>
      <c r="N39" s="447">
        <f t="shared" si="3"/>
        <v>4.5513344026690022E-2</v>
      </c>
      <c r="O39" s="13"/>
      <c r="P39" s="13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1:52" ht="13" x14ac:dyDescent="0.3">
      <c r="A40" s="173">
        <v>41333</v>
      </c>
      <c r="B40" s="176">
        <v>6079479.3266399996</v>
      </c>
      <c r="C40" s="174">
        <v>810.9</v>
      </c>
      <c r="D40" s="174">
        <v>0</v>
      </c>
      <c r="E40" s="175">
        <v>0</v>
      </c>
      <c r="F40" s="175">
        <v>28</v>
      </c>
      <c r="G40" s="442" t="e">
        <f>#REF!</f>
        <v>#REF!</v>
      </c>
      <c r="H40" s="72">
        <v>3338</v>
      </c>
      <c r="I40" s="396">
        <v>145.15</v>
      </c>
      <c r="J40" s="160">
        <f>16*20</f>
        <v>320</v>
      </c>
      <c r="K40" s="444">
        <f t="shared" si="5"/>
        <v>6499759.0013859514</v>
      </c>
      <c r="L40" s="445">
        <f t="shared" si="1"/>
        <v>420279.67474595178</v>
      </c>
      <c r="M40" s="446">
        <f t="shared" si="2"/>
        <v>6.9130866668845395E-2</v>
      </c>
      <c r="N40" s="447">
        <f t="shared" si="3"/>
        <v>6.9130866668845395E-2</v>
      </c>
      <c r="O40" s="13"/>
      <c r="P40" s="13"/>
      <c r="Q40" s="467"/>
      <c r="R40" s="467" t="s">
        <v>261</v>
      </c>
      <c r="S40" s="467" t="s">
        <v>250</v>
      </c>
      <c r="T40" s="467" t="s">
        <v>262</v>
      </c>
      <c r="U40" s="467" t="s">
        <v>263</v>
      </c>
      <c r="V40" s="467" t="s">
        <v>264</v>
      </c>
      <c r="W40" s="467" t="s">
        <v>265</v>
      </c>
      <c r="X40" s="467" t="s">
        <v>266</v>
      </c>
      <c r="Y40" s="467" t="s">
        <v>267</v>
      </c>
    </row>
    <row r="41" spans="1:52" x14ac:dyDescent="0.25">
      <c r="A41" s="173">
        <v>41364</v>
      </c>
      <c r="B41" s="176">
        <v>6067973.9600400003</v>
      </c>
      <c r="C41" s="174">
        <f>29.4+29.7+29.2+26+24+19.2+16.2+16.6+19.4+16.4+15.6+19.7+27.2+399</f>
        <v>687.59999999999991</v>
      </c>
      <c r="D41" s="174">
        <v>0</v>
      </c>
      <c r="E41" s="175">
        <v>1</v>
      </c>
      <c r="F41" s="175">
        <v>31</v>
      </c>
      <c r="G41" s="442" t="e">
        <f>#REF!</f>
        <v>#REF!</v>
      </c>
      <c r="H41" s="72">
        <v>3339</v>
      </c>
      <c r="I41" s="396">
        <v>145.30000000000001</v>
      </c>
      <c r="J41" s="160">
        <f>16*21</f>
        <v>336</v>
      </c>
      <c r="K41" s="444">
        <f t="shared" si="5"/>
        <v>5925439.4033099972</v>
      </c>
      <c r="L41" s="445">
        <f t="shared" si="1"/>
        <v>-142534.5567300031</v>
      </c>
      <c r="M41" s="446">
        <f t="shared" si="2"/>
        <v>-2.3489645418495419E-2</v>
      </c>
      <c r="N41" s="447">
        <f t="shared" si="3"/>
        <v>2.3489645418495419E-2</v>
      </c>
      <c r="O41" s="13"/>
      <c r="P41" s="13"/>
      <c r="Q41" s="32" t="s">
        <v>255</v>
      </c>
      <c r="R41" s="471">
        <v>1093720.8071989347</v>
      </c>
      <c r="S41" s="471">
        <v>1198107.0527368756</v>
      </c>
      <c r="T41" s="32">
        <v>0.91287402465456824</v>
      </c>
      <c r="U41" s="32">
        <v>0.36321862049108267</v>
      </c>
      <c r="V41" s="32">
        <v>-1279498.6779120485</v>
      </c>
      <c r="W41" s="32">
        <v>3466940.292309918</v>
      </c>
      <c r="X41" s="32">
        <v>-1279498.6779120485</v>
      </c>
      <c r="Y41" s="32">
        <v>3466940.292309918</v>
      </c>
      <c r="Z41" s="31"/>
    </row>
    <row r="42" spans="1:52" x14ac:dyDescent="0.25">
      <c r="A42" s="173">
        <v>41394</v>
      </c>
      <c r="B42" s="176">
        <v>4963589.5082400003</v>
      </c>
      <c r="C42" s="174">
        <v>363.8</v>
      </c>
      <c r="D42" s="174">
        <v>0</v>
      </c>
      <c r="E42" s="175">
        <v>1</v>
      </c>
      <c r="F42" s="175">
        <v>30</v>
      </c>
      <c r="G42" s="442" t="e">
        <f>#REF!</f>
        <v>#REF!</v>
      </c>
      <c r="H42" s="72">
        <v>3339</v>
      </c>
      <c r="I42" s="396">
        <v>145.46</v>
      </c>
      <c r="J42" s="160">
        <f>16*22</f>
        <v>352</v>
      </c>
      <c r="K42" s="444">
        <f t="shared" si="5"/>
        <v>4685294.0566815455</v>
      </c>
      <c r="L42" s="445">
        <f t="shared" si="1"/>
        <v>-278295.45155845489</v>
      </c>
      <c r="M42" s="446">
        <f t="shared" si="2"/>
        <v>-5.6067378476092687E-2</v>
      </c>
      <c r="N42" s="447">
        <f t="shared" si="3"/>
        <v>5.6067378476092687E-2</v>
      </c>
      <c r="O42" s="13"/>
      <c r="P42" s="13"/>
      <c r="Q42" s="32" t="s">
        <v>3</v>
      </c>
      <c r="R42" s="471">
        <v>3551.3332337725979</v>
      </c>
      <c r="S42" s="471">
        <v>134.35335623524341</v>
      </c>
      <c r="T42" s="32">
        <v>26.432783916126812</v>
      </c>
      <c r="U42" s="32">
        <v>1.1010231717330575E-50</v>
      </c>
      <c r="V42" s="32">
        <v>3285.2050925692074</v>
      </c>
      <c r="W42" s="32">
        <v>3817.4613749759883</v>
      </c>
      <c r="X42" s="32">
        <v>3285.2050925692074</v>
      </c>
      <c r="Y42" s="32">
        <v>3817.4613749759883</v>
      </c>
      <c r="Z42" s="31"/>
    </row>
    <row r="43" spans="1:52" x14ac:dyDescent="0.25">
      <c r="A43" s="173">
        <v>41425</v>
      </c>
      <c r="B43" s="176">
        <v>4286764.2123600002</v>
      </c>
      <c r="C43" s="174">
        <v>163.30000000000001</v>
      </c>
      <c r="D43" s="174">
        <v>3.8</v>
      </c>
      <c r="E43" s="175">
        <v>1</v>
      </c>
      <c r="F43" s="175">
        <v>31</v>
      </c>
      <c r="G43" s="442" t="e">
        <f>#REF!</f>
        <v>#REF!</v>
      </c>
      <c r="H43" s="72">
        <v>3339</v>
      </c>
      <c r="I43" s="396">
        <v>145.61000000000001</v>
      </c>
      <c r="J43" s="160">
        <f>16*23</f>
        <v>368</v>
      </c>
      <c r="K43" s="444">
        <f t="shared" si="5"/>
        <v>4092900.881439249</v>
      </c>
      <c r="L43" s="445">
        <f t="shared" si="1"/>
        <v>-193863.33092075121</v>
      </c>
      <c r="M43" s="446">
        <f t="shared" si="2"/>
        <v>-4.5223698182835968E-2</v>
      </c>
      <c r="N43" s="447">
        <f t="shared" si="3"/>
        <v>4.5223698182835968E-2</v>
      </c>
      <c r="O43" s="13"/>
      <c r="P43" s="13"/>
      <c r="Q43" s="32" t="s">
        <v>4</v>
      </c>
      <c r="R43" s="471">
        <v>7743.5506832168057</v>
      </c>
      <c r="S43" s="471">
        <v>2054.3439566051966</v>
      </c>
      <c r="T43" s="32">
        <v>3.7693545223133049</v>
      </c>
      <c r="U43" s="32">
        <v>2.5994497386885829E-4</v>
      </c>
      <c r="V43" s="32">
        <v>3674.2906819519885</v>
      </c>
      <c r="W43" s="32">
        <v>11812.810684481623</v>
      </c>
      <c r="X43" s="32">
        <v>3674.2906819519885</v>
      </c>
      <c r="Y43" s="32">
        <v>11812.810684481623</v>
      </c>
      <c r="Z43" s="31"/>
    </row>
    <row r="44" spans="1:52" x14ac:dyDescent="0.25">
      <c r="A44" s="173">
        <v>41455</v>
      </c>
      <c r="B44" s="176">
        <v>4049848.1333599999</v>
      </c>
      <c r="C44" s="174">
        <v>81.400000000000006</v>
      </c>
      <c r="D44" s="174">
        <v>16.8</v>
      </c>
      <c r="E44" s="175">
        <v>0</v>
      </c>
      <c r="F44" s="175">
        <v>30</v>
      </c>
      <c r="G44" s="442" t="e">
        <f>#REF!</f>
        <v>#REF!</v>
      </c>
      <c r="H44" s="72">
        <v>3340</v>
      </c>
      <c r="I44" s="396">
        <v>145.77000000000001</v>
      </c>
      <c r="J44" s="160">
        <f>16*20</f>
        <v>320</v>
      </c>
      <c r="K44" s="444">
        <f t="shared" si="5"/>
        <v>4219600.3498926573</v>
      </c>
      <c r="L44" s="445">
        <f t="shared" si="1"/>
        <v>169752.21653265739</v>
      </c>
      <c r="M44" s="446">
        <f t="shared" si="2"/>
        <v>4.1915699291128886E-2</v>
      </c>
      <c r="N44" s="447">
        <f t="shared" si="3"/>
        <v>4.1915699291128886E-2</v>
      </c>
      <c r="O44" s="13"/>
      <c r="P44" s="13"/>
      <c r="Q44" s="32" t="s">
        <v>26</v>
      </c>
      <c r="R44" s="471">
        <v>-407111.1469504516</v>
      </c>
      <c r="S44" s="471">
        <v>75320.62354936605</v>
      </c>
      <c r="T44" s="32">
        <v>-5.4050421752499966</v>
      </c>
      <c r="U44" s="32">
        <v>3.5555151666363334E-7</v>
      </c>
      <c r="V44" s="32">
        <v>-556306.80607768463</v>
      </c>
      <c r="W44" s="32">
        <v>-257915.48782321857</v>
      </c>
      <c r="X44" s="32">
        <v>-556306.80607768463</v>
      </c>
      <c r="Y44" s="32">
        <v>-257915.48782321857</v>
      </c>
      <c r="Z44" s="31"/>
    </row>
    <row r="45" spans="1:52" ht="13" thickBot="1" x14ac:dyDescent="0.3">
      <c r="A45" s="173">
        <v>41486</v>
      </c>
      <c r="B45" s="176">
        <v>4273195.2544800006</v>
      </c>
      <c r="C45" s="174">
        <v>30</v>
      </c>
      <c r="D45" s="174">
        <v>59.2</v>
      </c>
      <c r="E45" s="175">
        <v>0</v>
      </c>
      <c r="F45" s="175">
        <v>31</v>
      </c>
      <c r="G45" s="442" t="e">
        <f>#REF!</f>
        <v>#REF!</v>
      </c>
      <c r="H45" s="72">
        <v>3345</v>
      </c>
      <c r="I45" s="396">
        <v>145.93</v>
      </c>
      <c r="J45" s="160">
        <f>16*23</f>
        <v>368</v>
      </c>
      <c r="K45" s="444">
        <f t="shared" si="5"/>
        <v>4455612.0161780249</v>
      </c>
      <c r="L45" s="445">
        <f t="shared" si="1"/>
        <v>182416.76169802435</v>
      </c>
      <c r="M45" s="446">
        <f t="shared" si="2"/>
        <v>4.2688609069941132E-2</v>
      </c>
      <c r="N45" s="447">
        <f t="shared" si="3"/>
        <v>4.2688609069941132E-2</v>
      </c>
      <c r="O45" s="13"/>
      <c r="P45" s="13"/>
      <c r="Q45" s="466" t="s">
        <v>5</v>
      </c>
      <c r="R45" s="472">
        <v>90223.645532886352</v>
      </c>
      <c r="S45" s="472">
        <v>39625.715874735804</v>
      </c>
      <c r="T45" s="466">
        <v>2.2768962917439759</v>
      </c>
      <c r="U45" s="466">
        <v>2.4641836419250111E-2</v>
      </c>
      <c r="V45" s="466">
        <v>11732.728706568741</v>
      </c>
      <c r="W45" s="466">
        <v>168714.56235920396</v>
      </c>
      <c r="X45" s="466">
        <v>11732.728706568741</v>
      </c>
      <c r="Y45" s="466">
        <v>168714.56235920396</v>
      </c>
      <c r="Z45" s="31"/>
    </row>
    <row r="46" spans="1:52" x14ac:dyDescent="0.25">
      <c r="A46" s="173">
        <v>41517</v>
      </c>
      <c r="B46" s="176">
        <v>4606952.1219999995</v>
      </c>
      <c r="C46" s="174">
        <v>49.4</v>
      </c>
      <c r="D46" s="174">
        <v>30.8</v>
      </c>
      <c r="E46" s="175">
        <v>0</v>
      </c>
      <c r="F46" s="175">
        <v>31</v>
      </c>
      <c r="G46" s="442" t="e">
        <f>#REF!</f>
        <v>#REF!</v>
      </c>
      <c r="H46" s="72">
        <v>3344</v>
      </c>
      <c r="I46" s="396">
        <v>146.09</v>
      </c>
      <c r="J46" s="160">
        <f>16*22</f>
        <v>352</v>
      </c>
      <c r="K46" s="444">
        <f t="shared" si="5"/>
        <v>4304591.0415098555</v>
      </c>
      <c r="L46" s="445">
        <f t="shared" si="1"/>
        <v>-302361.08049014397</v>
      </c>
      <c r="M46" s="446">
        <f t="shared" si="2"/>
        <v>-6.5631478791857087E-2</v>
      </c>
      <c r="N46" s="447">
        <f t="shared" si="3"/>
        <v>6.5631478791857087E-2</v>
      </c>
      <c r="O46" s="13"/>
      <c r="P46" s="13"/>
      <c r="Z46" s="31"/>
    </row>
    <row r="47" spans="1:52" x14ac:dyDescent="0.25">
      <c r="A47" s="173">
        <v>41547</v>
      </c>
      <c r="B47" s="176">
        <v>3900734.9432399999</v>
      </c>
      <c r="C47" s="174">
        <v>154.1</v>
      </c>
      <c r="D47" s="174">
        <v>1.3</v>
      </c>
      <c r="E47" s="175">
        <v>1</v>
      </c>
      <c r="F47" s="175">
        <v>30</v>
      </c>
      <c r="G47" s="442" t="e">
        <f>#REF!</f>
        <v>#REF!</v>
      </c>
      <c r="H47" s="72">
        <v>3344</v>
      </c>
      <c r="I47" s="396">
        <v>146.24</v>
      </c>
      <c r="J47" s="160">
        <f>16*21</f>
        <v>336</v>
      </c>
      <c r="K47" s="444">
        <f t="shared" si="5"/>
        <v>3950646.0934476126</v>
      </c>
      <c r="L47" s="445">
        <f t="shared" si="1"/>
        <v>49911.150207612664</v>
      </c>
      <c r="M47" s="446">
        <f t="shared" si="2"/>
        <v>1.2795319583072166E-2</v>
      </c>
      <c r="N47" s="447">
        <f t="shared" si="3"/>
        <v>1.2795319583072166E-2</v>
      </c>
      <c r="O47" s="13"/>
      <c r="P47" s="13"/>
      <c r="Z47" s="31"/>
    </row>
    <row r="48" spans="1:52" x14ac:dyDescent="0.25">
      <c r="A48" s="173">
        <v>41578</v>
      </c>
      <c r="B48" s="176">
        <v>4536912.7107600002</v>
      </c>
      <c r="C48" s="174">
        <v>320.8</v>
      </c>
      <c r="D48" s="174">
        <v>0</v>
      </c>
      <c r="E48" s="175">
        <v>1</v>
      </c>
      <c r="F48" s="175">
        <v>31</v>
      </c>
      <c r="G48" s="442" t="e">
        <f>#REF!</f>
        <v>#REF!</v>
      </c>
      <c r="H48" s="72">
        <v>3348</v>
      </c>
      <c r="I48" s="396">
        <v>146.4</v>
      </c>
      <c r="J48" s="160">
        <f>16*23</f>
        <v>368</v>
      </c>
      <c r="K48" s="444">
        <f t="shared" si="5"/>
        <v>4622810.3731622091</v>
      </c>
      <c r="L48" s="445">
        <f t="shared" si="1"/>
        <v>85897.662402208894</v>
      </c>
      <c r="M48" s="446">
        <f t="shared" si="2"/>
        <v>1.8933064812661948E-2</v>
      </c>
      <c r="N48" s="447">
        <f t="shared" si="3"/>
        <v>1.8933064812661948E-2</v>
      </c>
      <c r="O48" s="13"/>
      <c r="P48" s="13"/>
      <c r="Z48" s="31"/>
    </row>
    <row r="49" spans="1:38" x14ac:dyDescent="0.25">
      <c r="A49" s="173">
        <v>41608</v>
      </c>
      <c r="B49" s="176">
        <v>5989140.9288399993</v>
      </c>
      <c r="C49" s="174">
        <v>623.79999999999995</v>
      </c>
      <c r="D49" s="174">
        <v>0</v>
      </c>
      <c r="E49" s="175">
        <v>1</v>
      </c>
      <c r="F49" s="175">
        <v>30</v>
      </c>
      <c r="G49" s="442" t="e">
        <f>#REF!</f>
        <v>#REF!</v>
      </c>
      <c r="H49" s="72">
        <v>3347</v>
      </c>
      <c r="I49" s="396">
        <v>146.56</v>
      </c>
      <c r="J49" s="160">
        <f>16*21</f>
        <v>336</v>
      </c>
      <c r="K49" s="444">
        <f t="shared" si="5"/>
        <v>5608640.69746242</v>
      </c>
      <c r="L49" s="445">
        <f t="shared" si="1"/>
        <v>-380500.23137757927</v>
      </c>
      <c r="M49" s="446">
        <f t="shared" si="2"/>
        <v>-6.3531687749293964E-2</v>
      </c>
      <c r="N49" s="447">
        <f t="shared" si="3"/>
        <v>6.3531687749293964E-2</v>
      </c>
      <c r="O49" s="13"/>
      <c r="P49" s="13"/>
      <c r="Z49" s="31"/>
    </row>
    <row r="50" spans="1:38" s="31" customFormat="1" x14ac:dyDescent="0.25">
      <c r="A50" s="173">
        <v>41639</v>
      </c>
      <c r="B50" s="176">
        <v>8021109.6808800008</v>
      </c>
      <c r="C50" s="174">
        <v>985</v>
      </c>
      <c r="D50" s="174">
        <v>0</v>
      </c>
      <c r="E50" s="175">
        <v>0</v>
      </c>
      <c r="F50" s="175">
        <v>31</v>
      </c>
      <c r="G50" s="442" t="e">
        <f>#REF!</f>
        <v>#REF!</v>
      </c>
      <c r="H50" s="72">
        <v>3348</v>
      </c>
      <c r="I50" s="396">
        <v>146.72</v>
      </c>
      <c r="J50" s="160">
        <f>16*22</f>
        <v>352</v>
      </c>
      <c r="K50" s="444">
        <f t="shared" si="5"/>
        <v>7388717.0539844204</v>
      </c>
      <c r="L50" s="445">
        <f t="shared" si="1"/>
        <v>-632392.62689558044</v>
      </c>
      <c r="M50" s="446">
        <f t="shared" si="2"/>
        <v>-7.884103971337296E-2</v>
      </c>
      <c r="N50" s="447">
        <f t="shared" si="3"/>
        <v>7.884103971337296E-2</v>
      </c>
      <c r="O50" s="13"/>
      <c r="P50" s="13"/>
      <c r="Q50"/>
      <c r="R50"/>
      <c r="S50"/>
      <c r="T50"/>
      <c r="U50"/>
      <c r="V50"/>
      <c r="W50"/>
      <c r="X50"/>
      <c r="Y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38" x14ac:dyDescent="0.25">
      <c r="A51" s="173">
        <v>41670</v>
      </c>
      <c r="B51" s="176">
        <v>7852017.4837699998</v>
      </c>
      <c r="C51" s="174">
        <v>1037.5</v>
      </c>
      <c r="D51" s="174">
        <v>0</v>
      </c>
      <c r="E51" s="175">
        <v>0</v>
      </c>
      <c r="F51" s="175">
        <v>31</v>
      </c>
      <c r="G51" s="442" t="e">
        <f>#REF!</f>
        <v>#REF!</v>
      </c>
      <c r="H51" s="72">
        <v>3348</v>
      </c>
      <c r="I51" s="396">
        <v>146.94999999999999</v>
      </c>
      <c r="J51" s="160">
        <f>16*23</f>
        <v>368</v>
      </c>
      <c r="K51" s="444">
        <f t="shared" si="5"/>
        <v>7575162.0487574823</v>
      </c>
      <c r="L51" s="445">
        <f t="shared" si="1"/>
        <v>-276855.4350125175</v>
      </c>
      <c r="M51" s="446">
        <f t="shared" si="2"/>
        <v>-3.5259146529509573E-2</v>
      </c>
      <c r="N51" s="447">
        <f t="shared" si="3"/>
        <v>3.5259146529509573E-2</v>
      </c>
      <c r="O51" s="13"/>
      <c r="P51" s="13"/>
      <c r="Z51" s="31"/>
    </row>
    <row r="52" spans="1:38" x14ac:dyDescent="0.25">
      <c r="A52" s="173">
        <v>41698</v>
      </c>
      <c r="B52" s="176">
        <v>7171636.0614499999</v>
      </c>
      <c r="C52" s="174">
        <v>886.5</v>
      </c>
      <c r="D52" s="174">
        <v>0</v>
      </c>
      <c r="E52" s="175">
        <v>0</v>
      </c>
      <c r="F52" s="175">
        <v>29</v>
      </c>
      <c r="G52" s="442" t="e">
        <f>#REF!</f>
        <v>#REF!</v>
      </c>
      <c r="H52" s="72">
        <v>3345</v>
      </c>
      <c r="I52" s="396">
        <v>147.18</v>
      </c>
      <c r="J52" s="160">
        <f>16*20</f>
        <v>320</v>
      </c>
      <c r="K52" s="444">
        <f t="shared" si="5"/>
        <v>6858463.439392047</v>
      </c>
      <c r="L52" s="445">
        <f t="shared" si="1"/>
        <v>-313172.62205795292</v>
      </c>
      <c r="M52" s="446">
        <f t="shared" si="2"/>
        <v>-4.3668225684424092E-2</v>
      </c>
      <c r="N52" s="447">
        <f t="shared" si="3"/>
        <v>4.3668225684424092E-2</v>
      </c>
      <c r="O52" s="13"/>
      <c r="P52" s="13"/>
      <c r="Z52" s="31"/>
    </row>
    <row r="53" spans="1:38" x14ac:dyDescent="0.25">
      <c r="A53" s="173">
        <v>41729</v>
      </c>
      <c r="B53" s="176">
        <v>6267038.8521300005</v>
      </c>
      <c r="C53" s="174">
        <v>884.7</v>
      </c>
      <c r="D53" s="174">
        <v>0</v>
      </c>
      <c r="E53" s="175">
        <v>1</v>
      </c>
      <c r="F53" s="175">
        <v>31</v>
      </c>
      <c r="G53" s="442" t="e">
        <f>#REF!</f>
        <v>#REF!</v>
      </c>
      <c r="H53" s="72">
        <v>3344</v>
      </c>
      <c r="I53" s="396">
        <v>147.41</v>
      </c>
      <c r="J53" s="160">
        <f>16*21</f>
        <v>336</v>
      </c>
      <c r="K53" s="444">
        <f t="shared" si="5"/>
        <v>6625407.1836865768</v>
      </c>
      <c r="L53" s="445">
        <f t="shared" si="1"/>
        <v>358368.3315565763</v>
      </c>
      <c r="M53" s="446">
        <f t="shared" si="2"/>
        <v>5.7183039711773354E-2</v>
      </c>
      <c r="N53" s="447">
        <f t="shared" si="3"/>
        <v>5.7183039711773354E-2</v>
      </c>
      <c r="O53" s="13"/>
      <c r="P53" s="13"/>
      <c r="Z53" s="31"/>
    </row>
    <row r="54" spans="1:38" x14ac:dyDescent="0.25">
      <c r="A54" s="173">
        <v>41759</v>
      </c>
      <c r="B54" s="176">
        <v>5156663.1837600004</v>
      </c>
      <c r="C54" s="174">
        <v>498.9</v>
      </c>
      <c r="D54" s="174">
        <v>0</v>
      </c>
      <c r="E54" s="175">
        <v>1</v>
      </c>
      <c r="F54" s="175">
        <v>30</v>
      </c>
      <c r="G54" s="442" t="e">
        <f>#REF!</f>
        <v>#REF!</v>
      </c>
      <c r="H54" s="72">
        <v>3348</v>
      </c>
      <c r="I54" s="396">
        <v>147.63999999999999</v>
      </c>
      <c r="J54" s="160">
        <f>16*22</f>
        <v>352</v>
      </c>
      <c r="K54" s="444">
        <f t="shared" si="5"/>
        <v>5165079.1765642222</v>
      </c>
      <c r="L54" s="445">
        <f t="shared" si="1"/>
        <v>8415.9928042218089</v>
      </c>
      <c r="M54" s="446">
        <f t="shared" si="2"/>
        <v>1.6320617624836331E-3</v>
      </c>
      <c r="N54" s="447">
        <f t="shared" si="3"/>
        <v>1.6320617624836331E-3</v>
      </c>
      <c r="O54" s="13"/>
      <c r="P54" s="13"/>
      <c r="Z54" s="31"/>
    </row>
    <row r="55" spans="1:38" x14ac:dyDescent="0.25">
      <c r="A55" s="173">
        <v>41790</v>
      </c>
      <c r="B55" s="176">
        <v>4478321.8237100001</v>
      </c>
      <c r="C55" s="174">
        <v>209.2</v>
      </c>
      <c r="D55" s="174">
        <v>2.7</v>
      </c>
      <c r="E55" s="175">
        <v>1</v>
      </c>
      <c r="F55" s="175">
        <v>31</v>
      </c>
      <c r="G55" s="442" t="e">
        <f>#REF!</f>
        <v>#REF!</v>
      </c>
      <c r="H55" s="72">
        <v>3347</v>
      </c>
      <c r="I55" s="396">
        <v>147.87</v>
      </c>
      <c r="J55" s="160">
        <f>16*22</f>
        <v>352</v>
      </c>
      <c r="K55" s="444">
        <f t="shared" si="5"/>
        <v>4247389.1711178729</v>
      </c>
      <c r="L55" s="445">
        <f t="shared" si="1"/>
        <v>-230932.65259212721</v>
      </c>
      <c r="M55" s="446">
        <f t="shared" si="2"/>
        <v>-5.1566783648615597E-2</v>
      </c>
      <c r="N55" s="447">
        <f t="shared" si="3"/>
        <v>5.1566783648615597E-2</v>
      </c>
      <c r="O55" s="13"/>
      <c r="P55" s="13"/>
      <c r="Z55" s="31"/>
    </row>
    <row r="56" spans="1:38" x14ac:dyDescent="0.25">
      <c r="A56" s="173">
        <v>41820</v>
      </c>
      <c r="B56" s="176">
        <v>4232923.8219799995</v>
      </c>
      <c r="C56" s="174">
        <v>48.8</v>
      </c>
      <c r="D56" s="174">
        <v>20.8</v>
      </c>
      <c r="E56" s="175">
        <v>0</v>
      </c>
      <c r="F56" s="175">
        <v>30</v>
      </c>
      <c r="G56" s="442" t="e">
        <f>#REF!</f>
        <v>#REF!</v>
      </c>
      <c r="H56" s="72">
        <v>3346</v>
      </c>
      <c r="I56" s="396">
        <v>148.1</v>
      </c>
      <c r="J56" s="160">
        <f>16*21</f>
        <v>336</v>
      </c>
      <c r="K56" s="444">
        <f t="shared" si="5"/>
        <v>4134801.0892045377</v>
      </c>
      <c r="L56" s="445">
        <f t="shared" si="1"/>
        <v>-98122.73277546186</v>
      </c>
      <c r="M56" s="446">
        <f t="shared" si="2"/>
        <v>-2.3180840691237339E-2</v>
      </c>
      <c r="N56" s="447">
        <f t="shared" si="3"/>
        <v>2.3180840691237339E-2</v>
      </c>
      <c r="O56" s="13"/>
      <c r="P56" s="13"/>
      <c r="Z56" s="31"/>
    </row>
    <row r="57" spans="1:38" x14ac:dyDescent="0.25">
      <c r="A57" s="173">
        <v>41851</v>
      </c>
      <c r="B57" s="176">
        <v>3755179.0230900003</v>
      </c>
      <c r="C57" s="174">
        <v>52.2</v>
      </c>
      <c r="D57" s="174">
        <v>18.3</v>
      </c>
      <c r="E57" s="175">
        <v>0</v>
      </c>
      <c r="F57" s="175">
        <v>31</v>
      </c>
      <c r="G57" s="442" t="e">
        <f>#REF!</f>
        <v>#REF!</v>
      </c>
      <c r="H57" s="72">
        <v>3346</v>
      </c>
      <c r="I57" s="396">
        <v>148.34</v>
      </c>
      <c r="J57" s="160">
        <f>16*23</f>
        <v>368</v>
      </c>
      <c r="K57" s="444">
        <f t="shared" si="5"/>
        <v>4217740.3910242086</v>
      </c>
      <c r="L57" s="445">
        <f t="shared" si="1"/>
        <v>462561.36793420836</v>
      </c>
      <c r="M57" s="446">
        <f t="shared" si="2"/>
        <v>0.12317957814793699</v>
      </c>
      <c r="N57" s="447">
        <f t="shared" si="3"/>
        <v>0.12317957814793699</v>
      </c>
      <c r="O57" s="13"/>
      <c r="P57" s="13"/>
      <c r="Z57" s="31"/>
    </row>
    <row r="58" spans="1:38" x14ac:dyDescent="0.25">
      <c r="A58" s="173">
        <v>41882</v>
      </c>
      <c r="B58" s="176">
        <v>4571475.5687499996</v>
      </c>
      <c r="C58" s="174">
        <v>57.2</v>
      </c>
      <c r="D58" s="174">
        <v>21.4</v>
      </c>
      <c r="E58" s="175">
        <v>0</v>
      </c>
      <c r="F58" s="175">
        <v>31</v>
      </c>
      <c r="G58" s="442" t="e">
        <f>#REF!</f>
        <v>#REF!</v>
      </c>
      <c r="H58" s="72">
        <v>3345</v>
      </c>
      <c r="I58" s="396">
        <v>148.57</v>
      </c>
      <c r="J58" s="160">
        <f>16*21</f>
        <v>336</v>
      </c>
      <c r="K58" s="444">
        <f t="shared" si="5"/>
        <v>4259502.0643110434</v>
      </c>
      <c r="L58" s="445">
        <f t="shared" si="1"/>
        <v>-311973.50443895627</v>
      </c>
      <c r="M58" s="446">
        <f t="shared" si="2"/>
        <v>-6.8243502507497958E-2</v>
      </c>
      <c r="N58" s="447">
        <f t="shared" si="3"/>
        <v>6.8243502507497958E-2</v>
      </c>
      <c r="O58" s="13"/>
      <c r="P58" s="13"/>
      <c r="Z58" s="356"/>
      <c r="AA58" s="50"/>
    </row>
    <row r="59" spans="1:38" x14ac:dyDescent="0.25">
      <c r="A59" s="173">
        <v>41912</v>
      </c>
      <c r="B59" s="176">
        <v>3937076.1871500001</v>
      </c>
      <c r="C59" s="174">
        <v>166</v>
      </c>
      <c r="D59" s="174">
        <v>4.7</v>
      </c>
      <c r="E59" s="175">
        <v>1</v>
      </c>
      <c r="F59" s="175">
        <v>30</v>
      </c>
      <c r="G59" s="442" t="e">
        <f>#REF!</f>
        <v>#REF!</v>
      </c>
      <c r="H59" s="72">
        <v>3349</v>
      </c>
      <c r="I59" s="396">
        <v>148.80000000000001</v>
      </c>
      <c r="J59" s="160">
        <f>16*22</f>
        <v>352</v>
      </c>
      <c r="K59" s="444">
        <f t="shared" si="5"/>
        <v>4019235.0312524438</v>
      </c>
      <c r="L59" s="445">
        <f t="shared" si="1"/>
        <v>82158.844102443662</v>
      </c>
      <c r="M59" s="446">
        <f t="shared" si="2"/>
        <v>2.0867984310437591E-2</v>
      </c>
      <c r="N59" s="447">
        <f t="shared" si="3"/>
        <v>2.0867984310437591E-2</v>
      </c>
      <c r="O59" s="13"/>
      <c r="P59" s="13"/>
      <c r="Z59" s="356"/>
      <c r="AA59" s="50"/>
    </row>
    <row r="60" spans="1:38" x14ac:dyDescent="0.25">
      <c r="A60" s="173">
        <v>41943</v>
      </c>
      <c r="B60" s="176">
        <v>4897681.8591</v>
      </c>
      <c r="C60" s="174">
        <v>366.8</v>
      </c>
      <c r="D60" s="174">
        <v>0</v>
      </c>
      <c r="E60" s="175">
        <v>1</v>
      </c>
      <c r="F60" s="175">
        <v>31</v>
      </c>
      <c r="G60" s="442" t="e">
        <f>#REF!</f>
        <v>#REF!</v>
      </c>
      <c r="H60" s="72">
        <v>3351</v>
      </c>
      <c r="I60" s="396">
        <v>149.04</v>
      </c>
      <c r="J60" s="160">
        <f>16*23</f>
        <v>368</v>
      </c>
      <c r="K60" s="444">
        <f t="shared" si="5"/>
        <v>4786171.7019157484</v>
      </c>
      <c r="L60" s="445">
        <f t="shared" si="1"/>
        <v>-111510.15718425158</v>
      </c>
      <c r="M60" s="446">
        <f t="shared" si="2"/>
        <v>-2.2767946222775427E-2</v>
      </c>
      <c r="N60" s="447">
        <f t="shared" si="3"/>
        <v>2.2767946222775427E-2</v>
      </c>
      <c r="O60" s="13"/>
      <c r="P60" s="13"/>
      <c r="Z60" s="356"/>
      <c r="AA60" s="50"/>
    </row>
    <row r="61" spans="1:38" x14ac:dyDescent="0.25">
      <c r="A61" s="173">
        <v>41973</v>
      </c>
      <c r="B61" s="176">
        <v>5947394.3925000001</v>
      </c>
      <c r="C61" s="174">
        <v>675.8</v>
      </c>
      <c r="D61" s="174">
        <v>0</v>
      </c>
      <c r="E61" s="175">
        <v>1</v>
      </c>
      <c r="F61" s="175">
        <v>30</v>
      </c>
      <c r="G61" s="442" t="e">
        <f>#REF!</f>
        <v>#REF!</v>
      </c>
      <c r="H61" s="72">
        <v>3352</v>
      </c>
      <c r="I61" s="396">
        <v>149.27000000000001</v>
      </c>
      <c r="J61" s="160">
        <f>16*20</f>
        <v>320</v>
      </c>
      <c r="K61" s="444">
        <f t="shared" si="5"/>
        <v>5793310.0256185951</v>
      </c>
      <c r="L61" s="445">
        <f t="shared" si="1"/>
        <v>-154084.366881405</v>
      </c>
      <c r="M61" s="446">
        <f t="shared" si="2"/>
        <v>-2.5907877754956708E-2</v>
      </c>
      <c r="N61" s="447">
        <f t="shared" si="3"/>
        <v>2.5907877754956708E-2</v>
      </c>
      <c r="O61" s="13"/>
      <c r="P61" s="13"/>
      <c r="Z61" s="356"/>
      <c r="AA61" s="50"/>
    </row>
    <row r="62" spans="1:38" x14ac:dyDescent="0.25">
      <c r="A62" s="395">
        <v>42004</v>
      </c>
      <c r="B62" s="176">
        <v>7084619.0211300002</v>
      </c>
      <c r="C62" s="174">
        <v>779.2</v>
      </c>
      <c r="D62" s="174">
        <v>0</v>
      </c>
      <c r="E62" s="175">
        <v>0</v>
      </c>
      <c r="F62" s="175">
        <v>31</v>
      </c>
      <c r="G62" s="442" t="e">
        <f>#REF!</f>
        <v>#REF!</v>
      </c>
      <c r="H62" s="72">
        <v>3354</v>
      </c>
      <c r="I62" s="401">
        <v>149.5</v>
      </c>
      <c r="J62" s="160">
        <f>16*23</f>
        <v>368</v>
      </c>
      <c r="K62" s="444">
        <f t="shared" si="5"/>
        <v>6657852.6744740196</v>
      </c>
      <c r="L62" s="445">
        <f t="shared" si="1"/>
        <v>-426766.34665598068</v>
      </c>
      <c r="M62" s="446">
        <f t="shared" si="2"/>
        <v>-6.0238432777139118E-2</v>
      </c>
      <c r="N62" s="447">
        <f t="shared" si="3"/>
        <v>6.0238432777139118E-2</v>
      </c>
      <c r="O62" s="13"/>
      <c r="P62" s="13"/>
      <c r="Z62" s="31"/>
    </row>
    <row r="63" spans="1:38" x14ac:dyDescent="0.25">
      <c r="A63" s="382">
        <v>42035</v>
      </c>
      <c r="B63" s="176">
        <v>7167685.3645400004</v>
      </c>
      <c r="C63" s="175">
        <v>1038.5</v>
      </c>
      <c r="D63" s="175">
        <v>0</v>
      </c>
      <c r="E63" s="175">
        <v>0</v>
      </c>
      <c r="F63" s="175">
        <v>31</v>
      </c>
      <c r="G63" s="442" t="e">
        <f>#REF!</f>
        <v>#REF!</v>
      </c>
      <c r="H63" s="162">
        <v>3350</v>
      </c>
      <c r="I63" s="396">
        <v>149.80000000000001</v>
      </c>
      <c r="J63" s="160">
        <f>16*22</f>
        <v>352</v>
      </c>
      <c r="K63" s="444">
        <f t="shared" si="5"/>
        <v>7578713.3819912542</v>
      </c>
      <c r="L63" s="445">
        <f t="shared" si="1"/>
        <v>411028.01745125372</v>
      </c>
      <c r="M63" s="446">
        <f t="shared" si="2"/>
        <v>5.7344595437279246E-2</v>
      </c>
      <c r="N63" s="447">
        <f t="shared" si="3"/>
        <v>5.7344595437279246E-2</v>
      </c>
      <c r="P63" s="13"/>
      <c r="Z63" s="31"/>
    </row>
    <row r="64" spans="1:38" x14ac:dyDescent="0.25">
      <c r="A64" s="382">
        <v>42063</v>
      </c>
      <c r="B64" s="176">
        <v>7443816.7240899997</v>
      </c>
      <c r="C64" s="175">
        <v>1043.5</v>
      </c>
      <c r="D64" s="175">
        <v>0</v>
      </c>
      <c r="E64" s="175">
        <v>0</v>
      </c>
      <c r="F64" s="175">
        <v>28</v>
      </c>
      <c r="G64" s="442" t="e">
        <f>#REF!</f>
        <v>#REF!</v>
      </c>
      <c r="H64" s="162">
        <v>3350</v>
      </c>
      <c r="I64" s="396">
        <v>150.1</v>
      </c>
      <c r="J64" s="160">
        <f>16*20</f>
        <v>320</v>
      </c>
      <c r="K64" s="444">
        <f t="shared" si="5"/>
        <v>7325799.1115614586</v>
      </c>
      <c r="L64" s="445">
        <f t="shared" si="1"/>
        <v>-118017.61252854113</v>
      </c>
      <c r="M64" s="446">
        <f t="shared" si="2"/>
        <v>-1.585444898805843E-2</v>
      </c>
      <c r="N64" s="447">
        <f t="shared" si="3"/>
        <v>1.585444898805843E-2</v>
      </c>
      <c r="P64" s="13"/>
      <c r="Z64" s="31"/>
    </row>
    <row r="65" spans="1:26" x14ac:dyDescent="0.25">
      <c r="A65" s="382">
        <v>42094</v>
      </c>
      <c r="B65" s="176">
        <v>5786225.6509100003</v>
      </c>
      <c r="C65" s="175">
        <v>787.7</v>
      </c>
      <c r="D65" s="175">
        <v>0</v>
      </c>
      <c r="E65" s="175">
        <v>1</v>
      </c>
      <c r="F65" s="175">
        <v>31</v>
      </c>
      <c r="G65" s="442" t="e">
        <f>#REF!</f>
        <v>#REF!</v>
      </c>
      <c r="H65" s="162">
        <v>3350</v>
      </c>
      <c r="I65" s="396">
        <v>150.38999999999999</v>
      </c>
      <c r="J65" s="160">
        <f>16*22</f>
        <v>352</v>
      </c>
      <c r="K65" s="444">
        <f t="shared" si="5"/>
        <v>6280927.8600106351</v>
      </c>
      <c r="L65" s="445">
        <f t="shared" si="1"/>
        <v>494702.20910063479</v>
      </c>
      <c r="M65" s="446">
        <f t="shared" si="2"/>
        <v>8.5496528989123147E-2</v>
      </c>
      <c r="N65" s="447">
        <f t="shared" si="3"/>
        <v>8.5496528989123147E-2</v>
      </c>
      <c r="P65" s="13"/>
      <c r="Z65" s="31"/>
    </row>
    <row r="66" spans="1:26" x14ac:dyDescent="0.25">
      <c r="A66" s="382">
        <v>42124</v>
      </c>
      <c r="B66" s="176">
        <v>4996208.3371799998</v>
      </c>
      <c r="C66" s="175">
        <v>440.4</v>
      </c>
      <c r="D66" s="175">
        <v>0</v>
      </c>
      <c r="E66" s="175">
        <v>1</v>
      </c>
      <c r="F66" s="175">
        <v>30</v>
      </c>
      <c r="G66" s="442" t="e">
        <f>#REF!</f>
        <v>#REF!</v>
      </c>
      <c r="H66" s="162">
        <v>3335</v>
      </c>
      <c r="I66" s="396">
        <v>150.69</v>
      </c>
      <c r="J66" s="160">
        <f>16*22</f>
        <v>352</v>
      </c>
      <c r="K66" s="444">
        <f t="shared" si="5"/>
        <v>4957326.1823885255</v>
      </c>
      <c r="L66" s="445">
        <f t="shared" si="1"/>
        <v>-38882.154791474342</v>
      </c>
      <c r="M66" s="446">
        <f t="shared" si="2"/>
        <v>-7.7823325544948193E-3</v>
      </c>
      <c r="N66" s="447">
        <f t="shared" si="3"/>
        <v>7.7823325544948193E-3</v>
      </c>
      <c r="P66" s="13"/>
      <c r="Z66" s="31"/>
    </row>
    <row r="67" spans="1:26" x14ac:dyDescent="0.25">
      <c r="A67" s="382">
        <v>42155</v>
      </c>
      <c r="B67" s="176">
        <v>3910103.05161</v>
      </c>
      <c r="C67" s="175">
        <v>176.1</v>
      </c>
      <c r="D67" s="175">
        <v>6.1</v>
      </c>
      <c r="E67" s="175">
        <v>1</v>
      </c>
      <c r="F67" s="175">
        <v>31</v>
      </c>
      <c r="G67" s="442" t="e">
        <f>#REF!</f>
        <v>#REF!</v>
      </c>
      <c r="H67" s="162">
        <v>3335</v>
      </c>
      <c r="I67" s="396">
        <v>150.99</v>
      </c>
      <c r="J67" s="160">
        <f>16*21</f>
        <v>336</v>
      </c>
      <c r="K67" s="444">
        <f t="shared" si="5"/>
        <v>4156168.1134029366</v>
      </c>
      <c r="L67" s="445">
        <f t="shared" si="1"/>
        <v>246065.06179293664</v>
      </c>
      <c r="M67" s="446">
        <f t="shared" si="2"/>
        <v>6.2930582274965466E-2</v>
      </c>
      <c r="N67" s="447">
        <f t="shared" si="3"/>
        <v>6.2930582274965466E-2</v>
      </c>
      <c r="P67" s="13"/>
      <c r="Z67" s="31"/>
    </row>
    <row r="68" spans="1:26" x14ac:dyDescent="0.25">
      <c r="A68" s="382">
        <v>42185</v>
      </c>
      <c r="B68" s="176">
        <v>4294867.8723999998</v>
      </c>
      <c r="C68" s="175">
        <v>69.900000000000006</v>
      </c>
      <c r="D68" s="175">
        <v>6.1</v>
      </c>
      <c r="E68" s="175">
        <v>0</v>
      </c>
      <c r="F68" s="175">
        <v>30</v>
      </c>
      <c r="G68" s="442" t="e">
        <f>#REF!</f>
        <v>#REF!</v>
      </c>
      <c r="H68" s="162">
        <v>3335</v>
      </c>
      <c r="I68" s="396">
        <v>151.29</v>
      </c>
      <c r="J68" s="160">
        <f>16*22</f>
        <v>352</v>
      </c>
      <c r="K68" s="444">
        <f t="shared" ref="K68:K131" si="6">$R$41+C68*$R$42+D68*$R$43+E68*$R$44+F68*$R$45</f>
        <v>4095904.0253938525</v>
      </c>
      <c r="L68" s="445">
        <f t="shared" ref="L68:L122" si="7">K68-B68</f>
        <v>-198963.84700614726</v>
      </c>
      <c r="M68" s="446">
        <f t="shared" ref="M68:M122" si="8">L68/B68</f>
        <v>-4.6325952955326884E-2</v>
      </c>
      <c r="N68" s="447">
        <f t="shared" ref="N68:N122" si="9">ABS(M68)</f>
        <v>4.6325952955326884E-2</v>
      </c>
      <c r="P68" s="13"/>
      <c r="Z68" s="31"/>
    </row>
    <row r="69" spans="1:26" x14ac:dyDescent="0.25">
      <c r="A69" s="382">
        <v>42216</v>
      </c>
      <c r="B69" s="176">
        <v>4067507.5161199998</v>
      </c>
      <c r="C69" s="175">
        <v>31.4</v>
      </c>
      <c r="D69" s="175">
        <v>55.1</v>
      </c>
      <c r="E69" s="175">
        <v>0</v>
      </c>
      <c r="F69" s="175">
        <v>31</v>
      </c>
      <c r="G69" s="442" t="e">
        <f>#REF!</f>
        <v>#REF!</v>
      </c>
      <c r="H69" s="162">
        <v>3342</v>
      </c>
      <c r="I69" s="396">
        <v>151.59</v>
      </c>
      <c r="J69" s="160">
        <f>16*23</f>
        <v>368</v>
      </c>
      <c r="K69" s="444">
        <f t="shared" si="6"/>
        <v>4428835.3249041177</v>
      </c>
      <c r="L69" s="445">
        <f t="shared" si="7"/>
        <v>361327.80878411792</v>
      </c>
      <c r="M69" s="446">
        <f t="shared" si="8"/>
        <v>8.8832732908822973E-2</v>
      </c>
      <c r="N69" s="447">
        <f t="shared" si="9"/>
        <v>8.8832732908822973E-2</v>
      </c>
      <c r="P69" s="13"/>
      <c r="Z69" s="31"/>
    </row>
    <row r="70" spans="1:26" x14ac:dyDescent="0.25">
      <c r="A70" s="382">
        <v>42247</v>
      </c>
      <c r="B70" s="176">
        <v>3801328.8873600001</v>
      </c>
      <c r="C70" s="175">
        <v>35.200000000000003</v>
      </c>
      <c r="D70" s="175">
        <v>39.799999999999997</v>
      </c>
      <c r="E70" s="175">
        <v>0</v>
      </c>
      <c r="F70" s="175">
        <v>31</v>
      </c>
      <c r="G70" s="442" t="e">
        <f>#REF!</f>
        <v>#REF!</v>
      </c>
      <c r="H70" s="162">
        <v>3342</v>
      </c>
      <c r="I70" s="396">
        <v>151.88999999999999</v>
      </c>
      <c r="J70" s="160">
        <f>16*21</f>
        <v>336</v>
      </c>
      <c r="K70" s="444">
        <f t="shared" si="6"/>
        <v>4323854.0657392358</v>
      </c>
      <c r="L70" s="445">
        <f t="shared" si="7"/>
        <v>522525.17837923579</v>
      </c>
      <c r="M70" s="446">
        <f t="shared" si="8"/>
        <v>0.13745855564266274</v>
      </c>
      <c r="N70" s="447">
        <f t="shared" si="9"/>
        <v>0.13745855564266274</v>
      </c>
      <c r="P70" s="13"/>
      <c r="Q70" s="31"/>
      <c r="R70" s="31"/>
      <c r="S70" s="31"/>
      <c r="T70" s="31"/>
      <c r="U70" s="31"/>
      <c r="V70" s="31"/>
      <c r="W70" s="31"/>
      <c r="Z70" s="31"/>
    </row>
    <row r="71" spans="1:26" x14ac:dyDescent="0.25">
      <c r="A71" s="382">
        <v>42277</v>
      </c>
      <c r="B71" s="176">
        <v>4091907.5889500002</v>
      </c>
      <c r="C71" s="175">
        <v>87.8</v>
      </c>
      <c r="D71" s="175">
        <v>38.1</v>
      </c>
      <c r="E71" s="175">
        <v>1</v>
      </c>
      <c r="F71" s="175">
        <v>30</v>
      </c>
      <c r="G71" s="442" t="e">
        <f>#REF!</f>
        <v>#REF!</v>
      </c>
      <c r="H71" s="162">
        <v>3342</v>
      </c>
      <c r="I71" s="396">
        <v>152.19</v>
      </c>
      <c r="J71" s="160">
        <f>16*22</f>
        <v>352</v>
      </c>
      <c r="K71" s="444">
        <f t="shared" si="6"/>
        <v>4000155.3651908683</v>
      </c>
      <c r="L71" s="445">
        <f t="shared" si="7"/>
        <v>-91752.223759131972</v>
      </c>
      <c r="M71" s="446">
        <f t="shared" si="8"/>
        <v>-2.2422848455059066E-2</v>
      </c>
      <c r="N71" s="447">
        <f t="shared" si="9"/>
        <v>2.2422848455059066E-2</v>
      </c>
      <c r="P71" s="13"/>
      <c r="Q71" s="31"/>
      <c r="R71" s="31"/>
      <c r="S71" s="31"/>
      <c r="T71" s="31"/>
      <c r="U71" s="31"/>
      <c r="V71" s="31"/>
      <c r="W71" s="31"/>
      <c r="Z71" s="31"/>
    </row>
    <row r="72" spans="1:26" x14ac:dyDescent="0.25">
      <c r="A72" s="382">
        <v>42308</v>
      </c>
      <c r="B72" s="176">
        <v>4583286.6705800006</v>
      </c>
      <c r="C72" s="175">
        <v>393.4</v>
      </c>
      <c r="D72" s="175">
        <v>0</v>
      </c>
      <c r="E72" s="175">
        <v>1</v>
      </c>
      <c r="F72" s="175">
        <v>31</v>
      </c>
      <c r="G72" s="442" t="e">
        <f>#REF!</f>
        <v>#REF!</v>
      </c>
      <c r="H72" s="162">
        <v>3345</v>
      </c>
      <c r="I72" s="396">
        <v>152.49</v>
      </c>
      <c r="J72" s="160">
        <f>16*22</f>
        <v>352</v>
      </c>
      <c r="K72" s="444">
        <f t="shared" si="6"/>
        <v>4880637.1659340998</v>
      </c>
      <c r="L72" s="445">
        <f t="shared" si="7"/>
        <v>297350.4953540992</v>
      </c>
      <c r="M72" s="446">
        <f t="shared" si="8"/>
        <v>6.4877132225392833E-2</v>
      </c>
      <c r="N72" s="447">
        <f t="shared" si="9"/>
        <v>6.4877132225392833E-2</v>
      </c>
      <c r="P72" s="13"/>
      <c r="Q72" s="31"/>
      <c r="R72" s="31"/>
      <c r="S72" s="31"/>
      <c r="T72" s="31"/>
      <c r="U72" s="31"/>
      <c r="V72" s="31"/>
      <c r="W72" s="31"/>
      <c r="Z72" s="31"/>
    </row>
    <row r="73" spans="1:26" x14ac:dyDescent="0.25">
      <c r="A73" s="382">
        <v>42338</v>
      </c>
      <c r="B73" s="176">
        <v>5009267.5901600001</v>
      </c>
      <c r="C73" s="175">
        <v>488.3</v>
      </c>
      <c r="D73" s="175">
        <v>0</v>
      </c>
      <c r="E73" s="175">
        <v>1</v>
      </c>
      <c r="F73" s="175">
        <v>30</v>
      </c>
      <c r="G73" s="442" t="e">
        <f>#REF!</f>
        <v>#REF!</v>
      </c>
      <c r="H73" s="162">
        <v>3345</v>
      </c>
      <c r="I73" s="396">
        <v>152.79</v>
      </c>
      <c r="J73" s="160">
        <f>16*21</f>
        <v>336</v>
      </c>
      <c r="K73" s="444">
        <f t="shared" si="6"/>
        <v>5127435.0442862334</v>
      </c>
      <c r="L73" s="445">
        <f t="shared" si="7"/>
        <v>118167.45412623324</v>
      </c>
      <c r="M73" s="446">
        <f t="shared" si="8"/>
        <v>2.3589766767173018E-2</v>
      </c>
      <c r="N73" s="447">
        <f t="shared" si="9"/>
        <v>2.3589766767173018E-2</v>
      </c>
      <c r="P73" s="13"/>
      <c r="Q73" s="31"/>
      <c r="R73" s="31"/>
      <c r="S73" s="31"/>
      <c r="T73" s="31"/>
      <c r="U73" s="31"/>
      <c r="V73" s="31"/>
      <c r="W73" s="31"/>
      <c r="Z73" s="31"/>
    </row>
    <row r="74" spans="1:26" x14ac:dyDescent="0.25">
      <c r="A74" s="382">
        <v>42369</v>
      </c>
      <c r="B74" s="176">
        <v>5952516.0176025806</v>
      </c>
      <c r="C74" s="175">
        <v>599.1</v>
      </c>
      <c r="D74" s="175">
        <v>0</v>
      </c>
      <c r="E74" s="175">
        <v>0</v>
      </c>
      <c r="F74" s="175">
        <v>31</v>
      </c>
      <c r="G74" s="442" t="e">
        <f>#REF!</f>
        <v>#REF!</v>
      </c>
      <c r="H74" s="162">
        <v>3345</v>
      </c>
      <c r="I74" s="396">
        <v>153.09</v>
      </c>
      <c r="J74" s="160">
        <f>16*23</f>
        <v>368</v>
      </c>
      <c r="K74" s="444">
        <f t="shared" si="6"/>
        <v>6018257.5590715744</v>
      </c>
      <c r="L74" s="445">
        <f t="shared" si="7"/>
        <v>65741.541468993761</v>
      </c>
      <c r="M74" s="446">
        <f t="shared" si="8"/>
        <v>1.1044328360408452E-2</v>
      </c>
      <c r="N74" s="447">
        <f t="shared" si="9"/>
        <v>1.1044328360408452E-2</v>
      </c>
      <c r="P74" s="13"/>
      <c r="Q74" s="31"/>
      <c r="R74" s="31"/>
      <c r="S74" s="31"/>
      <c r="T74" s="31"/>
      <c r="U74" s="31"/>
      <c r="V74" s="31"/>
      <c r="W74" s="31"/>
      <c r="Z74" s="31"/>
    </row>
    <row r="75" spans="1:26" x14ac:dyDescent="0.25">
      <c r="A75" s="382">
        <v>42400</v>
      </c>
      <c r="B75" s="176">
        <v>6646637.3968974194</v>
      </c>
      <c r="C75" s="175">
        <v>884.6</v>
      </c>
      <c r="D75" s="175">
        <v>0</v>
      </c>
      <c r="E75" s="175">
        <v>0</v>
      </c>
      <c r="F75" s="175">
        <v>31</v>
      </c>
      <c r="G75" s="442" t="e">
        <f>#REF!</f>
        <v>#REF!</v>
      </c>
      <c r="H75" s="162">
        <v>3345</v>
      </c>
      <c r="I75" s="396">
        <v>153.38999999999999</v>
      </c>
      <c r="J75" s="160">
        <f>16*21</f>
        <v>336</v>
      </c>
      <c r="K75" s="444">
        <f t="shared" si="6"/>
        <v>7032163.1973136514</v>
      </c>
      <c r="L75" s="445">
        <f t="shared" si="7"/>
        <v>385525.80041623209</v>
      </c>
      <c r="M75" s="446">
        <f t="shared" si="8"/>
        <v>5.800313412556423E-2</v>
      </c>
      <c r="N75" s="447">
        <f t="shared" si="9"/>
        <v>5.800313412556423E-2</v>
      </c>
      <c r="P75" s="13"/>
      <c r="Q75" s="31"/>
      <c r="R75" s="31"/>
      <c r="S75" s="31"/>
      <c r="T75" s="31"/>
      <c r="U75" s="31"/>
      <c r="V75" s="31"/>
      <c r="W75" s="31"/>
      <c r="Z75" s="31"/>
    </row>
    <row r="76" spans="1:26" x14ac:dyDescent="0.25">
      <c r="A76" s="382">
        <v>42429</v>
      </c>
      <c r="B76" s="176">
        <v>6312099.9272099994</v>
      </c>
      <c r="C76" s="175">
        <v>856.9</v>
      </c>
      <c r="D76" s="175">
        <v>0</v>
      </c>
      <c r="E76" s="175">
        <v>0</v>
      </c>
      <c r="F76" s="175">
        <v>28</v>
      </c>
      <c r="G76" s="442" t="e">
        <f>#REF!</f>
        <v>#REF!</v>
      </c>
      <c r="H76" s="162">
        <v>3345</v>
      </c>
      <c r="I76" s="396">
        <v>153.69999999999999</v>
      </c>
      <c r="J76" s="160">
        <f>16*21</f>
        <v>336</v>
      </c>
      <c r="K76" s="444">
        <f t="shared" si="6"/>
        <v>6663120.3301394917</v>
      </c>
      <c r="L76" s="445">
        <f t="shared" si="7"/>
        <v>351020.40292949229</v>
      </c>
      <c r="M76" s="446">
        <f t="shared" si="8"/>
        <v>5.561071703195393E-2</v>
      </c>
      <c r="N76" s="447">
        <f t="shared" si="9"/>
        <v>5.561071703195393E-2</v>
      </c>
      <c r="P76" s="13"/>
      <c r="Q76" s="31"/>
      <c r="R76" s="31"/>
      <c r="S76" s="31"/>
      <c r="T76" s="31"/>
      <c r="U76" s="31"/>
      <c r="V76" s="31"/>
      <c r="W76" s="31"/>
      <c r="Z76" s="31"/>
    </row>
    <row r="77" spans="1:26" x14ac:dyDescent="0.25">
      <c r="A77" s="382">
        <v>42460</v>
      </c>
      <c r="B77" s="176">
        <v>5718320.3403500002</v>
      </c>
      <c r="C77" s="175">
        <v>659.4</v>
      </c>
      <c r="D77" s="175">
        <v>0</v>
      </c>
      <c r="E77" s="175">
        <v>1</v>
      </c>
      <c r="F77" s="175">
        <v>31</v>
      </c>
      <c r="G77" s="442" t="e">
        <f>#REF!</f>
        <v>#REF!</v>
      </c>
      <c r="H77" s="162">
        <v>3345</v>
      </c>
      <c r="I77" s="396">
        <v>154</v>
      </c>
      <c r="J77" s="160">
        <f>16*23</f>
        <v>368</v>
      </c>
      <c r="K77" s="444">
        <f t="shared" si="6"/>
        <v>5825291.806117611</v>
      </c>
      <c r="L77" s="445">
        <f t="shared" si="7"/>
        <v>106971.46576761082</v>
      </c>
      <c r="M77" s="446">
        <f t="shared" si="8"/>
        <v>1.8706798395464398E-2</v>
      </c>
      <c r="N77" s="447">
        <f t="shared" si="9"/>
        <v>1.8706798395464398E-2</v>
      </c>
      <c r="P77" s="13"/>
      <c r="Q77" s="31"/>
      <c r="R77" s="31"/>
      <c r="S77" s="31"/>
      <c r="T77" s="31"/>
      <c r="U77" s="31"/>
      <c r="V77" s="31"/>
      <c r="W77" s="31"/>
      <c r="Z77" s="31"/>
    </row>
    <row r="78" spans="1:26" x14ac:dyDescent="0.25">
      <c r="A78" s="382">
        <v>42490</v>
      </c>
      <c r="B78" s="176">
        <v>4966410.7876377022</v>
      </c>
      <c r="C78" s="175">
        <v>542.9</v>
      </c>
      <c r="D78" s="175">
        <v>0</v>
      </c>
      <c r="E78" s="175">
        <v>1</v>
      </c>
      <c r="F78" s="175">
        <v>30</v>
      </c>
      <c r="G78" s="442" t="e">
        <f>#REF!</f>
        <v>#REF!</v>
      </c>
      <c r="H78" s="162">
        <v>3340</v>
      </c>
      <c r="I78" s="396">
        <v>154.31</v>
      </c>
      <c r="J78" s="160">
        <f>16*21</f>
        <v>336</v>
      </c>
      <c r="K78" s="444">
        <f t="shared" si="6"/>
        <v>5321337.8388502169</v>
      </c>
      <c r="L78" s="445">
        <f t="shared" si="7"/>
        <v>354927.05121251475</v>
      </c>
      <c r="M78" s="446">
        <f t="shared" si="8"/>
        <v>7.1465504242217051E-2</v>
      </c>
      <c r="N78" s="447">
        <f t="shared" si="9"/>
        <v>7.1465504242217051E-2</v>
      </c>
      <c r="P78" s="13"/>
      <c r="Q78" s="31"/>
      <c r="R78" s="31"/>
      <c r="S78" s="31"/>
      <c r="T78" s="31"/>
      <c r="U78" s="31"/>
      <c r="V78" s="31"/>
      <c r="W78" s="31"/>
      <c r="Z78" s="31"/>
    </row>
    <row r="79" spans="1:26" x14ac:dyDescent="0.25">
      <c r="A79" s="382">
        <v>42521</v>
      </c>
      <c r="B79" s="176">
        <v>4082620.5176583179</v>
      </c>
      <c r="C79" s="175">
        <v>190.1</v>
      </c>
      <c r="D79" s="175">
        <v>12.6</v>
      </c>
      <c r="E79" s="175">
        <v>1</v>
      </c>
      <c r="F79" s="175">
        <v>31</v>
      </c>
      <c r="G79" s="442" t="e">
        <f>#REF!</f>
        <v>#REF!</v>
      </c>
      <c r="H79" s="162">
        <v>3340</v>
      </c>
      <c r="I79" s="396">
        <v>154.61000000000001</v>
      </c>
      <c r="J79" s="160">
        <f>16*22</f>
        <v>352</v>
      </c>
      <c r="K79" s="444">
        <f t="shared" si="6"/>
        <v>4256219.8581166621</v>
      </c>
      <c r="L79" s="445">
        <f t="shared" si="7"/>
        <v>173599.3404583442</v>
      </c>
      <c r="M79" s="446">
        <f t="shared" si="8"/>
        <v>4.2521547057211222E-2</v>
      </c>
      <c r="N79" s="447">
        <f t="shared" si="9"/>
        <v>4.2521547057211222E-2</v>
      </c>
      <c r="P79" s="13"/>
      <c r="Q79" s="31"/>
      <c r="R79" s="31"/>
      <c r="S79" s="31"/>
      <c r="T79" s="31"/>
      <c r="U79" s="31"/>
      <c r="V79" s="31"/>
      <c r="W79" s="31"/>
      <c r="Z79" s="31"/>
    </row>
    <row r="80" spans="1:26" x14ac:dyDescent="0.25">
      <c r="A80" s="382">
        <v>42551</v>
      </c>
      <c r="B80" s="176">
        <v>3965563.7790039806</v>
      </c>
      <c r="C80" s="175">
        <v>72.8</v>
      </c>
      <c r="D80" s="175">
        <v>30.4</v>
      </c>
      <c r="E80" s="175">
        <v>0</v>
      </c>
      <c r="F80" s="175">
        <v>30</v>
      </c>
      <c r="G80" s="442" t="e">
        <f>#REF!</f>
        <v>#REF!</v>
      </c>
      <c r="H80" s="162">
        <v>3340</v>
      </c>
      <c r="I80" s="396">
        <v>154.91999999999999</v>
      </c>
      <c r="J80" s="160">
        <f>16*22</f>
        <v>352</v>
      </c>
      <c r="K80" s="444">
        <f t="shared" si="6"/>
        <v>4294371.1733739618</v>
      </c>
      <c r="L80" s="445">
        <f t="shared" si="7"/>
        <v>328807.39436998125</v>
      </c>
      <c r="M80" s="446">
        <f t="shared" si="8"/>
        <v>8.2915674212801813E-2</v>
      </c>
      <c r="N80" s="447">
        <f t="shared" si="9"/>
        <v>8.2915674212801813E-2</v>
      </c>
      <c r="P80" s="13"/>
      <c r="Q80" s="31"/>
      <c r="R80" s="31"/>
      <c r="S80" s="31"/>
      <c r="T80" s="31"/>
      <c r="U80" s="31"/>
      <c r="V80" s="31"/>
      <c r="W80" s="31"/>
      <c r="Z80" s="31"/>
    </row>
    <row r="81" spans="1:26" x14ac:dyDescent="0.25">
      <c r="A81" s="382">
        <v>42582</v>
      </c>
      <c r="B81" s="176">
        <v>4382848.4523400003</v>
      </c>
      <c r="C81" s="175">
        <v>22.4</v>
      </c>
      <c r="D81" s="175">
        <v>72.7</v>
      </c>
      <c r="E81" s="175">
        <v>0</v>
      </c>
      <c r="F81" s="175">
        <v>31</v>
      </c>
      <c r="G81" s="442" t="e">
        <f>#REF!</f>
        <v>#REF!</v>
      </c>
      <c r="H81" s="162">
        <v>3342</v>
      </c>
      <c r="I81" s="396">
        <v>155.22</v>
      </c>
      <c r="J81" s="160">
        <f>16*21</f>
        <v>336</v>
      </c>
      <c r="K81" s="444">
        <f t="shared" si="6"/>
        <v>4533159.8178247791</v>
      </c>
      <c r="L81" s="445">
        <f t="shared" si="7"/>
        <v>150311.36548477877</v>
      </c>
      <c r="M81" s="446">
        <f t="shared" si="8"/>
        <v>3.4295359996882303E-2</v>
      </c>
      <c r="N81" s="447">
        <f t="shared" si="9"/>
        <v>3.4295359996882303E-2</v>
      </c>
      <c r="P81" s="13"/>
      <c r="Q81" s="31"/>
      <c r="R81" s="31"/>
      <c r="S81" s="31"/>
      <c r="T81" s="31"/>
      <c r="U81" s="31"/>
      <c r="V81" s="31"/>
      <c r="W81" s="31"/>
      <c r="Z81" s="31"/>
    </row>
    <row r="82" spans="1:26" x14ac:dyDescent="0.25">
      <c r="A82" s="382">
        <v>42613</v>
      </c>
      <c r="B82" s="176">
        <v>4538382.6714300001</v>
      </c>
      <c r="C82" s="175">
        <v>11</v>
      </c>
      <c r="D82" s="175">
        <v>73.3</v>
      </c>
      <c r="E82" s="175">
        <v>0</v>
      </c>
      <c r="F82" s="175">
        <v>31</v>
      </c>
      <c r="G82" s="442" t="e">
        <f>#REF!</f>
        <v>#REF!</v>
      </c>
      <c r="H82" s="162">
        <v>3342</v>
      </c>
      <c r="I82" s="396">
        <v>155.53</v>
      </c>
      <c r="J82" s="160">
        <f>16*23</f>
        <v>368</v>
      </c>
      <c r="K82" s="444">
        <f t="shared" si="6"/>
        <v>4497320.7493697023</v>
      </c>
      <c r="L82" s="445">
        <f t="shared" si="7"/>
        <v>-41061.922060297802</v>
      </c>
      <c r="M82" s="446">
        <f t="shared" si="8"/>
        <v>-9.0476993751079145E-3</v>
      </c>
      <c r="N82" s="447">
        <f t="shared" si="9"/>
        <v>9.0476993751079145E-3</v>
      </c>
      <c r="P82" s="13"/>
      <c r="Q82" s="31"/>
      <c r="R82" s="31"/>
      <c r="S82" s="31"/>
      <c r="T82" s="31"/>
      <c r="U82" s="31"/>
      <c r="V82" s="31"/>
      <c r="W82" s="31"/>
      <c r="Z82" s="31"/>
    </row>
    <row r="83" spans="1:26" x14ac:dyDescent="0.25">
      <c r="A83" s="382">
        <v>42643</v>
      </c>
      <c r="B83" s="176">
        <v>2619576.9357000003</v>
      </c>
      <c r="C83" s="175">
        <v>88.7</v>
      </c>
      <c r="D83" s="175">
        <v>10.7</v>
      </c>
      <c r="E83" s="175">
        <v>1</v>
      </c>
      <c r="F83" s="175">
        <v>30</v>
      </c>
      <c r="G83" s="442" t="e">
        <f>#REF!</f>
        <v>#REF!</v>
      </c>
      <c r="H83" s="162">
        <v>3342</v>
      </c>
      <c r="I83" s="396">
        <v>155.84</v>
      </c>
      <c r="J83" s="160">
        <f>16*22</f>
        <v>352</v>
      </c>
      <c r="K83" s="444">
        <f t="shared" si="6"/>
        <v>3791178.2763811229</v>
      </c>
      <c r="L83" s="445">
        <f t="shared" si="7"/>
        <v>1171601.3406811226</v>
      </c>
      <c r="M83" s="446">
        <f t="shared" si="8"/>
        <v>0.44724830361512125</v>
      </c>
      <c r="N83" s="447">
        <f t="shared" si="9"/>
        <v>0.44724830361512125</v>
      </c>
      <c r="P83" s="13"/>
      <c r="Q83" s="31"/>
      <c r="R83" s="31"/>
      <c r="S83" s="31"/>
      <c r="T83" s="31"/>
      <c r="U83" s="31"/>
      <c r="V83" s="31"/>
      <c r="W83" s="31"/>
      <c r="Z83" s="31"/>
    </row>
    <row r="84" spans="1:26" x14ac:dyDescent="0.25">
      <c r="A84" s="382">
        <v>42674</v>
      </c>
      <c r="B84" s="176">
        <v>5551447.8350500008</v>
      </c>
      <c r="C84" s="175">
        <v>330.2</v>
      </c>
      <c r="D84" s="175">
        <v>0.5</v>
      </c>
      <c r="E84" s="175">
        <v>1</v>
      </c>
      <c r="F84" s="175">
        <v>31</v>
      </c>
      <c r="G84" s="442" t="e">
        <f>#REF!</f>
        <v>#REF!</v>
      </c>
      <c r="H84" s="162">
        <v>3345</v>
      </c>
      <c r="I84" s="396">
        <v>156.15</v>
      </c>
      <c r="J84" s="160">
        <f>16*21</f>
        <v>336</v>
      </c>
      <c r="K84" s="444">
        <f t="shared" si="6"/>
        <v>4660064.6809012797</v>
      </c>
      <c r="L84" s="445">
        <f t="shared" si="7"/>
        <v>-891383.15414872114</v>
      </c>
      <c r="M84" s="446">
        <f t="shared" si="8"/>
        <v>-0.16056768984134615</v>
      </c>
      <c r="N84" s="447">
        <f t="shared" si="9"/>
        <v>0.16056768984134615</v>
      </c>
      <c r="P84" s="13"/>
      <c r="Q84" s="31"/>
      <c r="R84" s="31"/>
      <c r="S84" s="31"/>
      <c r="T84" s="31"/>
      <c r="U84" s="31"/>
      <c r="V84" s="31"/>
      <c r="W84" s="31"/>
      <c r="Z84" s="31"/>
    </row>
    <row r="85" spans="1:26" x14ac:dyDescent="0.25">
      <c r="A85" s="382">
        <v>42704</v>
      </c>
      <c r="B85" s="176">
        <v>4830363.36601</v>
      </c>
      <c r="C85" s="175">
        <v>452.4</v>
      </c>
      <c r="D85" s="175">
        <v>0</v>
      </c>
      <c r="E85" s="175">
        <v>1</v>
      </c>
      <c r="F85" s="175">
        <v>30</v>
      </c>
      <c r="G85" s="442" t="e">
        <f>#REF!</f>
        <v>#REF!</v>
      </c>
      <c r="H85" s="162">
        <v>3345</v>
      </c>
      <c r="I85" s="396">
        <v>156.46</v>
      </c>
      <c r="J85" s="160">
        <f>16*22</f>
        <v>352</v>
      </c>
      <c r="K85" s="444">
        <f t="shared" si="6"/>
        <v>4999942.1811937969</v>
      </c>
      <c r="L85" s="445">
        <f t="shared" si="7"/>
        <v>169578.81518379692</v>
      </c>
      <c r="M85" s="446">
        <f t="shared" si="8"/>
        <v>3.5106844420251811E-2</v>
      </c>
      <c r="N85" s="447">
        <f t="shared" si="9"/>
        <v>3.5106844420251811E-2</v>
      </c>
      <c r="P85" s="13"/>
      <c r="Q85" s="31"/>
      <c r="R85" s="31"/>
      <c r="S85" s="31"/>
      <c r="T85" s="31"/>
      <c r="U85" s="31"/>
      <c r="V85" s="31"/>
      <c r="W85" s="31"/>
      <c r="Z85" s="31"/>
    </row>
    <row r="86" spans="1:26" x14ac:dyDescent="0.25">
      <c r="A86" s="433">
        <v>42735</v>
      </c>
      <c r="B86" s="176">
        <v>6179831.8605199996</v>
      </c>
      <c r="C86" s="175">
        <v>800</v>
      </c>
      <c r="D86" s="175">
        <v>0</v>
      </c>
      <c r="E86" s="175">
        <v>0</v>
      </c>
      <c r="F86" s="175">
        <v>31</v>
      </c>
      <c r="G86" s="442" t="e">
        <f>#REF!</f>
        <v>#REF!</v>
      </c>
      <c r="H86" s="162">
        <v>3345</v>
      </c>
      <c r="I86" s="396">
        <v>156.77000000000001</v>
      </c>
      <c r="J86" s="160">
        <f>16*22</f>
        <v>352</v>
      </c>
      <c r="K86" s="444">
        <f t="shared" si="6"/>
        <v>6731720.4057364892</v>
      </c>
      <c r="L86" s="445">
        <f t="shared" si="7"/>
        <v>551888.54521648958</v>
      </c>
      <c r="M86" s="446">
        <f t="shared" si="8"/>
        <v>8.9304783313319966E-2</v>
      </c>
      <c r="N86" s="447">
        <f t="shared" si="9"/>
        <v>8.9304783313319966E-2</v>
      </c>
      <c r="P86" s="13"/>
      <c r="Q86" s="31"/>
      <c r="R86" s="31"/>
      <c r="S86" s="31"/>
      <c r="T86" s="31"/>
      <c r="U86" s="31"/>
      <c r="V86" s="31"/>
      <c r="W86" s="31"/>
      <c r="Z86" s="31"/>
    </row>
    <row r="87" spans="1:26" x14ac:dyDescent="0.25">
      <c r="A87" s="382">
        <v>42766</v>
      </c>
      <c r="B87" s="448">
        <v>6233962.9257977204</v>
      </c>
      <c r="C87" s="449">
        <v>795.50000000000011</v>
      </c>
      <c r="D87" s="449">
        <v>0</v>
      </c>
      <c r="E87" s="449">
        <v>0</v>
      </c>
      <c r="F87" s="175">
        <v>31</v>
      </c>
      <c r="G87" s="442" t="e">
        <f>#REF!</f>
        <v>#REF!</v>
      </c>
      <c r="H87" s="162">
        <f>AVERAGE(H63:H86)</f>
        <v>3343</v>
      </c>
      <c r="I87" s="397"/>
      <c r="J87" s="160">
        <f>16*22</f>
        <v>352</v>
      </c>
      <c r="K87" s="444">
        <f t="shared" si="6"/>
        <v>6715739.4061845131</v>
      </c>
      <c r="L87" s="445">
        <f t="shared" si="7"/>
        <v>481776.48038679268</v>
      </c>
      <c r="M87" s="446">
        <f t="shared" si="8"/>
        <v>7.728253859083431E-2</v>
      </c>
      <c r="N87" s="447">
        <f t="shared" si="9"/>
        <v>7.728253859083431E-2</v>
      </c>
      <c r="P87" s="13"/>
      <c r="Z87" s="31"/>
    </row>
    <row r="88" spans="1:26" x14ac:dyDescent="0.25">
      <c r="A88" s="382">
        <v>42794</v>
      </c>
      <c r="B88" s="448">
        <v>5518076.0905600004</v>
      </c>
      <c r="C88" s="449">
        <v>715.29999999999984</v>
      </c>
      <c r="D88" s="449">
        <v>0</v>
      </c>
      <c r="E88" s="449">
        <v>0</v>
      </c>
      <c r="F88" s="175">
        <v>28</v>
      </c>
      <c r="G88" s="442" t="e">
        <f>#REF!</f>
        <v>#REF!</v>
      </c>
      <c r="H88" s="162">
        <f t="shared" ref="H88:H98" si="10">AVERAGE(H64:H87)</f>
        <v>3342.7083333333335</v>
      </c>
      <c r="I88" s="397"/>
      <c r="J88" s="160">
        <f>16*20</f>
        <v>320</v>
      </c>
      <c r="K88" s="444">
        <f t="shared" si="6"/>
        <v>6160251.5442372914</v>
      </c>
      <c r="L88" s="445">
        <f t="shared" si="7"/>
        <v>642175.45367729105</v>
      </c>
      <c r="M88" s="446">
        <f t="shared" si="8"/>
        <v>0.11637669418438919</v>
      </c>
      <c r="N88" s="447">
        <f t="shared" si="9"/>
        <v>0.11637669418438919</v>
      </c>
      <c r="P88" s="13"/>
      <c r="Q88" s="55"/>
      <c r="R88" s="55"/>
      <c r="S88" s="55"/>
      <c r="T88" s="55"/>
      <c r="U88" s="55"/>
      <c r="V88" s="55"/>
      <c r="W88" s="55"/>
      <c r="X88" s="55"/>
      <c r="Y88" s="55"/>
      <c r="Z88" s="31"/>
    </row>
    <row r="89" spans="1:26" ht="13" x14ac:dyDescent="0.3">
      <c r="A89" s="382">
        <v>42825</v>
      </c>
      <c r="B89" s="448">
        <v>5958532.9024100006</v>
      </c>
      <c r="C89" s="449">
        <v>772.9</v>
      </c>
      <c r="D89" s="449">
        <v>0</v>
      </c>
      <c r="E89" s="449">
        <v>1</v>
      </c>
      <c r="F89" s="175">
        <v>31</v>
      </c>
      <c r="G89" s="442" t="e">
        <f>#REF!</f>
        <v>#REF!</v>
      </c>
      <c r="H89" s="162">
        <f t="shared" si="10"/>
        <v>3342.4045138888887</v>
      </c>
      <c r="I89" s="397"/>
      <c r="J89" s="160">
        <f>16*23</f>
        <v>368</v>
      </c>
      <c r="K89" s="444">
        <f t="shared" si="6"/>
        <v>6228368.1281508002</v>
      </c>
      <c r="L89" s="445">
        <f t="shared" si="7"/>
        <v>269835.22574079968</v>
      </c>
      <c r="M89" s="446">
        <f t="shared" si="8"/>
        <v>4.5285514095535426E-2</v>
      </c>
      <c r="N89" s="447">
        <f t="shared" si="9"/>
        <v>4.5285514095535426E-2</v>
      </c>
      <c r="P89" s="13"/>
      <c r="Q89" s="477"/>
      <c r="R89" s="477"/>
      <c r="S89" s="55"/>
      <c r="T89" s="55"/>
      <c r="U89" s="55"/>
      <c r="V89" s="55"/>
      <c r="W89" s="55"/>
      <c r="X89" s="55"/>
      <c r="Y89" s="55"/>
      <c r="Z89" s="31"/>
    </row>
    <row r="90" spans="1:26" x14ac:dyDescent="0.25">
      <c r="A90" s="382">
        <v>42855</v>
      </c>
      <c r="B90" s="448">
        <v>4622528.5920799999</v>
      </c>
      <c r="C90" s="449">
        <v>403.80000000000007</v>
      </c>
      <c r="D90" s="449">
        <v>0</v>
      </c>
      <c r="E90" s="449">
        <v>1</v>
      </c>
      <c r="F90" s="175">
        <v>30</v>
      </c>
      <c r="G90" s="442" t="e">
        <f>#REF!</f>
        <v>#REF!</v>
      </c>
      <c r="H90" s="162">
        <f t="shared" si="10"/>
        <v>3342.0880353009256</v>
      </c>
      <c r="I90" s="397"/>
      <c r="J90" s="160">
        <f>16*20</f>
        <v>320</v>
      </c>
      <c r="K90" s="444">
        <f t="shared" si="6"/>
        <v>4827347.3860324491</v>
      </c>
      <c r="L90" s="445">
        <f t="shared" si="7"/>
        <v>204818.79395244922</v>
      </c>
      <c r="M90" s="446">
        <f t="shared" si="8"/>
        <v>4.4308821432359577E-2</v>
      </c>
      <c r="N90" s="447">
        <f t="shared" si="9"/>
        <v>4.4308821432359577E-2</v>
      </c>
      <c r="P90" s="13"/>
      <c r="Q90" s="32"/>
      <c r="R90" s="470"/>
      <c r="S90" s="55"/>
      <c r="T90" s="55"/>
      <c r="U90" s="55"/>
      <c r="V90" s="55"/>
      <c r="W90" s="55"/>
      <c r="X90" s="55"/>
      <c r="Y90" s="55"/>
      <c r="Z90" s="31"/>
    </row>
    <row r="91" spans="1:26" x14ac:dyDescent="0.25">
      <c r="A91" s="382">
        <v>42886</v>
      </c>
      <c r="B91" s="448">
        <v>4130499.6616700003</v>
      </c>
      <c r="C91" s="449">
        <v>242.10000000000002</v>
      </c>
      <c r="D91" s="449">
        <v>1.3</v>
      </c>
      <c r="E91" s="449">
        <v>1</v>
      </c>
      <c r="F91" s="175">
        <v>31</v>
      </c>
      <c r="G91" s="442" t="e">
        <f>#REF!</f>
        <v>#REF!</v>
      </c>
      <c r="H91" s="162">
        <f t="shared" si="10"/>
        <v>3342.3833701051312</v>
      </c>
      <c r="I91" s="397"/>
      <c r="J91" s="160">
        <f>16*23</f>
        <v>368</v>
      </c>
      <c r="K91" s="444">
        <f t="shared" si="6"/>
        <v>4353387.0635524876</v>
      </c>
      <c r="L91" s="445">
        <f t="shared" si="7"/>
        <v>222887.40188248735</v>
      </c>
      <c r="M91" s="446">
        <f t="shared" si="8"/>
        <v>5.3961365485833704E-2</v>
      </c>
      <c r="N91" s="447">
        <f t="shared" si="9"/>
        <v>5.3961365485833704E-2</v>
      </c>
      <c r="P91" s="13"/>
      <c r="Q91" s="32"/>
      <c r="R91" s="470"/>
      <c r="S91" s="55"/>
      <c r="T91" s="55"/>
      <c r="U91" s="55"/>
      <c r="V91" s="55"/>
      <c r="W91" s="55"/>
      <c r="X91" s="55"/>
      <c r="Y91" s="55"/>
      <c r="Z91" s="31"/>
    </row>
    <row r="92" spans="1:26" x14ac:dyDescent="0.25">
      <c r="A92" s="382">
        <v>42916</v>
      </c>
      <c r="B92" s="448">
        <v>4056483.0081499997</v>
      </c>
      <c r="C92" s="449">
        <v>69</v>
      </c>
      <c r="D92" s="449">
        <v>8.9</v>
      </c>
      <c r="E92" s="449">
        <v>0</v>
      </c>
      <c r="F92" s="175">
        <v>30</v>
      </c>
      <c r="G92" s="442" t="e">
        <f>#REF!</f>
        <v>#REF!</v>
      </c>
      <c r="H92" s="162">
        <f t="shared" si="10"/>
        <v>3342.6910105261782</v>
      </c>
      <c r="I92" s="397"/>
      <c r="J92" s="160">
        <f>16*22</f>
        <v>352</v>
      </c>
      <c r="K92" s="444">
        <f t="shared" si="6"/>
        <v>4114389.767396464</v>
      </c>
      <c r="L92" s="445">
        <f t="shared" si="7"/>
        <v>57906.759246464353</v>
      </c>
      <c r="M92" s="446">
        <f t="shared" si="8"/>
        <v>1.4275114460019228E-2</v>
      </c>
      <c r="N92" s="447">
        <f t="shared" si="9"/>
        <v>1.4275114460019228E-2</v>
      </c>
      <c r="P92" s="13"/>
      <c r="Q92" s="32"/>
      <c r="R92" s="470"/>
      <c r="S92" s="55"/>
      <c r="T92" s="55"/>
      <c r="U92" s="55"/>
      <c r="V92" s="55"/>
      <c r="W92" s="55"/>
      <c r="X92" s="55"/>
      <c r="Y92" s="55"/>
      <c r="Z92" s="31"/>
    </row>
    <row r="93" spans="1:26" x14ac:dyDescent="0.25">
      <c r="A93" s="382">
        <v>42947</v>
      </c>
      <c r="B93" s="448">
        <v>4274955.4554399997</v>
      </c>
      <c r="C93" s="449">
        <v>28.599999999999998</v>
      </c>
      <c r="D93" s="449">
        <v>31.100000000000005</v>
      </c>
      <c r="E93" s="449">
        <v>0</v>
      </c>
      <c r="F93" s="175">
        <v>31</v>
      </c>
      <c r="G93" s="442" t="e">
        <f>#REF!</f>
        <v>#REF!</v>
      </c>
      <c r="H93" s="162">
        <f t="shared" si="10"/>
        <v>3343.0114692981024</v>
      </c>
      <c r="I93" s="397"/>
      <c r="J93" s="160">
        <f>16*21</f>
        <v>336</v>
      </c>
      <c r="K93" s="444">
        <f t="shared" si="6"/>
        <v>4233046.3754523508</v>
      </c>
      <c r="L93" s="445">
        <f t="shared" si="7"/>
        <v>-41909.079987648875</v>
      </c>
      <c r="M93" s="446">
        <f t="shared" si="8"/>
        <v>-9.8033957135900459E-3</v>
      </c>
      <c r="N93" s="447">
        <f t="shared" si="9"/>
        <v>9.8033957135900459E-3</v>
      </c>
      <c r="P93" s="13"/>
      <c r="Q93" s="32"/>
      <c r="R93" s="471"/>
      <c r="S93" s="55"/>
      <c r="T93" s="55"/>
      <c r="U93" s="55"/>
      <c r="V93" s="55"/>
      <c r="W93" s="55"/>
      <c r="X93" s="55"/>
      <c r="Y93" s="55"/>
      <c r="Z93" s="31"/>
    </row>
    <row r="94" spans="1:26" x14ac:dyDescent="0.25">
      <c r="A94" s="382">
        <v>42978</v>
      </c>
      <c r="B94" s="448">
        <v>4172562.7102499995</v>
      </c>
      <c r="C94" s="449">
        <v>65.199999999999989</v>
      </c>
      <c r="D94" s="449">
        <v>11.6</v>
      </c>
      <c r="E94" s="449">
        <v>0</v>
      </c>
      <c r="F94" s="175">
        <v>31</v>
      </c>
      <c r="G94" s="442" t="e">
        <f>#REF!</f>
        <v>#REF!</v>
      </c>
      <c r="H94" s="162">
        <f t="shared" si="10"/>
        <v>3343.0536138521898</v>
      </c>
      <c r="I94" s="397"/>
      <c r="J94" s="160">
        <f>16*23</f>
        <v>368</v>
      </c>
      <c r="K94" s="444">
        <f t="shared" si="6"/>
        <v>4212025.9334856998</v>
      </c>
      <c r="L94" s="445">
        <f t="shared" si="7"/>
        <v>39463.223235700279</v>
      </c>
      <c r="M94" s="446">
        <f t="shared" si="8"/>
        <v>9.4577903260166553E-3</v>
      </c>
      <c r="N94" s="447">
        <f t="shared" si="9"/>
        <v>9.4577903260166553E-3</v>
      </c>
      <c r="P94" s="13"/>
      <c r="Q94" s="32"/>
      <c r="R94" s="32"/>
      <c r="S94" s="55"/>
      <c r="T94" s="55"/>
      <c r="U94" s="55"/>
      <c r="V94" s="55"/>
      <c r="W94" s="55"/>
      <c r="X94" s="55"/>
      <c r="Y94" s="55"/>
      <c r="Z94" s="31"/>
    </row>
    <row r="95" spans="1:26" x14ac:dyDescent="0.25">
      <c r="A95" s="382">
        <v>43008</v>
      </c>
      <c r="B95" s="448">
        <v>3970017.2659299998</v>
      </c>
      <c r="C95" s="449">
        <v>108.7</v>
      </c>
      <c r="D95" s="449">
        <v>33.699999999999996</v>
      </c>
      <c r="E95" s="449">
        <v>1</v>
      </c>
      <c r="F95" s="175">
        <v>30</v>
      </c>
      <c r="G95" s="442" t="e">
        <f>#REF!</f>
        <v>#REF!</v>
      </c>
      <c r="H95" s="162">
        <f t="shared" si="10"/>
        <v>3343.0975144293643</v>
      </c>
      <c r="I95" s="397"/>
      <c r="J95" s="160">
        <f>16*21</f>
        <v>336</v>
      </c>
      <c r="K95" s="444">
        <f t="shared" si="6"/>
        <v>4040306.6067705615</v>
      </c>
      <c r="L95" s="445">
        <f t="shared" si="7"/>
        <v>70289.340840561781</v>
      </c>
      <c r="M95" s="446">
        <f t="shared" si="8"/>
        <v>1.7705046636389398E-2</v>
      </c>
      <c r="N95" s="447">
        <f t="shared" si="9"/>
        <v>1.7705046636389398E-2</v>
      </c>
      <c r="P95" s="13"/>
      <c r="Q95" s="55"/>
      <c r="R95" s="55"/>
      <c r="S95" s="55"/>
      <c r="T95" s="55"/>
      <c r="U95" s="55"/>
      <c r="V95" s="55"/>
      <c r="W95" s="55"/>
      <c r="X95" s="55"/>
      <c r="Y95" s="55"/>
      <c r="Z95" s="31"/>
    </row>
    <row r="96" spans="1:26" x14ac:dyDescent="0.25">
      <c r="A96" s="382">
        <v>43039</v>
      </c>
      <c r="B96" s="448">
        <v>4258566.2291000001</v>
      </c>
      <c r="C96" s="449">
        <v>249.29999999999998</v>
      </c>
      <c r="D96" s="449">
        <v>0</v>
      </c>
      <c r="E96" s="449">
        <v>1</v>
      </c>
      <c r="F96" s="175">
        <v>31</v>
      </c>
      <c r="G96" s="442" t="e">
        <f>#REF!</f>
        <v>#REF!</v>
      </c>
      <c r="H96" s="162">
        <f t="shared" si="10"/>
        <v>3343.1432441972543</v>
      </c>
      <c r="I96" s="397"/>
      <c r="J96" s="160">
        <f>16*22</f>
        <v>352</v>
      </c>
      <c r="K96" s="444">
        <f t="shared" si="6"/>
        <v>4368890.0469474681</v>
      </c>
      <c r="L96" s="445">
        <f t="shared" si="7"/>
        <v>110323.81784746796</v>
      </c>
      <c r="M96" s="446">
        <f t="shared" si="8"/>
        <v>2.5906329011298166E-2</v>
      </c>
      <c r="N96" s="447">
        <f t="shared" si="9"/>
        <v>2.5906329011298166E-2</v>
      </c>
      <c r="P96" s="13"/>
      <c r="Q96" s="55"/>
      <c r="R96" s="55"/>
      <c r="S96" s="55"/>
      <c r="T96" s="55"/>
      <c r="U96" s="55"/>
      <c r="V96" s="55"/>
      <c r="W96" s="55"/>
      <c r="X96" s="55"/>
      <c r="Y96" s="55"/>
      <c r="Z96" s="31"/>
    </row>
    <row r="97" spans="1:26" ht="13" x14ac:dyDescent="0.3">
      <c r="A97" s="382">
        <v>43069</v>
      </c>
      <c r="B97" s="448">
        <v>5336611.5724299997</v>
      </c>
      <c r="C97" s="449">
        <v>599.70000000000005</v>
      </c>
      <c r="D97" s="449">
        <v>0</v>
      </c>
      <c r="E97" s="449">
        <v>1</v>
      </c>
      <c r="F97" s="175">
        <v>30</v>
      </c>
      <c r="G97" s="442" t="e">
        <f>#REF!</f>
        <v>#REF!</v>
      </c>
      <c r="H97" s="162">
        <f t="shared" si="10"/>
        <v>3343.0658793721409</v>
      </c>
      <c r="I97" s="397"/>
      <c r="J97" s="160">
        <f>16*22</f>
        <v>352</v>
      </c>
      <c r="K97" s="444">
        <f t="shared" si="6"/>
        <v>5523053.566528501</v>
      </c>
      <c r="L97" s="445">
        <f t="shared" si="7"/>
        <v>186441.99409850128</v>
      </c>
      <c r="M97" s="446">
        <f t="shared" si="8"/>
        <v>3.4936399542679443E-2</v>
      </c>
      <c r="N97" s="447">
        <f t="shared" si="9"/>
        <v>3.4936399542679443E-2</v>
      </c>
      <c r="P97" s="13"/>
      <c r="Q97" s="113"/>
      <c r="R97" s="113"/>
      <c r="S97" s="113"/>
      <c r="T97" s="113"/>
      <c r="U97" s="113"/>
      <c r="V97" s="113"/>
      <c r="W97" s="55"/>
      <c r="X97" s="55"/>
      <c r="Y97" s="55"/>
      <c r="Z97" s="31"/>
    </row>
    <row r="98" spans="1:26" x14ac:dyDescent="0.25">
      <c r="A98" s="382">
        <v>43100</v>
      </c>
      <c r="B98" s="448">
        <v>6958538.4178342856</v>
      </c>
      <c r="C98" s="449">
        <v>973.10000000000025</v>
      </c>
      <c r="D98" s="449">
        <v>0</v>
      </c>
      <c r="E98" s="449">
        <v>0</v>
      </c>
      <c r="F98" s="175">
        <v>31</v>
      </c>
      <c r="G98" s="442" t="e">
        <f>#REF!</f>
        <v>#REF!</v>
      </c>
      <c r="H98" s="162">
        <f t="shared" si="10"/>
        <v>3342.9852910126465</v>
      </c>
      <c r="I98" s="397"/>
      <c r="J98" s="160">
        <f>16*21</f>
        <v>336</v>
      </c>
      <c r="K98" s="444">
        <f t="shared" si="6"/>
        <v>7346456.1885025278</v>
      </c>
      <c r="L98" s="445">
        <f t="shared" si="7"/>
        <v>387917.77066824213</v>
      </c>
      <c r="M98" s="446">
        <f t="shared" si="8"/>
        <v>5.5747018608682808E-2</v>
      </c>
      <c r="N98" s="447">
        <f t="shared" si="9"/>
        <v>5.5747018608682808E-2</v>
      </c>
      <c r="P98" s="13"/>
      <c r="Q98" s="32"/>
      <c r="R98" s="32"/>
      <c r="S98" s="32"/>
      <c r="T98" s="32"/>
      <c r="U98" s="32"/>
      <c r="V98" s="32"/>
      <c r="W98" s="55"/>
      <c r="X98" s="55"/>
      <c r="Y98" s="55"/>
      <c r="Z98" s="31"/>
    </row>
    <row r="99" spans="1:26" s="362" customFormat="1" x14ac:dyDescent="0.25">
      <c r="A99" s="382">
        <v>43131</v>
      </c>
      <c r="B99" s="448">
        <v>7018037.2199457148</v>
      </c>
      <c r="C99" s="449">
        <v>927.59999999999991</v>
      </c>
      <c r="D99" s="449">
        <v>0</v>
      </c>
      <c r="E99" s="449">
        <v>0</v>
      </c>
      <c r="F99" s="175">
        <v>31</v>
      </c>
      <c r="G99" s="442"/>
      <c r="H99" s="162"/>
      <c r="I99" s="397"/>
      <c r="J99" s="160"/>
      <c r="K99" s="444">
        <f t="shared" si="6"/>
        <v>7184870.5263658725</v>
      </c>
      <c r="L99" s="445">
        <f t="shared" si="7"/>
        <v>166833.30642015766</v>
      </c>
      <c r="M99" s="446">
        <f t="shared" si="8"/>
        <v>2.3772074896668636E-2</v>
      </c>
      <c r="N99" s="447">
        <f t="shared" si="9"/>
        <v>2.3772074896668636E-2</v>
      </c>
      <c r="O99" s="437"/>
      <c r="P99" s="13"/>
      <c r="Q99" s="32"/>
      <c r="R99" s="32"/>
      <c r="S99" s="32"/>
      <c r="T99" s="32"/>
      <c r="U99" s="32"/>
      <c r="V99" s="32"/>
      <c r="W99" s="55"/>
      <c r="X99" s="55"/>
      <c r="Y99" s="55"/>
      <c r="Z99" s="31"/>
    </row>
    <row r="100" spans="1:26" s="362" customFormat="1" x14ac:dyDescent="0.25">
      <c r="A100" s="382">
        <v>43159</v>
      </c>
      <c r="B100" s="448">
        <v>6075931.1722399993</v>
      </c>
      <c r="C100" s="449">
        <v>756.5</v>
      </c>
      <c r="D100" s="449">
        <v>0</v>
      </c>
      <c r="E100" s="449">
        <v>0</v>
      </c>
      <c r="F100" s="175">
        <v>28</v>
      </c>
      <c r="G100" s="442"/>
      <c r="H100" s="162"/>
      <c r="I100" s="397"/>
      <c r="J100" s="160"/>
      <c r="K100" s="444">
        <f t="shared" si="6"/>
        <v>6306566.4734687228</v>
      </c>
      <c r="L100" s="445">
        <f t="shared" si="7"/>
        <v>230635.30122872349</v>
      </c>
      <c r="M100" s="446">
        <f t="shared" si="8"/>
        <v>3.7958840330920951E-2</v>
      </c>
      <c r="N100" s="447">
        <f t="shared" si="9"/>
        <v>3.7958840330920951E-2</v>
      </c>
      <c r="O100" s="437"/>
      <c r="P100" s="13"/>
      <c r="Q100" s="32"/>
      <c r="R100" s="32"/>
      <c r="S100" s="32"/>
      <c r="T100" s="32"/>
      <c r="U100" s="32"/>
      <c r="V100" s="32"/>
      <c r="W100" s="55"/>
      <c r="X100" s="55"/>
      <c r="Y100" s="55"/>
      <c r="Z100" s="31"/>
    </row>
    <row r="101" spans="1:26" s="362" customFormat="1" x14ac:dyDescent="0.25">
      <c r="A101" s="382">
        <v>43190</v>
      </c>
      <c r="B101" s="448">
        <v>5717922.6700799996</v>
      </c>
      <c r="C101" s="449">
        <v>720</v>
      </c>
      <c r="D101" s="449">
        <v>0</v>
      </c>
      <c r="E101" s="449">
        <v>1</v>
      </c>
      <c r="F101" s="175">
        <v>31</v>
      </c>
      <c r="G101" s="442"/>
      <c r="H101" s="162"/>
      <c r="I101" s="397"/>
      <c r="J101" s="160"/>
      <c r="K101" s="444">
        <f t="shared" si="6"/>
        <v>6040502.6000842303</v>
      </c>
      <c r="L101" s="445">
        <f t="shared" si="7"/>
        <v>322579.9300042307</v>
      </c>
      <c r="M101" s="446">
        <f t="shared" si="8"/>
        <v>5.6415581080203288E-2</v>
      </c>
      <c r="N101" s="447">
        <f t="shared" si="9"/>
        <v>5.6415581080203288E-2</v>
      </c>
      <c r="O101" s="437"/>
      <c r="P101" s="13"/>
      <c r="Q101" s="55"/>
      <c r="R101" s="55"/>
      <c r="S101" s="55"/>
      <c r="T101" s="55"/>
      <c r="U101" s="55"/>
      <c r="V101" s="55"/>
      <c r="W101" s="55"/>
      <c r="X101" s="55"/>
      <c r="Y101" s="55"/>
      <c r="Z101" s="31"/>
    </row>
    <row r="102" spans="1:26" s="362" customFormat="1" ht="13" x14ac:dyDescent="0.3">
      <c r="A102" s="382">
        <v>43220</v>
      </c>
      <c r="B102" s="448">
        <v>5277725.8641499998</v>
      </c>
      <c r="C102" s="449">
        <v>575.4</v>
      </c>
      <c r="D102" s="449">
        <v>0</v>
      </c>
      <c r="E102" s="449">
        <v>1</v>
      </c>
      <c r="F102" s="175">
        <v>30</v>
      </c>
      <c r="G102" s="442"/>
      <c r="H102" s="162"/>
      <c r="I102" s="397"/>
      <c r="J102" s="160"/>
      <c r="K102" s="444">
        <f t="shared" si="6"/>
        <v>5436756.1689478271</v>
      </c>
      <c r="L102" s="445">
        <f t="shared" si="7"/>
        <v>159030.30479782727</v>
      </c>
      <c r="M102" s="446">
        <f t="shared" si="8"/>
        <v>3.0132354141027325E-2</v>
      </c>
      <c r="N102" s="447">
        <f t="shared" si="9"/>
        <v>3.0132354141027325E-2</v>
      </c>
      <c r="O102" s="437"/>
      <c r="P102" s="13"/>
      <c r="Q102" s="113"/>
      <c r="R102" s="113"/>
      <c r="S102" s="113"/>
      <c r="T102" s="113"/>
      <c r="U102" s="113"/>
      <c r="V102" s="113"/>
      <c r="W102" s="113"/>
      <c r="X102" s="113"/>
      <c r="Y102" s="113"/>
      <c r="Z102" s="31"/>
    </row>
    <row r="103" spans="1:26" s="362" customFormat="1" x14ac:dyDescent="0.25">
      <c r="A103" s="382">
        <v>43251</v>
      </c>
      <c r="B103" s="448">
        <v>4044193.72</v>
      </c>
      <c r="C103" s="449">
        <v>162.80000000000001</v>
      </c>
      <c r="D103" s="449">
        <v>16.599999999999998</v>
      </c>
      <c r="E103" s="449">
        <v>1</v>
      </c>
      <c r="F103" s="175">
        <v>31</v>
      </c>
      <c r="G103" s="442"/>
      <c r="H103" s="162"/>
      <c r="I103" s="397"/>
      <c r="J103" s="160"/>
      <c r="K103" s="444">
        <f t="shared" si="6"/>
        <v>4190242.6635675374</v>
      </c>
      <c r="L103" s="445">
        <f t="shared" si="7"/>
        <v>146048.94356753724</v>
      </c>
      <c r="M103" s="446">
        <f t="shared" si="8"/>
        <v>3.6113241273599828E-2</v>
      </c>
      <c r="N103" s="447">
        <f t="shared" si="9"/>
        <v>3.6113241273599828E-2</v>
      </c>
      <c r="O103" s="437"/>
      <c r="P103" s="13"/>
      <c r="Q103" s="32"/>
      <c r="R103" s="471"/>
      <c r="S103" s="471"/>
      <c r="T103" s="32"/>
      <c r="U103" s="32"/>
      <c r="V103" s="471"/>
      <c r="W103" s="471"/>
      <c r="X103" s="471"/>
      <c r="Y103" s="471"/>
      <c r="Z103" s="31"/>
    </row>
    <row r="104" spans="1:26" s="362" customFormat="1" x14ac:dyDescent="0.25">
      <c r="A104" s="382">
        <v>43281</v>
      </c>
      <c r="B104" s="448">
        <v>3984888.89</v>
      </c>
      <c r="C104" s="449">
        <v>65.7</v>
      </c>
      <c r="D104" s="449">
        <v>22.5</v>
      </c>
      <c r="E104" s="449">
        <v>0</v>
      </c>
      <c r="F104" s="175">
        <v>30</v>
      </c>
      <c r="G104" s="442"/>
      <c r="H104" s="162"/>
      <c r="I104" s="397"/>
      <c r="J104" s="160"/>
      <c r="K104" s="444">
        <f t="shared" si="6"/>
        <v>4207982.6570167635</v>
      </c>
      <c r="L104" s="445">
        <f t="shared" si="7"/>
        <v>223093.76701676333</v>
      </c>
      <c r="M104" s="446">
        <f t="shared" si="8"/>
        <v>5.5984940402381791E-2</v>
      </c>
      <c r="N104" s="447">
        <f t="shared" si="9"/>
        <v>5.5984940402381791E-2</v>
      </c>
      <c r="O104" s="437"/>
      <c r="P104" s="13"/>
      <c r="Q104" s="32"/>
      <c r="R104" s="471"/>
      <c r="S104" s="471"/>
      <c r="T104" s="32"/>
      <c r="U104" s="32"/>
      <c r="V104" s="471"/>
      <c r="W104" s="471"/>
      <c r="X104" s="471"/>
      <c r="Y104" s="471"/>
      <c r="Z104" s="31"/>
    </row>
    <row r="105" spans="1:26" s="362" customFormat="1" x14ac:dyDescent="0.25">
      <c r="A105" s="382">
        <v>43312</v>
      </c>
      <c r="B105" s="448">
        <v>4578297.6500000004</v>
      </c>
      <c r="C105" s="449">
        <v>3.8</v>
      </c>
      <c r="D105" s="449">
        <v>78.900000000000006</v>
      </c>
      <c r="E105" s="449">
        <v>0</v>
      </c>
      <c r="F105" s="175">
        <v>31</v>
      </c>
      <c r="G105" s="442"/>
      <c r="H105" s="162"/>
      <c r="I105" s="397"/>
      <c r="J105" s="160"/>
      <c r="K105" s="444">
        <f t="shared" si="6"/>
        <v>4515115.0339125535</v>
      </c>
      <c r="L105" s="445">
        <f t="shared" si="7"/>
        <v>-63182.616087446921</v>
      </c>
      <c r="M105" s="446">
        <f t="shared" si="8"/>
        <v>-1.3800460546169801E-2</v>
      </c>
      <c r="N105" s="447">
        <f t="shared" si="9"/>
        <v>1.3800460546169801E-2</v>
      </c>
      <c r="O105" s="437"/>
      <c r="P105" s="13"/>
      <c r="Q105" s="32"/>
      <c r="R105" s="471"/>
      <c r="S105" s="471"/>
      <c r="T105" s="32"/>
      <c r="U105" s="32"/>
      <c r="V105" s="471"/>
      <c r="W105" s="471"/>
      <c r="X105" s="471"/>
      <c r="Y105" s="471"/>
      <c r="Z105" s="31"/>
    </row>
    <row r="106" spans="1:26" s="362" customFormat="1" x14ac:dyDescent="0.25">
      <c r="A106" s="382">
        <v>43343</v>
      </c>
      <c r="B106" s="448">
        <v>4530211.6500000004</v>
      </c>
      <c r="C106" s="449">
        <v>14.299999999999999</v>
      </c>
      <c r="D106" s="449">
        <v>61.70000000000001</v>
      </c>
      <c r="E106" s="449">
        <v>0</v>
      </c>
      <c r="F106" s="175">
        <v>31</v>
      </c>
      <c r="G106" s="442"/>
      <c r="H106" s="162"/>
      <c r="I106" s="397"/>
      <c r="J106" s="160"/>
      <c r="K106" s="444">
        <f t="shared" si="6"/>
        <v>4419214.9611158371</v>
      </c>
      <c r="L106" s="445">
        <f t="shared" si="7"/>
        <v>-110996.68888416328</v>
      </c>
      <c r="M106" s="446">
        <f t="shared" si="8"/>
        <v>-2.4501435575126664E-2</v>
      </c>
      <c r="N106" s="447">
        <f t="shared" si="9"/>
        <v>2.4501435575126664E-2</v>
      </c>
      <c r="O106" s="437"/>
      <c r="P106" s="13"/>
      <c r="Q106" s="32"/>
      <c r="R106" s="471"/>
      <c r="S106" s="471"/>
      <c r="T106" s="32"/>
      <c r="U106" s="32"/>
      <c r="V106" s="471"/>
      <c r="W106" s="471"/>
      <c r="X106" s="471"/>
      <c r="Y106" s="471"/>
      <c r="Z106" s="31"/>
    </row>
    <row r="107" spans="1:26" s="362" customFormat="1" x14ac:dyDescent="0.25">
      <c r="A107" s="382">
        <v>43373</v>
      </c>
      <c r="B107" s="448">
        <v>3945711.91</v>
      </c>
      <c r="C107" s="449">
        <v>136.4</v>
      </c>
      <c r="D107" s="449">
        <v>23.500000000000004</v>
      </c>
      <c r="E107" s="449">
        <v>1</v>
      </c>
      <c r="F107" s="175">
        <v>30</v>
      </c>
      <c r="G107" s="442"/>
      <c r="H107" s="162"/>
      <c r="I107" s="397"/>
      <c r="J107" s="160"/>
      <c r="K107" s="444">
        <f t="shared" si="6"/>
        <v>4059694.3203772511</v>
      </c>
      <c r="L107" s="445">
        <f t="shared" si="7"/>
        <v>113982.41037725098</v>
      </c>
      <c r="M107" s="446">
        <f t="shared" si="8"/>
        <v>2.8887666656142411E-2</v>
      </c>
      <c r="N107" s="447">
        <f t="shared" si="9"/>
        <v>2.8887666656142411E-2</v>
      </c>
      <c r="O107" s="437"/>
      <c r="P107" s="13"/>
      <c r="Q107" s="32"/>
      <c r="R107" s="471"/>
      <c r="S107" s="471"/>
      <c r="T107" s="32"/>
      <c r="U107" s="32"/>
      <c r="V107" s="471"/>
      <c r="W107" s="471"/>
      <c r="X107" s="471"/>
      <c r="Y107" s="471"/>
      <c r="Z107" s="31"/>
    </row>
    <row r="108" spans="1:26" s="362" customFormat="1" x14ac:dyDescent="0.25">
      <c r="A108" s="382">
        <v>43404</v>
      </c>
      <c r="B108" s="448">
        <v>4687618.5100000007</v>
      </c>
      <c r="C108" s="449">
        <v>438.90000000000003</v>
      </c>
      <c r="D108" s="449">
        <v>0</v>
      </c>
      <c r="E108" s="449">
        <v>1</v>
      </c>
      <c r="F108" s="175">
        <v>31</v>
      </c>
      <c r="G108" s="442"/>
      <c r="H108" s="162"/>
      <c r="I108" s="397"/>
      <c r="J108" s="160"/>
      <c r="K108" s="444">
        <f t="shared" si="6"/>
        <v>5042222.8280707533</v>
      </c>
      <c r="L108" s="445">
        <f t="shared" si="7"/>
        <v>354604.31807075255</v>
      </c>
      <c r="M108" s="446">
        <f t="shared" si="8"/>
        <v>7.5647008670667718E-2</v>
      </c>
      <c r="N108" s="447">
        <f t="shared" si="9"/>
        <v>7.5647008670667718E-2</v>
      </c>
      <c r="O108" s="437"/>
      <c r="P108" s="13"/>
      <c r="Q108"/>
      <c r="R108"/>
      <c r="S108"/>
      <c r="T108"/>
      <c r="U108"/>
      <c r="V108"/>
      <c r="W108"/>
      <c r="X108"/>
      <c r="Y108"/>
      <c r="Z108" s="31"/>
    </row>
    <row r="109" spans="1:26" s="362" customFormat="1" x14ac:dyDescent="0.25">
      <c r="A109" s="382">
        <v>43434</v>
      </c>
      <c r="B109" s="448">
        <v>5592501.0499999998</v>
      </c>
      <c r="C109" s="449">
        <v>666.00000000000011</v>
      </c>
      <c r="D109" s="449">
        <v>0</v>
      </c>
      <c r="E109" s="449">
        <v>1</v>
      </c>
      <c r="F109" s="175">
        <v>30</v>
      </c>
      <c r="G109" s="442"/>
      <c r="H109" s="162"/>
      <c r="I109" s="397"/>
      <c r="J109" s="160"/>
      <c r="K109" s="444">
        <f t="shared" si="6"/>
        <v>5758506.9599276241</v>
      </c>
      <c r="L109" s="445">
        <f t="shared" si="7"/>
        <v>166005.90992762428</v>
      </c>
      <c r="M109" s="446">
        <f t="shared" si="8"/>
        <v>2.9683661825619913E-2</v>
      </c>
      <c r="N109" s="447">
        <f t="shared" si="9"/>
        <v>2.9683661825619913E-2</v>
      </c>
      <c r="O109" s="437"/>
      <c r="P109" s="13"/>
      <c r="Q109"/>
      <c r="R109"/>
      <c r="S109"/>
      <c r="T109"/>
      <c r="U109"/>
      <c r="V109"/>
      <c r="W109"/>
      <c r="X109"/>
      <c r="Y109"/>
      <c r="Z109" s="31"/>
    </row>
    <row r="110" spans="1:26" s="362" customFormat="1" x14ac:dyDescent="0.25">
      <c r="A110" s="382">
        <v>43465</v>
      </c>
      <c r="B110" s="448">
        <v>6357092.2360000005</v>
      </c>
      <c r="C110" s="449">
        <v>786.40000000000009</v>
      </c>
      <c r="D110" s="449">
        <v>0</v>
      </c>
      <c r="E110" s="449">
        <v>0</v>
      </c>
      <c r="F110" s="175">
        <v>31</v>
      </c>
      <c r="G110" s="442"/>
      <c r="H110" s="162"/>
      <c r="I110" s="397"/>
      <c r="J110" s="160"/>
      <c r="K110" s="444">
        <f t="shared" si="6"/>
        <v>6683422.273757183</v>
      </c>
      <c r="L110" s="445">
        <f t="shared" si="7"/>
        <v>326330.03775718249</v>
      </c>
      <c r="M110" s="446">
        <f t="shared" si="8"/>
        <v>5.133322368821179E-2</v>
      </c>
      <c r="N110" s="447">
        <f t="shared" si="9"/>
        <v>5.133322368821179E-2</v>
      </c>
      <c r="O110" s="437"/>
      <c r="P110" s="13"/>
      <c r="Q110"/>
      <c r="R110"/>
      <c r="S110"/>
      <c r="T110"/>
      <c r="U110"/>
      <c r="V110"/>
      <c r="W110"/>
      <c r="X110"/>
      <c r="Y110"/>
      <c r="Z110" s="31"/>
    </row>
    <row r="111" spans="1:26" s="362" customFormat="1" x14ac:dyDescent="0.25">
      <c r="A111" s="382">
        <v>43496</v>
      </c>
      <c r="B111" s="448">
        <v>7328334.8000000007</v>
      </c>
      <c r="C111" s="449">
        <v>981.59999999999991</v>
      </c>
      <c r="D111" s="449">
        <v>0</v>
      </c>
      <c r="E111" s="449">
        <v>0</v>
      </c>
      <c r="F111" s="175">
        <v>31</v>
      </c>
      <c r="G111" s="442"/>
      <c r="H111" s="162"/>
      <c r="I111" s="397"/>
      <c r="J111" s="160"/>
      <c r="K111" s="444">
        <f t="shared" si="6"/>
        <v>7376642.5209895931</v>
      </c>
      <c r="L111" s="445">
        <f t="shared" si="7"/>
        <v>48307.720989592373</v>
      </c>
      <c r="M111" s="446">
        <f t="shared" si="8"/>
        <v>6.591909664060704E-3</v>
      </c>
      <c r="N111" s="447">
        <f t="shared" si="9"/>
        <v>6.591909664060704E-3</v>
      </c>
      <c r="O111" s="437"/>
      <c r="P111" s="13"/>
      <c r="Q111" s="31"/>
      <c r="R111" s="31"/>
      <c r="S111" s="31"/>
      <c r="T111" s="31"/>
      <c r="U111" s="31"/>
      <c r="V111" s="31"/>
      <c r="W111" s="31"/>
      <c r="Z111" s="31"/>
    </row>
    <row r="112" spans="1:26" s="362" customFormat="1" x14ac:dyDescent="0.25">
      <c r="A112" s="382">
        <v>43524</v>
      </c>
      <c r="B112" s="448">
        <v>6341293.6100000003</v>
      </c>
      <c r="C112" s="449">
        <v>846.90000000000009</v>
      </c>
      <c r="D112" s="449">
        <v>0</v>
      </c>
      <c r="E112" s="449">
        <v>0</v>
      </c>
      <c r="F112" s="175">
        <v>28</v>
      </c>
      <c r="G112" s="442"/>
      <c r="H112" s="162"/>
      <c r="I112" s="397"/>
      <c r="J112" s="160"/>
      <c r="K112" s="444">
        <f t="shared" si="6"/>
        <v>6627606.9978017658</v>
      </c>
      <c r="L112" s="445">
        <f t="shared" si="7"/>
        <v>286313.38780176546</v>
      </c>
      <c r="M112" s="446">
        <f t="shared" si="8"/>
        <v>4.5150627838814968E-2</v>
      </c>
      <c r="N112" s="447">
        <f t="shared" si="9"/>
        <v>4.5150627838814968E-2</v>
      </c>
      <c r="O112" s="437"/>
      <c r="P112" s="13"/>
      <c r="Q112" s="31"/>
      <c r="R112" s="31"/>
      <c r="S112" s="31"/>
      <c r="T112" s="31"/>
      <c r="U112" s="31"/>
      <c r="V112" s="31"/>
      <c r="W112" s="31"/>
      <c r="Z112" s="31"/>
    </row>
    <row r="113" spans="1:26" s="362" customFormat="1" x14ac:dyDescent="0.25">
      <c r="A113" s="382">
        <v>43555</v>
      </c>
      <c r="B113" s="448">
        <v>6193340.75</v>
      </c>
      <c r="C113" s="449">
        <v>737.9</v>
      </c>
      <c r="D113" s="449">
        <v>0</v>
      </c>
      <c r="E113" s="449">
        <v>1</v>
      </c>
      <c r="F113" s="175">
        <v>31</v>
      </c>
      <c r="G113" s="442"/>
      <c r="H113" s="162"/>
      <c r="I113" s="397"/>
      <c r="J113" s="160"/>
      <c r="K113" s="444">
        <f t="shared" si="6"/>
        <v>6104071.4649687596</v>
      </c>
      <c r="L113" s="445">
        <f t="shared" si="7"/>
        <v>-89269.285031240433</v>
      </c>
      <c r="M113" s="446">
        <f t="shared" si="8"/>
        <v>-1.4413753196324687E-2</v>
      </c>
      <c r="N113" s="447">
        <f t="shared" si="9"/>
        <v>1.4413753196324687E-2</v>
      </c>
      <c r="O113" s="437"/>
      <c r="P113" s="13"/>
      <c r="Q113" s="31"/>
      <c r="R113" s="31"/>
      <c r="S113" s="31"/>
      <c r="T113" s="31"/>
      <c r="U113" s="31"/>
      <c r="V113" s="31"/>
      <c r="W113" s="31"/>
      <c r="Z113" s="31"/>
    </row>
    <row r="114" spans="1:26" s="362" customFormat="1" x14ac:dyDescent="0.25">
      <c r="A114" s="382">
        <v>43585</v>
      </c>
      <c r="B114" s="448">
        <v>4929699.57</v>
      </c>
      <c r="C114" s="449">
        <v>462.7999999999999</v>
      </c>
      <c r="D114" s="449">
        <v>0</v>
      </c>
      <c r="E114" s="449">
        <v>1</v>
      </c>
      <c r="F114" s="175">
        <v>30</v>
      </c>
      <c r="G114" s="442"/>
      <c r="H114" s="162"/>
      <c r="I114" s="397"/>
      <c r="J114" s="160"/>
      <c r="K114" s="444">
        <f t="shared" si="6"/>
        <v>5036876.0468250317</v>
      </c>
      <c r="L114" s="445">
        <f t="shared" si="7"/>
        <v>107176.47682503145</v>
      </c>
      <c r="M114" s="446">
        <f t="shared" si="8"/>
        <v>2.1740975348124802E-2</v>
      </c>
      <c r="N114" s="447">
        <f t="shared" si="9"/>
        <v>2.1740975348124802E-2</v>
      </c>
      <c r="O114" s="437"/>
      <c r="P114" s="13"/>
      <c r="Q114" s="31"/>
      <c r="R114" s="31"/>
      <c r="S114" s="31"/>
      <c r="T114" s="31"/>
      <c r="U114" s="31"/>
      <c r="V114" s="31"/>
      <c r="W114" s="31"/>
      <c r="Z114" s="31"/>
    </row>
    <row r="115" spans="1:26" s="362" customFormat="1" x14ac:dyDescent="0.25">
      <c r="A115" s="382">
        <v>43616</v>
      </c>
      <c r="B115" s="448">
        <v>4252814.08</v>
      </c>
      <c r="C115" s="449">
        <v>276.70000000000005</v>
      </c>
      <c r="D115" s="449">
        <v>0</v>
      </c>
      <c r="E115" s="449">
        <v>1</v>
      </c>
      <c r="F115" s="175">
        <v>31</v>
      </c>
      <c r="G115" s="442"/>
      <c r="H115" s="162"/>
      <c r="I115" s="397"/>
      <c r="J115" s="160"/>
      <c r="K115" s="444">
        <f t="shared" si="6"/>
        <v>4466196.5775528383</v>
      </c>
      <c r="L115" s="445">
        <f t="shared" si="7"/>
        <v>213382.49755283818</v>
      </c>
      <c r="M115" s="446">
        <f t="shared" si="8"/>
        <v>5.0174424166889088E-2</v>
      </c>
      <c r="N115" s="447">
        <f t="shared" si="9"/>
        <v>5.0174424166889088E-2</v>
      </c>
      <c r="O115" s="437"/>
      <c r="P115" s="13"/>
      <c r="Q115" s="31"/>
      <c r="R115" s="31"/>
      <c r="S115" s="31"/>
      <c r="T115" s="31"/>
      <c r="U115" s="31"/>
      <c r="V115" s="31"/>
      <c r="W115" s="31"/>
      <c r="Z115" s="31"/>
    </row>
    <row r="116" spans="1:26" s="362" customFormat="1" x14ac:dyDescent="0.25">
      <c r="A116" s="382">
        <v>43646</v>
      </c>
      <c r="B116" s="448">
        <v>3903992.2800000003</v>
      </c>
      <c r="C116" s="449">
        <v>74.600000000000009</v>
      </c>
      <c r="D116" s="449">
        <v>11.7</v>
      </c>
      <c r="E116" s="449">
        <v>0</v>
      </c>
      <c r="F116" s="175">
        <v>30</v>
      </c>
      <c r="G116" s="442"/>
      <c r="H116" s="162"/>
      <c r="I116" s="397"/>
      <c r="J116" s="160"/>
      <c r="K116" s="444">
        <f t="shared" si="6"/>
        <v>4155959.1754185976</v>
      </c>
      <c r="L116" s="445">
        <f t="shared" si="7"/>
        <v>251966.89541859739</v>
      </c>
      <c r="M116" s="446">
        <f t="shared" si="8"/>
        <v>6.4540828297590114E-2</v>
      </c>
      <c r="N116" s="447">
        <f t="shared" si="9"/>
        <v>6.4540828297590114E-2</v>
      </c>
      <c r="O116" s="437"/>
      <c r="P116" s="13"/>
      <c r="Q116" s="31"/>
      <c r="R116" s="31"/>
      <c r="S116" s="31"/>
      <c r="T116" s="31"/>
      <c r="U116" s="31"/>
      <c r="V116" s="31"/>
      <c r="W116" s="31"/>
      <c r="Z116" s="31"/>
    </row>
    <row r="117" spans="1:26" s="362" customFormat="1" x14ac:dyDescent="0.25">
      <c r="A117" s="382">
        <v>43677</v>
      </c>
      <c r="B117" s="448">
        <v>4526241.7299999995</v>
      </c>
      <c r="C117" s="449">
        <v>4.5</v>
      </c>
      <c r="D117" s="449">
        <v>70.099999999999994</v>
      </c>
      <c r="E117" s="449">
        <v>0</v>
      </c>
      <c r="F117" s="175">
        <v>31</v>
      </c>
      <c r="G117" s="442"/>
      <c r="H117" s="162"/>
      <c r="I117" s="397"/>
      <c r="J117" s="160"/>
      <c r="K117" s="444">
        <f t="shared" si="6"/>
        <v>4449457.7211638866</v>
      </c>
      <c r="L117" s="445">
        <f t="shared" si="7"/>
        <v>-76784.008836112916</v>
      </c>
      <c r="M117" s="446">
        <f t="shared" si="8"/>
        <v>-1.6964186496533609E-2</v>
      </c>
      <c r="N117" s="447">
        <f t="shared" si="9"/>
        <v>1.6964186496533609E-2</v>
      </c>
      <c r="O117" s="437"/>
      <c r="P117" s="13"/>
      <c r="Q117" s="31"/>
      <c r="R117" s="31"/>
      <c r="S117" s="31"/>
      <c r="T117" s="31"/>
      <c r="U117" s="31"/>
      <c r="V117" s="31"/>
      <c r="W117" s="31"/>
      <c r="Z117" s="31"/>
    </row>
    <row r="118" spans="1:26" s="362" customFormat="1" x14ac:dyDescent="0.25">
      <c r="A118" s="382">
        <v>43708</v>
      </c>
      <c r="B118" s="448">
        <v>4170748.9699999997</v>
      </c>
      <c r="C118" s="449">
        <v>37.399999999999991</v>
      </c>
      <c r="D118" s="449">
        <v>20.6</v>
      </c>
      <c r="E118" s="449">
        <v>0</v>
      </c>
      <c r="F118" s="175">
        <v>31</v>
      </c>
      <c r="G118" s="442"/>
      <c r="H118" s="162"/>
      <c r="I118" s="397"/>
      <c r="J118" s="160"/>
      <c r="K118" s="444">
        <f t="shared" si="6"/>
        <v>4182990.825735773</v>
      </c>
      <c r="L118" s="445">
        <f t="shared" si="7"/>
        <v>12241.855735773221</v>
      </c>
      <c r="M118" s="446">
        <f t="shared" si="8"/>
        <v>2.9351696359163093E-3</v>
      </c>
      <c r="N118" s="447">
        <f t="shared" si="9"/>
        <v>2.9351696359163093E-3</v>
      </c>
      <c r="O118" s="437"/>
      <c r="P118" s="13"/>
      <c r="Q118" s="31"/>
      <c r="R118" s="31"/>
      <c r="S118" s="31"/>
      <c r="T118" s="31"/>
      <c r="U118" s="31"/>
      <c r="V118" s="31"/>
      <c r="W118" s="31"/>
      <c r="Z118" s="31"/>
    </row>
    <row r="119" spans="1:26" s="362" customFormat="1" x14ac:dyDescent="0.25">
      <c r="A119" s="382">
        <v>43738</v>
      </c>
      <c r="B119" s="448">
        <v>3744253</v>
      </c>
      <c r="C119" s="449">
        <v>137.80000000000001</v>
      </c>
      <c r="D119" s="449">
        <v>1.8</v>
      </c>
      <c r="E119" s="449">
        <v>1</v>
      </c>
      <c r="F119" s="175">
        <v>30</v>
      </c>
      <c r="G119" s="442"/>
      <c r="H119" s="162"/>
      <c r="I119" s="397"/>
      <c r="J119" s="160"/>
      <c r="K119" s="444">
        <f t="shared" si="6"/>
        <v>3896631.1370787281</v>
      </c>
      <c r="L119" s="445">
        <f t="shared" si="7"/>
        <v>152378.13707872806</v>
      </c>
      <c r="M119" s="446">
        <f t="shared" si="8"/>
        <v>4.0696538689754154E-2</v>
      </c>
      <c r="N119" s="447">
        <f t="shared" si="9"/>
        <v>4.0696538689754154E-2</v>
      </c>
      <c r="O119" s="437"/>
      <c r="P119" s="13"/>
      <c r="Q119" s="31"/>
      <c r="R119" s="31"/>
      <c r="S119" s="31"/>
      <c r="T119" s="31"/>
      <c r="U119" s="31"/>
      <c r="V119" s="31"/>
      <c r="W119" s="31"/>
      <c r="Z119" s="31"/>
    </row>
    <row r="120" spans="1:26" s="362" customFormat="1" x14ac:dyDescent="0.25">
      <c r="A120" s="382">
        <v>43769</v>
      </c>
      <c r="B120" s="448">
        <v>4465899.5</v>
      </c>
      <c r="C120" s="449">
        <v>295.89999999999998</v>
      </c>
      <c r="D120" s="449">
        <v>0</v>
      </c>
      <c r="E120" s="449">
        <v>1</v>
      </c>
      <c r="F120" s="175">
        <v>31</v>
      </c>
      <c r="G120" s="442"/>
      <c r="H120" s="162"/>
      <c r="I120" s="397"/>
      <c r="J120" s="160"/>
      <c r="K120" s="444">
        <f t="shared" si="6"/>
        <v>4534382.1756412713</v>
      </c>
      <c r="L120" s="445">
        <f t="shared" si="7"/>
        <v>68482.675641271286</v>
      </c>
      <c r="M120" s="446">
        <f t="shared" si="8"/>
        <v>1.5334576078407337E-2</v>
      </c>
      <c r="N120" s="447">
        <f t="shared" si="9"/>
        <v>1.5334576078407337E-2</v>
      </c>
      <c r="O120" s="437"/>
      <c r="P120" s="13"/>
      <c r="Q120" s="31"/>
      <c r="R120" s="31"/>
      <c r="S120" s="31"/>
      <c r="T120" s="31"/>
      <c r="U120" s="31"/>
      <c r="V120" s="31"/>
      <c r="W120" s="31"/>
      <c r="Z120" s="31"/>
    </row>
    <row r="121" spans="1:26" s="362" customFormat="1" x14ac:dyDescent="0.25">
      <c r="A121" s="382">
        <v>43799</v>
      </c>
      <c r="B121" s="448">
        <v>5691780</v>
      </c>
      <c r="C121" s="449">
        <v>572.9</v>
      </c>
      <c r="D121" s="449">
        <v>0</v>
      </c>
      <c r="E121" s="449">
        <v>1</v>
      </c>
      <c r="F121" s="175">
        <v>30</v>
      </c>
      <c r="G121" s="442"/>
      <c r="H121" s="162"/>
      <c r="I121" s="397"/>
      <c r="J121" s="160"/>
      <c r="K121" s="444">
        <f t="shared" si="6"/>
        <v>5427877.8358633947</v>
      </c>
      <c r="L121" s="445">
        <f t="shared" si="7"/>
        <v>-263902.16413660534</v>
      </c>
      <c r="M121" s="446">
        <f t="shared" si="8"/>
        <v>-4.6365489203132472E-2</v>
      </c>
      <c r="N121" s="447">
        <f t="shared" si="9"/>
        <v>4.6365489203132472E-2</v>
      </c>
      <c r="O121" s="437"/>
      <c r="P121" s="13"/>
      <c r="Q121" s="31"/>
      <c r="R121" s="31"/>
      <c r="S121" s="31"/>
      <c r="T121" s="31"/>
      <c r="U121" s="31"/>
      <c r="V121" s="31"/>
      <c r="W121" s="31"/>
      <c r="Z121" s="31"/>
    </row>
    <row r="122" spans="1:26" s="362" customFormat="1" x14ac:dyDescent="0.25">
      <c r="A122" s="382">
        <v>43830</v>
      </c>
      <c r="B122" s="448">
        <v>6502362.6191428574</v>
      </c>
      <c r="C122" s="449">
        <v>735.69999999999993</v>
      </c>
      <c r="D122" s="449">
        <v>0</v>
      </c>
      <c r="E122" s="449">
        <v>0</v>
      </c>
      <c r="F122" s="175">
        <v>31</v>
      </c>
      <c r="G122" s="442"/>
      <c r="H122" s="162"/>
      <c r="I122" s="397"/>
      <c r="J122" s="160"/>
      <c r="K122" s="444">
        <f t="shared" si="6"/>
        <v>6503369.6788049117</v>
      </c>
      <c r="L122" s="445">
        <f t="shared" si="7"/>
        <v>1007.0596620542929</v>
      </c>
      <c r="M122" s="446">
        <f t="shared" si="8"/>
        <v>1.5487596140663156E-4</v>
      </c>
      <c r="N122" s="447">
        <f t="shared" si="9"/>
        <v>1.5487596140663156E-4</v>
      </c>
      <c r="O122" s="437"/>
      <c r="P122" s="13"/>
      <c r="Q122" s="31"/>
      <c r="R122" s="31"/>
      <c r="S122" s="31"/>
      <c r="T122" s="31"/>
      <c r="U122" s="31"/>
      <c r="V122" s="31"/>
      <c r="W122" s="31"/>
      <c r="Z122" s="31"/>
    </row>
    <row r="123" spans="1:26" s="362" customFormat="1" x14ac:dyDescent="0.25">
      <c r="A123" s="382">
        <v>43861</v>
      </c>
      <c r="B123" s="448"/>
      <c r="C123" s="449">
        <f t="shared" ref="C123:E134" si="11">(C3+C15+C27+C39+C51+C63+C75+C87+C99+C111)/10</f>
        <v>932.51</v>
      </c>
      <c r="D123" s="449">
        <f t="shared" si="11"/>
        <v>0</v>
      </c>
      <c r="E123" s="449">
        <f t="shared" si="11"/>
        <v>0</v>
      </c>
      <c r="F123" s="175">
        <v>31</v>
      </c>
      <c r="G123" s="442"/>
      <c r="H123" s="162"/>
      <c r="I123" s="397"/>
      <c r="J123" s="160"/>
      <c r="K123" s="444">
        <f t="shared" si="6"/>
        <v>7202307.5725436965</v>
      </c>
      <c r="L123" s="445"/>
      <c r="M123" s="446"/>
      <c r="N123" s="447"/>
      <c r="O123"/>
      <c r="P123"/>
      <c r="Q123" s="31"/>
      <c r="R123" s="31"/>
      <c r="S123" s="31"/>
      <c r="T123" s="31"/>
      <c r="U123" s="31"/>
      <c r="V123" s="31"/>
      <c r="W123" s="31"/>
      <c r="Z123" s="31"/>
    </row>
    <row r="124" spans="1:26" s="362" customFormat="1" x14ac:dyDescent="0.25">
      <c r="A124" s="382">
        <v>43890</v>
      </c>
      <c r="B124" s="448"/>
      <c r="C124" s="449">
        <f t="shared" si="11"/>
        <v>818.46</v>
      </c>
      <c r="D124" s="449">
        <f t="shared" si="11"/>
        <v>0</v>
      </c>
      <c r="E124" s="449">
        <f t="shared" si="11"/>
        <v>0</v>
      </c>
      <c r="F124" s="175">
        <v>29</v>
      </c>
      <c r="G124" s="442"/>
      <c r="H124" s="162"/>
      <c r="I124" s="397"/>
      <c r="J124" s="160"/>
      <c r="K124" s="444">
        <f t="shared" si="6"/>
        <v>6616830.7261661589</v>
      </c>
      <c r="L124" s="445"/>
      <c r="M124" s="446"/>
      <c r="N124" s="447"/>
      <c r="O124"/>
      <c r="P124"/>
      <c r="Q124" s="31"/>
      <c r="R124" s="31"/>
      <c r="S124" s="31"/>
      <c r="T124" s="31"/>
      <c r="U124" s="31"/>
      <c r="V124" s="31"/>
      <c r="W124" s="31"/>
      <c r="Z124" s="31"/>
    </row>
    <row r="125" spans="1:26" s="362" customFormat="1" x14ac:dyDescent="0.25">
      <c r="A125" s="382">
        <v>43921</v>
      </c>
      <c r="B125" s="448"/>
      <c r="C125" s="449">
        <f t="shared" si="11"/>
        <v>703.27999999999986</v>
      </c>
      <c r="D125" s="449">
        <f t="shared" si="11"/>
        <v>0</v>
      </c>
      <c r="E125" s="449">
        <f t="shared" si="11"/>
        <v>1</v>
      </c>
      <c r="F125" s="175">
        <v>31</v>
      </c>
      <c r="G125" s="442"/>
      <c r="H125" s="162"/>
      <c r="I125" s="397"/>
      <c r="J125" s="160"/>
      <c r="K125" s="444">
        <f t="shared" si="6"/>
        <v>5981124.3084155526</v>
      </c>
      <c r="L125" s="445"/>
      <c r="M125" s="446"/>
      <c r="N125" s="447"/>
      <c r="O125"/>
      <c r="P125"/>
      <c r="Q125" s="31"/>
      <c r="R125" s="31"/>
      <c r="S125" s="31"/>
      <c r="T125" s="31"/>
      <c r="U125" s="31"/>
      <c r="V125" s="31"/>
      <c r="W125" s="31"/>
      <c r="Z125" s="31"/>
    </row>
    <row r="126" spans="1:26" s="362" customFormat="1" x14ac:dyDescent="0.25">
      <c r="A126" s="382">
        <v>43951</v>
      </c>
      <c r="B126" s="448"/>
      <c r="C126" s="449">
        <f t="shared" si="11"/>
        <v>448.57000000000005</v>
      </c>
      <c r="D126" s="449">
        <f t="shared" si="11"/>
        <v>0</v>
      </c>
      <c r="E126" s="449">
        <f t="shared" si="11"/>
        <v>1</v>
      </c>
      <c r="F126" s="175">
        <v>30</v>
      </c>
      <c r="G126" s="442"/>
      <c r="H126" s="162"/>
      <c r="I126" s="397"/>
      <c r="J126" s="160"/>
      <c r="K126" s="444">
        <f t="shared" si="6"/>
        <v>4986340.5749084484</v>
      </c>
      <c r="L126" s="445"/>
      <c r="M126" s="446"/>
      <c r="N126" s="447"/>
      <c r="O126"/>
      <c r="P126"/>
      <c r="Q126" s="31"/>
      <c r="R126" s="31"/>
      <c r="S126" s="31"/>
      <c r="T126" s="31"/>
      <c r="U126" s="31"/>
      <c r="V126" s="31"/>
      <c r="W126" s="31"/>
      <c r="Z126" s="31"/>
    </row>
    <row r="127" spans="1:26" s="362" customFormat="1" x14ac:dyDescent="0.25">
      <c r="A127" s="382">
        <v>43982</v>
      </c>
      <c r="B127" s="448"/>
      <c r="C127" s="449">
        <f t="shared" si="11"/>
        <v>189.26</v>
      </c>
      <c r="D127" s="449">
        <f t="shared" si="11"/>
        <v>9.2199999999999989</v>
      </c>
      <c r="E127" s="449">
        <f t="shared" si="11"/>
        <v>1</v>
      </c>
      <c r="F127" s="175">
        <v>31</v>
      </c>
      <c r="G127" s="442"/>
      <c r="H127" s="162"/>
      <c r="I127" s="397"/>
      <c r="J127" s="160"/>
      <c r="K127" s="444">
        <f t="shared" si="6"/>
        <v>4227063.5368910208</v>
      </c>
      <c r="L127" s="445"/>
      <c r="M127" s="446"/>
      <c r="N127" s="447"/>
      <c r="O127"/>
      <c r="P127"/>
      <c r="Q127" s="31"/>
      <c r="R127" s="31"/>
      <c r="S127" s="31"/>
      <c r="T127" s="31"/>
      <c r="U127" s="31"/>
      <c r="V127" s="31"/>
      <c r="W127" s="31"/>
      <c r="Z127" s="31"/>
    </row>
    <row r="128" spans="1:26" s="362" customFormat="1" x14ac:dyDescent="0.25">
      <c r="A128" s="382">
        <v>44012</v>
      </c>
      <c r="B128" s="448"/>
      <c r="C128" s="449">
        <f t="shared" si="11"/>
        <v>65.79000000000002</v>
      </c>
      <c r="D128" s="449">
        <f t="shared" si="11"/>
        <v>18.669999999999998</v>
      </c>
      <c r="E128" s="449">
        <f t="shared" si="11"/>
        <v>0</v>
      </c>
      <c r="F128" s="175">
        <v>30</v>
      </c>
      <c r="G128" s="442"/>
      <c r="H128" s="162"/>
      <c r="I128" s="397"/>
      <c r="J128" s="160"/>
      <c r="K128" s="444">
        <f t="shared" si="6"/>
        <v>4178644.4778910829</v>
      </c>
      <c r="L128" s="445"/>
      <c r="M128" s="446"/>
      <c r="N128" s="447"/>
      <c r="O128"/>
      <c r="P128"/>
      <c r="Q128" s="31"/>
      <c r="R128" s="31"/>
      <c r="S128" s="31"/>
      <c r="T128" s="31"/>
      <c r="U128" s="31"/>
      <c r="V128" s="31"/>
      <c r="W128" s="31"/>
      <c r="Z128" s="31"/>
    </row>
    <row r="129" spans="1:26" s="362" customFormat="1" x14ac:dyDescent="0.25">
      <c r="A129" s="382">
        <v>44043</v>
      </c>
      <c r="B129" s="448"/>
      <c r="C129" s="449">
        <f t="shared" si="11"/>
        <v>18.400000000000002</v>
      </c>
      <c r="D129" s="449">
        <f t="shared" si="11"/>
        <v>68.429999999999993</v>
      </c>
      <c r="E129" s="449">
        <f t="shared" si="11"/>
        <v>0</v>
      </c>
      <c r="F129" s="175">
        <v>31</v>
      </c>
      <c r="G129" s="442"/>
      <c r="H129" s="162"/>
      <c r="I129" s="397"/>
      <c r="J129" s="160"/>
      <c r="K129" s="444">
        <f t="shared" si="6"/>
        <v>4485889.5234723538</v>
      </c>
      <c r="L129" s="445"/>
      <c r="M129" s="446"/>
      <c r="N129" s="447"/>
      <c r="O129"/>
      <c r="P129"/>
      <c r="Q129" s="31"/>
      <c r="R129" s="31"/>
      <c r="S129" s="31"/>
      <c r="T129" s="31"/>
      <c r="U129" s="31"/>
      <c r="V129" s="31"/>
      <c r="W129" s="31"/>
      <c r="Z129" s="31"/>
    </row>
    <row r="130" spans="1:26" s="362" customFormat="1" x14ac:dyDescent="0.25">
      <c r="A130" s="382">
        <v>44074</v>
      </c>
      <c r="B130" s="448"/>
      <c r="C130" s="449">
        <f t="shared" si="11"/>
        <v>34.26</v>
      </c>
      <c r="D130" s="449">
        <f t="shared" si="11"/>
        <v>42.710000000000008</v>
      </c>
      <c r="E130" s="449">
        <f t="shared" si="11"/>
        <v>0</v>
      </c>
      <c r="F130" s="175">
        <v>31</v>
      </c>
      <c r="G130" s="442"/>
      <c r="H130" s="162"/>
      <c r="I130" s="397"/>
      <c r="J130" s="160"/>
      <c r="K130" s="444">
        <f t="shared" si="6"/>
        <v>4343049.5449876506</v>
      </c>
      <c r="L130" s="445"/>
      <c r="M130" s="446"/>
      <c r="N130" s="447"/>
      <c r="O130"/>
      <c r="P130"/>
      <c r="Q130" s="31"/>
      <c r="R130" s="31"/>
      <c r="S130" s="31"/>
      <c r="T130" s="31"/>
      <c r="U130" s="31"/>
      <c r="V130" s="31"/>
      <c r="W130" s="31"/>
      <c r="Z130" s="31"/>
    </row>
    <row r="131" spans="1:26" s="362" customFormat="1" x14ac:dyDescent="0.25">
      <c r="A131" s="382">
        <v>44104</v>
      </c>
      <c r="B131" s="448"/>
      <c r="C131" s="449">
        <f t="shared" si="11"/>
        <v>135.46</v>
      </c>
      <c r="D131" s="449">
        <f t="shared" si="11"/>
        <v>15.030000000000001</v>
      </c>
      <c r="E131" s="449">
        <f t="shared" si="11"/>
        <v>1</v>
      </c>
      <c r="F131" s="175">
        <v>30</v>
      </c>
      <c r="G131" s="442"/>
      <c r="H131" s="162"/>
      <c r="I131" s="397"/>
      <c r="J131" s="160"/>
      <c r="K131" s="444">
        <f t="shared" si="6"/>
        <v>3990768.1928506587</v>
      </c>
      <c r="L131" s="445"/>
      <c r="M131" s="446"/>
      <c r="N131" s="447"/>
      <c r="O131"/>
      <c r="P131"/>
      <c r="Q131" s="31"/>
      <c r="R131" s="31"/>
      <c r="S131" s="31"/>
      <c r="T131" s="31"/>
      <c r="U131" s="31"/>
      <c r="V131" s="31"/>
      <c r="W131" s="31"/>
      <c r="Z131" s="31"/>
    </row>
    <row r="132" spans="1:26" s="362" customFormat="1" x14ac:dyDescent="0.25">
      <c r="A132" s="382">
        <v>44135</v>
      </c>
      <c r="B132" s="448"/>
      <c r="C132" s="449">
        <f t="shared" si="11"/>
        <v>341.62</v>
      </c>
      <c r="D132" s="449">
        <f t="shared" si="11"/>
        <v>0.1</v>
      </c>
      <c r="E132" s="449">
        <f t="shared" si="11"/>
        <v>1</v>
      </c>
      <c r="F132" s="175">
        <v>31</v>
      </c>
      <c r="G132" s="442"/>
      <c r="H132" s="162"/>
      <c r="I132" s="397"/>
      <c r="J132" s="160"/>
      <c r="K132" s="444">
        <f t="shared" ref="K132:K146" si="12">$R$41+C132*$R$42+D132*$R$43+E132*$R$44+F132*$R$45</f>
        <v>4697523.4861576762</v>
      </c>
      <c r="L132" s="445"/>
      <c r="M132" s="446"/>
      <c r="N132" s="447"/>
      <c r="O132"/>
      <c r="P132"/>
      <c r="Q132" s="31"/>
      <c r="R132" s="31"/>
      <c r="S132" s="31"/>
      <c r="T132" s="31"/>
      <c r="U132" s="31"/>
      <c r="V132" s="31"/>
      <c r="W132" s="31"/>
      <c r="Z132" s="31"/>
    </row>
    <row r="133" spans="1:26" s="362" customFormat="1" x14ac:dyDescent="0.25">
      <c r="A133" s="382">
        <v>44165</v>
      </c>
      <c r="B133" s="448"/>
      <c r="C133" s="449">
        <f t="shared" si="11"/>
        <v>565.70000000000005</v>
      </c>
      <c r="D133" s="449">
        <f t="shared" si="11"/>
        <v>0</v>
      </c>
      <c r="E133" s="449">
        <f t="shared" si="11"/>
        <v>1</v>
      </c>
      <c r="F133" s="175">
        <v>30</v>
      </c>
      <c r="G133" s="442"/>
      <c r="H133" s="162"/>
      <c r="I133" s="397"/>
      <c r="J133" s="160"/>
      <c r="K133" s="444">
        <f t="shared" si="12"/>
        <v>5402308.2365802322</v>
      </c>
      <c r="L133" s="445"/>
      <c r="M133" s="446"/>
      <c r="N133" s="447"/>
      <c r="O133"/>
      <c r="P133"/>
      <c r="Q133" s="31"/>
      <c r="R133" s="31"/>
      <c r="S133" s="31"/>
      <c r="T133" s="31"/>
      <c r="U133" s="31"/>
      <c r="V133" s="31"/>
      <c r="W133" s="31"/>
      <c r="Z133" s="31"/>
    </row>
    <row r="134" spans="1:26" s="362" customFormat="1" x14ac:dyDescent="0.25">
      <c r="A134" s="382">
        <v>44196</v>
      </c>
      <c r="B134" s="454"/>
      <c r="C134" s="449">
        <f t="shared" si="11"/>
        <v>799.21000000000015</v>
      </c>
      <c r="D134" s="449">
        <f t="shared" si="11"/>
        <v>0</v>
      </c>
      <c r="E134" s="449">
        <f t="shared" si="11"/>
        <v>0</v>
      </c>
      <c r="F134" s="175">
        <v>31</v>
      </c>
      <c r="G134" s="442"/>
      <c r="H134" s="162"/>
      <c r="I134" s="397"/>
      <c r="J134" s="160"/>
      <c r="K134" s="444">
        <f t="shared" si="12"/>
        <v>6728914.8524818104</v>
      </c>
      <c r="L134" s="445"/>
      <c r="M134" s="446"/>
      <c r="N134" s="447"/>
      <c r="O134"/>
      <c r="P134"/>
      <c r="Q134" s="31"/>
      <c r="R134" s="31"/>
      <c r="S134" s="31"/>
      <c r="T134" s="31"/>
      <c r="U134" s="31"/>
      <c r="V134" s="31"/>
      <c r="W134" s="31"/>
      <c r="Z134" s="31"/>
    </row>
    <row r="135" spans="1:26" s="362" customFormat="1" x14ac:dyDescent="0.25">
      <c r="A135" s="452">
        <v>44227</v>
      </c>
      <c r="B135" s="434"/>
      <c r="C135" s="435">
        <f>C123</f>
        <v>932.51</v>
      </c>
      <c r="D135" s="435">
        <f>D123</f>
        <v>0</v>
      </c>
      <c r="E135" s="435">
        <f>E123</f>
        <v>0</v>
      </c>
      <c r="F135" s="453">
        <v>31</v>
      </c>
      <c r="G135" s="442"/>
      <c r="H135" s="162"/>
      <c r="I135" s="397"/>
      <c r="J135" s="160"/>
      <c r="K135" s="444">
        <f t="shared" si="12"/>
        <v>7202307.5725436965</v>
      </c>
      <c r="L135" s="445"/>
      <c r="M135" s="446"/>
      <c r="N135" s="447"/>
      <c r="O135" s="437"/>
      <c r="P135" s="13"/>
      <c r="Q135" s="31"/>
      <c r="R135" s="31"/>
      <c r="S135" s="31"/>
      <c r="T135" s="31"/>
      <c r="U135" s="31"/>
      <c r="V135" s="31"/>
      <c r="W135" s="31"/>
      <c r="Z135" s="31"/>
    </row>
    <row r="136" spans="1:26" s="362" customFormat="1" x14ac:dyDescent="0.25">
      <c r="A136" s="452">
        <v>44255</v>
      </c>
      <c r="B136" s="434"/>
      <c r="C136" s="435">
        <f t="shared" ref="C136:E136" si="13">C124</f>
        <v>818.46</v>
      </c>
      <c r="D136" s="435">
        <f t="shared" si="13"/>
        <v>0</v>
      </c>
      <c r="E136" s="435">
        <f t="shared" si="13"/>
        <v>0</v>
      </c>
      <c r="F136" s="453">
        <v>28</v>
      </c>
      <c r="G136" s="442"/>
      <c r="H136" s="162"/>
      <c r="I136" s="397"/>
      <c r="J136" s="160"/>
      <c r="K136" s="444">
        <f t="shared" si="12"/>
        <v>6526607.0806332733</v>
      </c>
      <c r="L136" s="445"/>
      <c r="M136" s="446"/>
      <c r="N136" s="447"/>
      <c r="O136" s="437"/>
      <c r="P136" s="13"/>
      <c r="Q136" s="31"/>
      <c r="R136" s="31"/>
      <c r="S136" s="31"/>
      <c r="T136" s="31"/>
      <c r="U136" s="31"/>
      <c r="V136" s="31"/>
      <c r="W136" s="31"/>
      <c r="Z136" s="31"/>
    </row>
    <row r="137" spans="1:26" s="362" customFormat="1" x14ac:dyDescent="0.25">
      <c r="A137" s="452">
        <v>44286</v>
      </c>
      <c r="B137" s="434"/>
      <c r="C137" s="435">
        <f t="shared" ref="C137:E137" si="14">C125</f>
        <v>703.27999999999986</v>
      </c>
      <c r="D137" s="435">
        <f t="shared" si="14"/>
        <v>0</v>
      </c>
      <c r="E137" s="435">
        <f t="shared" si="14"/>
        <v>1</v>
      </c>
      <c r="F137" s="453">
        <v>31</v>
      </c>
      <c r="G137" s="442"/>
      <c r="H137" s="162"/>
      <c r="I137" s="397"/>
      <c r="J137" s="160"/>
      <c r="K137" s="444">
        <f t="shared" si="12"/>
        <v>5981124.3084155526</v>
      </c>
      <c r="L137" s="445"/>
      <c r="M137" s="446"/>
      <c r="N137" s="447"/>
      <c r="O137" s="437"/>
      <c r="P137" s="13"/>
      <c r="Q137" s="31"/>
      <c r="R137" s="31"/>
      <c r="S137" s="31"/>
      <c r="T137" s="31"/>
      <c r="U137" s="31"/>
      <c r="V137" s="31"/>
      <c r="W137" s="31"/>
      <c r="Z137" s="31"/>
    </row>
    <row r="138" spans="1:26" s="362" customFormat="1" x14ac:dyDescent="0.25">
      <c r="A138" s="452">
        <v>44316</v>
      </c>
      <c r="B138" s="434"/>
      <c r="C138" s="435">
        <f t="shared" ref="C138:E138" si="15">C126</f>
        <v>448.57000000000005</v>
      </c>
      <c r="D138" s="435">
        <f t="shared" si="15"/>
        <v>0</v>
      </c>
      <c r="E138" s="435">
        <f t="shared" si="15"/>
        <v>1</v>
      </c>
      <c r="F138" s="453">
        <v>30</v>
      </c>
      <c r="G138" s="442"/>
      <c r="H138" s="162"/>
      <c r="I138" s="397"/>
      <c r="J138" s="160"/>
      <c r="K138" s="444">
        <f t="shared" si="12"/>
        <v>4986340.5749084484</v>
      </c>
      <c r="L138" s="445"/>
      <c r="M138" s="446"/>
      <c r="N138" s="447"/>
      <c r="O138" s="437"/>
      <c r="P138" s="13"/>
      <c r="Q138" s="31"/>
      <c r="R138" s="31"/>
      <c r="S138" s="31"/>
      <c r="T138" s="31"/>
      <c r="U138" s="31"/>
      <c r="V138" s="31"/>
      <c r="W138" s="31"/>
      <c r="Z138" s="31"/>
    </row>
    <row r="139" spans="1:26" s="362" customFormat="1" x14ac:dyDescent="0.25">
      <c r="A139" s="452">
        <v>44347</v>
      </c>
      <c r="B139" s="434"/>
      <c r="C139" s="435">
        <f t="shared" ref="C139:E139" si="16">C127</f>
        <v>189.26</v>
      </c>
      <c r="D139" s="435">
        <f t="shared" si="16"/>
        <v>9.2199999999999989</v>
      </c>
      <c r="E139" s="435">
        <f t="shared" si="16"/>
        <v>1</v>
      </c>
      <c r="F139" s="453">
        <v>31</v>
      </c>
      <c r="G139" s="442"/>
      <c r="H139" s="162"/>
      <c r="I139" s="397"/>
      <c r="J139" s="160"/>
      <c r="K139" s="444">
        <f t="shared" si="12"/>
        <v>4227063.5368910208</v>
      </c>
      <c r="L139" s="445"/>
      <c r="M139" s="446"/>
      <c r="N139" s="447"/>
      <c r="O139" s="437"/>
      <c r="P139" s="13"/>
      <c r="Q139" s="31"/>
      <c r="R139" s="31"/>
      <c r="S139" s="31"/>
      <c r="T139" s="31"/>
      <c r="U139" s="31"/>
      <c r="V139" s="31"/>
      <c r="W139" s="31"/>
      <c r="Z139" s="31"/>
    </row>
    <row r="140" spans="1:26" s="362" customFormat="1" x14ac:dyDescent="0.25">
      <c r="A140" s="452">
        <v>44377</v>
      </c>
      <c r="B140" s="434"/>
      <c r="C140" s="435">
        <f t="shared" ref="C140:E140" si="17">C128</f>
        <v>65.79000000000002</v>
      </c>
      <c r="D140" s="435">
        <f t="shared" si="17"/>
        <v>18.669999999999998</v>
      </c>
      <c r="E140" s="435">
        <f t="shared" si="17"/>
        <v>0</v>
      </c>
      <c r="F140" s="453">
        <v>30</v>
      </c>
      <c r="G140" s="442"/>
      <c r="H140" s="162"/>
      <c r="I140" s="397"/>
      <c r="J140" s="160"/>
      <c r="K140" s="444">
        <f t="shared" si="12"/>
        <v>4178644.4778910829</v>
      </c>
      <c r="L140" s="445"/>
      <c r="M140" s="446"/>
      <c r="N140" s="447"/>
      <c r="O140" s="437"/>
      <c r="P140" s="13"/>
      <c r="Q140" s="31"/>
      <c r="R140" s="31"/>
      <c r="S140" s="31"/>
      <c r="T140" s="31"/>
      <c r="U140" s="31"/>
      <c r="V140" s="31"/>
      <c r="W140" s="31"/>
      <c r="Z140" s="31"/>
    </row>
    <row r="141" spans="1:26" s="362" customFormat="1" x14ac:dyDescent="0.25">
      <c r="A141" s="452">
        <v>44408</v>
      </c>
      <c r="B141" s="434"/>
      <c r="C141" s="435">
        <f t="shared" ref="C141:E141" si="18">C129</f>
        <v>18.400000000000002</v>
      </c>
      <c r="D141" s="435">
        <f t="shared" si="18"/>
        <v>68.429999999999993</v>
      </c>
      <c r="E141" s="435">
        <f t="shared" si="18"/>
        <v>0</v>
      </c>
      <c r="F141" s="453">
        <v>31</v>
      </c>
      <c r="G141" s="442"/>
      <c r="H141" s="162"/>
      <c r="I141" s="397"/>
      <c r="J141" s="160"/>
      <c r="K141" s="444">
        <f t="shared" si="12"/>
        <v>4485889.5234723538</v>
      </c>
      <c r="L141" s="445"/>
      <c r="M141" s="446"/>
      <c r="N141" s="447"/>
      <c r="O141" s="437"/>
      <c r="P141" s="13"/>
      <c r="Q141" s="31"/>
      <c r="R141" s="31"/>
      <c r="S141" s="31"/>
      <c r="T141" s="31"/>
      <c r="U141" s="31"/>
      <c r="V141" s="31"/>
      <c r="W141" s="31"/>
      <c r="Z141" s="31"/>
    </row>
    <row r="142" spans="1:26" s="362" customFormat="1" x14ac:dyDescent="0.25">
      <c r="A142" s="452">
        <v>44439</v>
      </c>
      <c r="B142" s="434"/>
      <c r="C142" s="435">
        <f t="shared" ref="C142:E142" si="19">C130</f>
        <v>34.26</v>
      </c>
      <c r="D142" s="435">
        <f t="shared" si="19"/>
        <v>42.710000000000008</v>
      </c>
      <c r="E142" s="435">
        <f t="shared" si="19"/>
        <v>0</v>
      </c>
      <c r="F142" s="453">
        <v>31</v>
      </c>
      <c r="G142" s="442"/>
      <c r="H142" s="162"/>
      <c r="I142" s="397"/>
      <c r="J142" s="160"/>
      <c r="K142" s="444">
        <f t="shared" si="12"/>
        <v>4343049.5449876506</v>
      </c>
      <c r="L142" s="445"/>
      <c r="M142" s="446"/>
      <c r="N142" s="447"/>
      <c r="O142" s="437"/>
      <c r="P142" s="13"/>
      <c r="Q142" s="31"/>
      <c r="R142" s="31"/>
      <c r="S142" s="31"/>
      <c r="T142" s="31"/>
      <c r="U142" s="31"/>
      <c r="V142" s="31"/>
      <c r="W142" s="31"/>
      <c r="Z142" s="31"/>
    </row>
    <row r="143" spans="1:26" s="362" customFormat="1" x14ac:dyDescent="0.25">
      <c r="A143" s="452">
        <v>44469</v>
      </c>
      <c r="B143" s="434"/>
      <c r="C143" s="435">
        <f t="shared" ref="C143:E143" si="20">C131</f>
        <v>135.46</v>
      </c>
      <c r="D143" s="435">
        <f t="shared" si="20"/>
        <v>15.030000000000001</v>
      </c>
      <c r="E143" s="435">
        <f t="shared" si="20"/>
        <v>1</v>
      </c>
      <c r="F143" s="453">
        <v>30</v>
      </c>
      <c r="G143" s="442"/>
      <c r="H143" s="162"/>
      <c r="I143" s="397"/>
      <c r="J143" s="160"/>
      <c r="K143" s="444">
        <f t="shared" si="12"/>
        <v>3990768.1928506587</v>
      </c>
      <c r="L143" s="445"/>
      <c r="M143" s="446"/>
      <c r="N143" s="447"/>
      <c r="O143" s="437"/>
      <c r="P143" s="13"/>
      <c r="Q143" s="31"/>
      <c r="R143" s="31"/>
      <c r="S143" s="31"/>
      <c r="T143" s="31"/>
      <c r="U143" s="31"/>
      <c r="V143" s="31"/>
      <c r="W143" s="31"/>
      <c r="Z143" s="31"/>
    </row>
    <row r="144" spans="1:26" s="362" customFormat="1" x14ac:dyDescent="0.25">
      <c r="A144" s="452">
        <v>44500</v>
      </c>
      <c r="B144" s="434"/>
      <c r="C144" s="435">
        <f t="shared" ref="C144:E144" si="21">C132</f>
        <v>341.62</v>
      </c>
      <c r="D144" s="435">
        <f t="shared" si="21"/>
        <v>0.1</v>
      </c>
      <c r="E144" s="435">
        <f t="shared" si="21"/>
        <v>1</v>
      </c>
      <c r="F144" s="453">
        <v>31</v>
      </c>
      <c r="G144" s="442"/>
      <c r="H144" s="162"/>
      <c r="I144" s="397"/>
      <c r="J144" s="160"/>
      <c r="K144" s="444">
        <f t="shared" si="12"/>
        <v>4697523.4861576762</v>
      </c>
      <c r="L144" s="445"/>
      <c r="M144" s="446"/>
      <c r="N144" s="447"/>
      <c r="O144" s="437"/>
      <c r="P144" s="13"/>
      <c r="Q144" s="31"/>
      <c r="R144" s="31"/>
      <c r="S144" s="31"/>
      <c r="T144" s="31"/>
      <c r="U144" s="31"/>
      <c r="V144" s="31"/>
      <c r="W144" s="31"/>
      <c r="Z144" s="31"/>
    </row>
    <row r="145" spans="1:26" s="362" customFormat="1" x14ac:dyDescent="0.25">
      <c r="A145" s="452">
        <v>44530</v>
      </c>
      <c r="B145" s="434"/>
      <c r="C145" s="435">
        <f t="shared" ref="C145:E145" si="22">C133</f>
        <v>565.70000000000005</v>
      </c>
      <c r="D145" s="435">
        <f t="shared" si="22"/>
        <v>0</v>
      </c>
      <c r="E145" s="435">
        <f t="shared" si="22"/>
        <v>1</v>
      </c>
      <c r="F145" s="453">
        <v>30</v>
      </c>
      <c r="G145" s="442"/>
      <c r="H145" s="162"/>
      <c r="I145" s="397"/>
      <c r="J145" s="160"/>
      <c r="K145" s="444">
        <f t="shared" si="12"/>
        <v>5402308.2365802322</v>
      </c>
      <c r="L145" s="445"/>
      <c r="M145" s="446"/>
      <c r="N145" s="447"/>
      <c r="O145" s="437"/>
      <c r="P145" s="13"/>
      <c r="Q145" s="31"/>
      <c r="R145" s="31"/>
      <c r="S145" s="31"/>
      <c r="T145" s="31"/>
      <c r="U145" s="31"/>
      <c r="V145" s="31"/>
      <c r="W145" s="31"/>
      <c r="Z145" s="31"/>
    </row>
    <row r="146" spans="1:26" x14ac:dyDescent="0.25">
      <c r="A146" s="452">
        <v>44561</v>
      </c>
      <c r="B146" s="434"/>
      <c r="C146" s="435">
        <f t="shared" ref="C146:E146" si="23">C134</f>
        <v>799.21000000000015</v>
      </c>
      <c r="D146" s="435">
        <f t="shared" si="23"/>
        <v>0</v>
      </c>
      <c r="E146" s="435">
        <f t="shared" si="23"/>
        <v>0</v>
      </c>
      <c r="F146" s="453">
        <v>31</v>
      </c>
      <c r="G146" s="442"/>
      <c r="H146" s="162"/>
      <c r="I146" s="397"/>
      <c r="J146" s="160"/>
      <c r="K146" s="444">
        <f t="shared" si="12"/>
        <v>6728914.8524818104</v>
      </c>
      <c r="L146" s="445"/>
      <c r="M146" s="446"/>
      <c r="N146" s="447"/>
      <c r="P146" s="13"/>
      <c r="Q146" s="31"/>
      <c r="R146" s="31"/>
      <c r="S146" s="31"/>
      <c r="T146" s="31"/>
      <c r="U146" s="31"/>
      <c r="V146" s="31"/>
      <c r="W146" s="31"/>
      <c r="Z146" s="31"/>
    </row>
    <row r="147" spans="1:26" x14ac:dyDescent="0.25">
      <c r="A147" s="47"/>
      <c r="C147" s="17"/>
      <c r="D147" s="52" t="s">
        <v>48</v>
      </c>
      <c r="E147" s="10"/>
      <c r="F147" s="16"/>
      <c r="G147" s="16"/>
      <c r="K147" s="46">
        <f>SUM(K3:K146)</f>
        <v>753277167.59036064</v>
      </c>
      <c r="P147" s="13"/>
      <c r="Q147" s="31"/>
      <c r="R147" s="31"/>
      <c r="S147" s="31"/>
      <c r="T147" s="31"/>
      <c r="U147" s="31"/>
      <c r="V147" s="31"/>
      <c r="W147" s="31"/>
      <c r="Z147" s="31"/>
    </row>
    <row r="148" spans="1:26" ht="50" x14ac:dyDescent="0.25">
      <c r="A148" s="47"/>
      <c r="E148" s="10"/>
      <c r="F148" s="16"/>
      <c r="G148" s="16"/>
      <c r="O148" s="38" t="s">
        <v>246</v>
      </c>
      <c r="P148" s="38" t="s">
        <v>247</v>
      </c>
      <c r="Q148" s="553" t="s">
        <v>311</v>
      </c>
      <c r="R148" s="559" t="s">
        <v>312</v>
      </c>
      <c r="S148" s="558" t="s">
        <v>313</v>
      </c>
      <c r="T148" s="558" t="s">
        <v>314</v>
      </c>
      <c r="U148" s="558" t="s">
        <v>315</v>
      </c>
      <c r="V148" s="560" t="s">
        <v>316</v>
      </c>
      <c r="W148" s="558" t="s">
        <v>317</v>
      </c>
      <c r="Z148" s="31"/>
    </row>
    <row r="149" spans="1:26" x14ac:dyDescent="0.25">
      <c r="A149" s="37">
        <v>2010</v>
      </c>
      <c r="B149" s="6">
        <f>SUM(B3:B14)</f>
        <v>64797090.100000001</v>
      </c>
      <c r="K149" s="6">
        <f>SUM(K3:K14)</f>
        <v>61581067.223135889</v>
      </c>
      <c r="L149" s="33">
        <f t="shared" ref="L149:L158" si="24">K149-B149</f>
        <v>-3216022.8768641129</v>
      </c>
      <c r="M149" s="5">
        <f t="shared" ref="M149:M158" si="25">L149/B149</f>
        <v>-4.9632211445003037E-2</v>
      </c>
      <c r="N149" s="5">
        <f t="shared" ref="N149:N153" si="26">ABS(M149)</f>
        <v>4.9632211445003037E-2</v>
      </c>
      <c r="O149" s="510">
        <f>'Purchased Power Model WN'!K149</f>
        <v>62750541.387813456</v>
      </c>
      <c r="P149" s="517">
        <f t="shared" ref="P149:P158" si="27">O149/K149</f>
        <v>1.0189908070355462</v>
      </c>
      <c r="Q149" s="554">
        <f>P149*B149</f>
        <v>66027639.134554006</v>
      </c>
      <c r="R149" s="554">
        <f>P149*Summary!B15</f>
        <v>31819264.745166145</v>
      </c>
      <c r="S149" s="554">
        <f>P149*'Rate Class Energy Model'!I12</f>
        <v>11792770.419914307</v>
      </c>
      <c r="T149" s="554">
        <f>P149*'Rate Class Energy Model'!J12</f>
        <v>17486264.370282613</v>
      </c>
      <c r="U149" s="554">
        <f>P149*'Rate Class Energy Model'!L12</f>
        <v>627540.39355880592</v>
      </c>
      <c r="V149" s="554">
        <f>P149*'Rate Class Energy Model'!K12</f>
        <v>25576.669256592209</v>
      </c>
      <c r="W149" s="554">
        <f>P149*'Rate Class Energy Model'!M12</f>
        <v>173272.25380074538</v>
      </c>
      <c r="Z149" s="31"/>
    </row>
    <row r="150" spans="1:26" x14ac:dyDescent="0.25">
      <c r="A150" s="48">
        <v>2011</v>
      </c>
      <c r="B150" s="6">
        <f>SUM(B15:B26)</f>
        <v>66398183.261319995</v>
      </c>
      <c r="K150" s="26">
        <f>SUM(K15:K26)</f>
        <v>62738096.736301839</v>
      </c>
      <c r="L150" s="33">
        <f t="shared" si="24"/>
        <v>-3660086.5250181556</v>
      </c>
      <c r="M150" s="5">
        <f t="shared" si="25"/>
        <v>-5.51232932174264E-2</v>
      </c>
      <c r="N150" s="5">
        <f t="shared" si="26"/>
        <v>5.51232932174264E-2</v>
      </c>
      <c r="O150" s="510">
        <f>'Purchased Power Model WN'!K150</f>
        <v>62750541.387813456</v>
      </c>
      <c r="P150" s="517">
        <f t="shared" si="27"/>
        <v>1.0001983587669854</v>
      </c>
      <c r="Q150" s="554">
        <f t="shared" ref="Q150:Q158" si="28">P150*B150</f>
        <v>66411353.923081778</v>
      </c>
      <c r="R150" s="554">
        <f>P150*Summary!C15</f>
        <v>31707205.194816358</v>
      </c>
      <c r="S150" s="554">
        <f>P150*'Rate Class Energy Model'!I13</f>
        <v>11931567.511651071</v>
      </c>
      <c r="T150" s="554">
        <f>P150*'Rate Class Energy Model'!J13</f>
        <v>16952024.445801504</v>
      </c>
      <c r="U150" s="554">
        <f>P150*'Rate Class Energy Model'!L13</f>
        <v>613699.05844659614</v>
      </c>
      <c r="V150" s="554">
        <f>P150*'Rate Class Energy Model'!K13</f>
        <v>25882.13292981328</v>
      </c>
      <c r="W150" s="554">
        <f>P150*'Rate Class Energy Model'!M13</f>
        <v>169900.27452536082</v>
      </c>
      <c r="Z150" s="31"/>
    </row>
    <row r="151" spans="1:26" x14ac:dyDescent="0.25">
      <c r="A151" s="37">
        <v>2012</v>
      </c>
      <c r="B151" s="6">
        <f>SUM(B27:B38)</f>
        <v>63284544.89452</v>
      </c>
      <c r="I151" s="394">
        <v>1427.53</v>
      </c>
      <c r="K151" s="26">
        <f>SUM(K27:K38)</f>
        <v>61624254.163418382</v>
      </c>
      <c r="L151" s="33">
        <f t="shared" si="24"/>
        <v>-1660290.7311016172</v>
      </c>
      <c r="M151" s="5">
        <f t="shared" si="25"/>
        <v>-2.623532702761661E-2</v>
      </c>
      <c r="N151" s="5">
        <f t="shared" si="26"/>
        <v>2.623532702761661E-2</v>
      </c>
      <c r="O151" s="510">
        <f>'Purchased Power Model WN'!K151</f>
        <v>62840765.033346348</v>
      </c>
      <c r="P151" s="517">
        <f t="shared" si="27"/>
        <v>1.0197407804190532</v>
      </c>
      <c r="Q151" s="554">
        <f t="shared" si="28"/>
        <v>64533831.199202433</v>
      </c>
      <c r="R151" s="554">
        <f>P151*Summary!D15</f>
        <v>31365831.400302466</v>
      </c>
      <c r="S151" s="554">
        <f>P151*'Rate Class Energy Model'!I14</f>
        <v>11961729.651025824</v>
      </c>
      <c r="T151" s="554">
        <f>P151*'Rate Class Energy Model'!J14</f>
        <v>17377948.200438611</v>
      </c>
      <c r="U151" s="554">
        <f>P151*'Rate Class Energy Model'!L14</f>
        <v>630421.08604832587</v>
      </c>
      <c r="V151" s="554">
        <f>P151*'Rate Class Energy Model'!K14</f>
        <v>26232.831576280143</v>
      </c>
      <c r="W151" s="554">
        <f>P151*'Rate Class Energy Model'!M14</f>
        <v>133749.20075976301</v>
      </c>
      <c r="Z151" s="31"/>
    </row>
    <row r="152" spans="1:26" x14ac:dyDescent="0.25">
      <c r="A152" s="48">
        <v>2013</v>
      </c>
      <c r="B152" s="6">
        <f>SUM(B39:B50)</f>
        <v>63602962.210319996</v>
      </c>
      <c r="I152" s="394">
        <v>1429.14</v>
      </c>
      <c r="K152" s="6">
        <f>SUM(K39:K50)</f>
        <v>62892003.896134011</v>
      </c>
      <c r="L152" s="33">
        <f t="shared" si="24"/>
        <v>-710958.31418598443</v>
      </c>
      <c r="M152" s="5">
        <f t="shared" si="25"/>
        <v>-1.1178069220031183E-2</v>
      </c>
      <c r="N152" s="5">
        <f t="shared" si="26"/>
        <v>1.1178069220031183E-2</v>
      </c>
      <c r="O152" s="510">
        <f>'Purchased Power Model WN'!K152</f>
        <v>62750541.387813456</v>
      </c>
      <c r="P152" s="517">
        <f t="shared" si="27"/>
        <v>0.99775070756921369</v>
      </c>
      <c r="Q152" s="554">
        <f t="shared" si="28"/>
        <v>63459900.548844732</v>
      </c>
      <c r="R152" s="554">
        <f>P152*Summary!E15</f>
        <v>32532471.993868757</v>
      </c>
      <c r="S152" s="554">
        <f>P152*'Rate Class Energy Model'!I15</f>
        <v>11167278.897935877</v>
      </c>
      <c r="T152" s="554">
        <f>P152*'Rate Class Energy Model'!J15</f>
        <v>16812152.303328753</v>
      </c>
      <c r="U152" s="554">
        <f>P152*'Rate Class Energy Model'!L15</f>
        <v>615699.98863247095</v>
      </c>
      <c r="V152" s="554">
        <f>P152*'Rate Class Energy Model'!K15</f>
        <v>25713.033484766205</v>
      </c>
      <c r="W152" s="554">
        <f>P152*'Rate Class Energy Model'!M15</f>
        <v>131832.8009911202</v>
      </c>
      <c r="Z152" s="31"/>
    </row>
    <row r="153" spans="1:26" x14ac:dyDescent="0.25">
      <c r="A153" s="37">
        <v>2014</v>
      </c>
      <c r="B153" s="6">
        <f>SUM(B51:B62)</f>
        <v>65352027.278520003</v>
      </c>
      <c r="I153" s="394">
        <v>1430.73</v>
      </c>
      <c r="K153" s="6">
        <f>SUM(K51:K62)</f>
        <v>64340113.997318804</v>
      </c>
      <c r="L153" s="33">
        <f t="shared" si="24"/>
        <v>-1011913.2812011987</v>
      </c>
      <c r="M153" s="5">
        <f t="shared" si="25"/>
        <v>-1.5484038113899427E-2</v>
      </c>
      <c r="N153" s="5">
        <f t="shared" si="26"/>
        <v>1.5484038113899427E-2</v>
      </c>
      <c r="O153" s="510">
        <f>'Purchased Power Model WN'!K153</f>
        <v>62750541.387813456</v>
      </c>
      <c r="P153" s="517">
        <f t="shared" si="27"/>
        <v>0.97529422143125843</v>
      </c>
      <c r="Q153" s="554">
        <f t="shared" si="28"/>
        <v>63737454.563558526</v>
      </c>
      <c r="R153" s="554">
        <f>P153*Summary!F15</f>
        <v>32077989.687639855</v>
      </c>
      <c r="S153" s="554">
        <f>P153*'Rate Class Energy Model'!I16</f>
        <v>10482278.936629537</v>
      </c>
      <c r="T153" s="554">
        <f>P153*'Rate Class Energy Model'!J16</f>
        <v>16669638.130340476</v>
      </c>
      <c r="U153" s="554">
        <f>P153*'Rate Class Energy Model'!L16</f>
        <v>359499.30178489047</v>
      </c>
      <c r="V153" s="554">
        <f>P153*'Rate Class Energy Model'!K16</f>
        <v>25134.307380504961</v>
      </c>
      <c r="W153" s="554">
        <f>P153*'Rate Class Energy Model'!M16</f>
        <v>120581.47636087507</v>
      </c>
      <c r="Z153" s="31"/>
    </row>
    <row r="154" spans="1:26" x14ac:dyDescent="0.25">
      <c r="A154" s="48">
        <v>2015</v>
      </c>
      <c r="B154" s="156">
        <f>SUM(B63:B74)</f>
        <v>61104721.271502577</v>
      </c>
      <c r="I154" s="394">
        <v>1432.3300000000002</v>
      </c>
      <c r="K154" s="6">
        <f>SUM(K63:K74)</f>
        <v>63174013.199874789</v>
      </c>
      <c r="L154" s="33">
        <f t="shared" si="24"/>
        <v>2069291.9283722118</v>
      </c>
      <c r="M154" s="5">
        <f t="shared" si="25"/>
        <v>3.3864681571459325E-2</v>
      </c>
      <c r="N154" s="5">
        <f t="shared" ref="N154:N158" si="29">ABS(M154)</f>
        <v>3.3864681571459325E-2</v>
      </c>
      <c r="O154" s="510">
        <f>'Purchased Power Model WN'!K154</f>
        <v>62750541.387813456</v>
      </c>
      <c r="P154" s="517">
        <f t="shared" si="27"/>
        <v>0.99329674037453475</v>
      </c>
      <c r="Q154" s="554">
        <f t="shared" si="28"/>
        <v>60695120.460478008</v>
      </c>
      <c r="R154" s="554">
        <f>P154*Summary!G15</f>
        <v>30756422.62800698</v>
      </c>
      <c r="S154" s="554">
        <f>P154*'Rate Class Energy Model'!I17</f>
        <v>10324131.792219281</v>
      </c>
      <c r="T154" s="554">
        <f>P154*'Rate Class Energy Model'!J17</f>
        <v>16557916.169853864</v>
      </c>
      <c r="U154" s="554">
        <f>P154*'Rate Class Energy Model'!L17</f>
        <v>368266.48489721963</v>
      </c>
      <c r="V154" s="554">
        <f>P154*'Rate Class Energy Model'!K17</f>
        <v>24502.683723428636</v>
      </c>
      <c r="W154" s="554">
        <f>P154*'Rate Class Energy Model'!M17</f>
        <v>122807.23579294598</v>
      </c>
      <c r="Z154" s="31"/>
    </row>
    <row r="155" spans="1:26" x14ac:dyDescent="0.25">
      <c r="A155" s="37">
        <v>2016</v>
      </c>
      <c r="B155" s="156">
        <f>SUM(B75:B86)</f>
        <v>59794103.869807422</v>
      </c>
      <c r="I155" s="394">
        <v>1433.95</v>
      </c>
      <c r="K155" s="6">
        <f>SUM(K75:K86)</f>
        <v>62605890.315318771</v>
      </c>
      <c r="L155" s="33">
        <f t="shared" si="24"/>
        <v>2811786.4455113485</v>
      </c>
      <c r="M155" s="5">
        <f t="shared" si="25"/>
        <v>4.7024476721544091E-2</v>
      </c>
      <c r="N155" s="5">
        <f t="shared" si="29"/>
        <v>4.7024476721544091E-2</v>
      </c>
      <c r="O155" s="510">
        <f>'Purchased Power Model WN'!K155</f>
        <v>62840765.033346348</v>
      </c>
      <c r="P155" s="517">
        <f t="shared" si="27"/>
        <v>1.0037516392921595</v>
      </c>
      <c r="Q155" s="554">
        <f t="shared" si="28"/>
        <v>60018429.779324859</v>
      </c>
      <c r="R155" s="554">
        <f>P155*Summary!H15</f>
        <v>29586088.580630206</v>
      </c>
      <c r="S155" s="554">
        <f>P155*'Rate Class Energy Model'!I18</f>
        <v>10160378.233437767</v>
      </c>
      <c r="T155" s="554">
        <f>P155*'Rate Class Energy Model'!J18</f>
        <v>16439501.9737086</v>
      </c>
      <c r="U155" s="554">
        <f>P155*'Rate Class Energy Model'!L18</f>
        <v>343568.92910478893</v>
      </c>
      <c r="V155" s="554">
        <f>P155*'Rate Class Energy Model'!K18</f>
        <v>24658.564271506901</v>
      </c>
      <c r="W155" s="554">
        <f>P155*'Rate Class Energy Model'!M18</f>
        <v>124099.83767552543</v>
      </c>
      <c r="Z155" s="31"/>
    </row>
    <row r="156" spans="1:26" x14ac:dyDescent="0.25">
      <c r="A156" s="37">
        <v>2017</v>
      </c>
      <c r="B156" s="156">
        <f>SUM(B87:B98)</f>
        <v>59491334.831652001</v>
      </c>
      <c r="C156" s="354"/>
      <c r="D156" s="354"/>
      <c r="E156" s="354"/>
      <c r="H156" s="354"/>
      <c r="I156" s="394">
        <v>1435.57</v>
      </c>
      <c r="J156" s="157"/>
      <c r="K156" s="156">
        <f>SUM(K87:K98)</f>
        <v>62123262.01324112</v>
      </c>
      <c r="L156" s="33">
        <f t="shared" si="24"/>
        <v>2631927.1815891191</v>
      </c>
      <c r="M156" s="5">
        <f t="shared" si="25"/>
        <v>4.4240513161066586E-2</v>
      </c>
      <c r="N156" s="5">
        <f t="shared" si="29"/>
        <v>4.4240513161066586E-2</v>
      </c>
      <c r="O156" s="510">
        <f>'Purchased Power Model WN'!K156</f>
        <v>62750541.387813456</v>
      </c>
      <c r="P156" s="517">
        <f t="shared" si="27"/>
        <v>1.0100973347864224</v>
      </c>
      <c r="Q156" s="554">
        <f t="shared" si="28"/>
        <v>60092038.756338343</v>
      </c>
      <c r="R156" s="554">
        <f>P156*Summary!I15</f>
        <v>29168637.009150028</v>
      </c>
      <c r="S156" s="554">
        <f>P156*'Rate Class Energy Model'!I19</f>
        <v>10015503.911376404</v>
      </c>
      <c r="T156" s="554">
        <f>P156*'Rate Class Energy Model'!J19</f>
        <v>15748341.516665109</v>
      </c>
      <c r="U156" s="554">
        <f>P156*'Rate Class Energy Model'!L19</f>
        <v>344480.36274409015</v>
      </c>
      <c r="V156" s="554">
        <f>P156*'Rate Class Energy Model'!K19</f>
        <v>24479.708908548946</v>
      </c>
      <c r="W156" s="554">
        <f>P156*'Rate Class Energy Model'!M19</f>
        <v>124884.39408365412</v>
      </c>
      <c r="Z156" s="31"/>
    </row>
    <row r="157" spans="1:26" s="362" customFormat="1" x14ac:dyDescent="0.25">
      <c r="A157" s="37">
        <v>2018</v>
      </c>
      <c r="B157" s="450">
        <f>SUM(B99:B110)</f>
        <v>61810132.542415701</v>
      </c>
      <c r="C157" s="437"/>
      <c r="D157" s="437"/>
      <c r="E157" s="437"/>
      <c r="F157" s="157"/>
      <c r="G157" s="157"/>
      <c r="H157" s="437"/>
      <c r="I157" s="394"/>
      <c r="J157" s="157"/>
      <c r="K157" s="450">
        <f>SUM(K99:K110)</f>
        <v>63845097.46661216</v>
      </c>
      <c r="L157" s="33">
        <f t="shared" si="24"/>
        <v>2034964.9241964594</v>
      </c>
      <c r="M157" s="5">
        <f t="shared" si="25"/>
        <v>3.2922837089857625E-2</v>
      </c>
      <c r="N157" s="5">
        <f t="shared" si="29"/>
        <v>3.2922837089857625E-2</v>
      </c>
      <c r="O157" s="510">
        <f>'Purchased Power Model WN'!K157</f>
        <v>62750541.387813456</v>
      </c>
      <c r="P157" s="517">
        <f t="shared" si="27"/>
        <v>0.98285606691459582</v>
      </c>
      <c r="Q157" s="554">
        <f t="shared" si="28"/>
        <v>60750463.766108565</v>
      </c>
      <c r="R157" s="554">
        <f>P157*Summary!J15</f>
        <v>30521740.476225525</v>
      </c>
      <c r="S157" s="554">
        <f>P157*'Rate Class Energy Model'!I20</f>
        <v>10045820.757023413</v>
      </c>
      <c r="T157" s="554">
        <f>P157*'Rate Class Energy Model'!J20</f>
        <v>15093803.0714029</v>
      </c>
      <c r="U157" s="554">
        <f>P157*'Rate Class Energy Model'!L20</f>
        <v>335190.08792113961</v>
      </c>
      <c r="V157" s="554">
        <f>P157*'Rate Class Energy Model'!K20</f>
        <v>23819.713352888608</v>
      </c>
      <c r="W157" s="554">
        <f>P157*'Rate Class Energy Model'!M20</f>
        <v>121516.39268905297</v>
      </c>
      <c r="Z157" s="31"/>
    </row>
    <row r="158" spans="1:26" s="362" customFormat="1" x14ac:dyDescent="0.25">
      <c r="A158" s="37">
        <v>2019</v>
      </c>
      <c r="B158" s="450">
        <f>SUM(B111:B122)</f>
        <v>62050760.909142859</v>
      </c>
      <c r="C158" s="437"/>
      <c r="D158" s="437"/>
      <c r="E158" s="437"/>
      <c r="F158" s="157"/>
      <c r="G158" s="157"/>
      <c r="H158" s="437"/>
      <c r="I158" s="394"/>
      <c r="J158" s="157"/>
      <c r="K158" s="450">
        <f>SUM(K111:K122)</f>
        <v>62762062.157844543</v>
      </c>
      <c r="L158" s="33">
        <f t="shared" si="24"/>
        <v>711301.24870168418</v>
      </c>
      <c r="M158" s="5">
        <f t="shared" si="25"/>
        <v>1.1463215571896035E-2</v>
      </c>
      <c r="N158" s="5">
        <f t="shared" si="29"/>
        <v>1.1463215571896035E-2</v>
      </c>
      <c r="O158" s="510">
        <f>'Purchased Power Model WN'!K158</f>
        <v>62750541.387813456</v>
      </c>
      <c r="P158" s="517">
        <f t="shared" si="27"/>
        <v>0.99981643735666126</v>
      </c>
      <c r="Q158" s="554">
        <f t="shared" si="28"/>
        <v>62039370.707449198</v>
      </c>
      <c r="R158" s="554">
        <f>P158*Summary!K15</f>
        <v>31771729.866529509</v>
      </c>
      <c r="S158" s="554">
        <f>P158*'Rate Class Energy Model'!I21</f>
        <v>10264931.336127382</v>
      </c>
      <c r="T158" s="554">
        <f>P158*'Rate Class Energy Model'!J21</f>
        <v>14946796.942715313</v>
      </c>
      <c r="U158" s="554">
        <f>P158*'Rate Class Energy Model'!L21</f>
        <v>340974.19838351622</v>
      </c>
      <c r="V158" s="554">
        <f>P158*'Rate Class Energy Model'!K21</f>
        <v>24230.751322626154</v>
      </c>
      <c r="W158" s="554">
        <f>P158*'Rate Class Energy Model'!M21</f>
        <v>123613.30504902817</v>
      </c>
      <c r="Z158" s="31"/>
    </row>
    <row r="159" spans="1:26" s="362" customFormat="1" x14ac:dyDescent="0.25">
      <c r="A159" s="37">
        <v>2020</v>
      </c>
      <c r="B159" s="450">
        <f>SUM(B123:B134)</f>
        <v>0</v>
      </c>
      <c r="C159" s="437"/>
      <c r="D159" s="437"/>
      <c r="E159" s="437"/>
      <c r="F159" s="157"/>
      <c r="G159" s="157"/>
      <c r="H159" s="437"/>
      <c r="I159" s="394"/>
      <c r="J159" s="157"/>
      <c r="K159" s="450">
        <f>SUM(K123:K134)</f>
        <v>62840765.033346348</v>
      </c>
      <c r="L159" s="516"/>
      <c r="M159" s="511"/>
      <c r="N159" s="511"/>
      <c r="O159" s="437"/>
      <c r="P159" s="13"/>
      <c r="Q159" s="31"/>
      <c r="R159" s="31"/>
      <c r="S159" s="31"/>
      <c r="T159" s="31"/>
      <c r="U159" s="31"/>
      <c r="V159" s="31"/>
      <c r="W159" s="31"/>
      <c r="Z159" s="31"/>
    </row>
    <row r="160" spans="1:26" s="362" customFormat="1" x14ac:dyDescent="0.25">
      <c r="A160" s="37">
        <v>2021</v>
      </c>
      <c r="B160" s="450"/>
      <c r="C160" s="437"/>
      <c r="D160" s="437"/>
      <c r="E160" s="437"/>
      <c r="F160" s="157"/>
      <c r="G160" s="157"/>
      <c r="H160" s="437"/>
      <c r="I160" s="394"/>
      <c r="J160" s="157"/>
      <c r="K160" s="462">
        <f>SUM(K135:K146)</f>
        <v>62750541.387813456</v>
      </c>
      <c r="L160" s="33"/>
      <c r="M160" s="5"/>
      <c r="N160" s="5"/>
      <c r="O160" s="437"/>
      <c r="P160" s="13"/>
      <c r="Q160" s="31"/>
      <c r="R160" s="31"/>
      <c r="S160" s="31"/>
      <c r="T160" s="31"/>
      <c r="U160" s="31"/>
      <c r="V160" s="31"/>
      <c r="W160" s="31"/>
      <c r="Z160" s="31"/>
    </row>
    <row r="161" spans="1:26" x14ac:dyDescent="0.25">
      <c r="I161" s="394">
        <v>1437.1999999999998</v>
      </c>
      <c r="K161" s="6"/>
      <c r="P161" s="13"/>
      <c r="Q161" s="31"/>
      <c r="R161" s="31"/>
      <c r="S161" s="31"/>
      <c r="T161" s="31"/>
      <c r="U161" s="31"/>
      <c r="V161" s="31"/>
      <c r="W161" s="31"/>
      <c r="Z161" s="31"/>
    </row>
    <row r="162" spans="1:26" x14ac:dyDescent="0.25">
      <c r="A162" s="355" t="s">
        <v>268</v>
      </c>
      <c r="B162" s="26">
        <f>SUM(B149:B158)</f>
        <v>627685861.16920054</v>
      </c>
      <c r="I162" s="394">
        <v>1438.82</v>
      </c>
      <c r="K162" s="26">
        <f>SUM(K149:K158)</f>
        <v>627685861.16920018</v>
      </c>
      <c r="L162" s="26">
        <f>SUM(L149:L158)</f>
        <v>-2.4586915969848633E-7</v>
      </c>
      <c r="P162" s="13"/>
      <c r="Q162" s="31"/>
      <c r="R162" s="31"/>
      <c r="S162" s="31"/>
      <c r="T162" s="31"/>
      <c r="U162" s="31"/>
      <c r="V162" s="31"/>
      <c r="W162" s="31"/>
      <c r="Z162" s="31"/>
    </row>
    <row r="163" spans="1:26" x14ac:dyDescent="0.25">
      <c r="I163" s="394">
        <v>1440.4500000000003</v>
      </c>
      <c r="P163" s="13"/>
      <c r="Q163" s="31"/>
      <c r="R163" s="31"/>
      <c r="S163" s="31"/>
      <c r="T163" s="31"/>
      <c r="U163" s="31"/>
      <c r="V163" s="31"/>
      <c r="W163" s="31"/>
      <c r="Z163" s="31"/>
    </row>
    <row r="164" spans="1:26" x14ac:dyDescent="0.25">
      <c r="I164" s="394">
        <v>1442.0899999999997</v>
      </c>
      <c r="K164" s="510">
        <f>SUM(K149:K160)</f>
        <v>753277167.59035993</v>
      </c>
      <c r="L164" s="46">
        <f>K147-K164</f>
        <v>0</v>
      </c>
      <c r="P164" s="13"/>
      <c r="Q164" s="31"/>
      <c r="R164" s="31"/>
      <c r="S164" s="31"/>
      <c r="T164" s="31"/>
      <c r="U164" s="31"/>
      <c r="V164" s="31"/>
      <c r="W164" s="31"/>
      <c r="Z164" s="31"/>
    </row>
    <row r="165" spans="1:26" x14ac:dyDescent="0.25">
      <c r="I165" s="394">
        <v>1443.74</v>
      </c>
      <c r="K165" s="17"/>
      <c r="L165" s="17" t="s">
        <v>109</v>
      </c>
      <c r="M165" s="17"/>
      <c r="N165" s="17"/>
      <c r="P165" s="13"/>
      <c r="Q165" s="31"/>
      <c r="R165" s="31"/>
      <c r="S165" s="31"/>
      <c r="T165" s="31"/>
      <c r="U165" s="31"/>
      <c r="V165" s="31"/>
      <c r="W165" s="31"/>
      <c r="Z165" s="31"/>
    </row>
    <row r="166" spans="1:26" x14ac:dyDescent="0.25">
      <c r="I166" s="394">
        <v>1445.3700000000001</v>
      </c>
      <c r="P166" s="13"/>
    </row>
    <row r="168" spans="1:26" x14ac:dyDescent="0.25">
      <c r="B168" s="803" t="s">
        <v>95</v>
      </c>
      <c r="C168" s="804"/>
      <c r="D168" s="804"/>
    </row>
    <row r="169" spans="1:26" x14ac:dyDescent="0.25">
      <c r="C169" s="101">
        <f>'Weather Analysis '!AB8</f>
        <v>932.51</v>
      </c>
      <c r="D169" s="101">
        <f>'Weather Analysis '!AB28</f>
        <v>0</v>
      </c>
      <c r="E169" s="16">
        <v>0</v>
      </c>
      <c r="F169" s="16">
        <v>31</v>
      </c>
      <c r="G169" s="16"/>
      <c r="H169"/>
      <c r="I169" s="159" t="e">
        <f>(I75+I63+I51+I39+I27+I15+I3+#REF!+#REF!+#REF!)/10</f>
        <v>#REF!</v>
      </c>
      <c r="J169" s="16">
        <v>352</v>
      </c>
      <c r="K169" s="444">
        <f>$R$41+C169*$R$42+D169*$R$43+E169*$R$44+F169*$R$45</f>
        <v>7202307.5725436965</v>
      </c>
    </row>
    <row r="170" spans="1:26" x14ac:dyDescent="0.25">
      <c r="C170" s="101">
        <f>'Weather Analysis '!AB9</f>
        <v>818.46</v>
      </c>
      <c r="D170" s="101">
        <f>'Weather Analysis '!AB29</f>
        <v>0</v>
      </c>
      <c r="E170" s="16">
        <v>0</v>
      </c>
      <c r="F170" s="16">
        <v>28</v>
      </c>
      <c r="G170" s="16"/>
      <c r="H170"/>
      <c r="I170" s="159" t="e">
        <f>(I76+I64+I52+I40+I28+I16+I4+#REF!+#REF!+#REF!)/10</f>
        <v>#REF!</v>
      </c>
      <c r="J170" s="16">
        <v>304</v>
      </c>
      <c r="K170" s="444">
        <f t="shared" ref="K170:K180" si="30">$R$41+C170*$R$42+D170*$R$43+E170*$R$44+F170*$R$45</f>
        <v>6526607.0806332733</v>
      </c>
    </row>
    <row r="171" spans="1:26" x14ac:dyDescent="0.25">
      <c r="C171" s="101">
        <f>'Weather Analysis '!AB10</f>
        <v>703.28</v>
      </c>
      <c r="D171" s="101">
        <f>'Weather Analysis '!AB30</f>
        <v>0</v>
      </c>
      <c r="E171" s="16">
        <v>1</v>
      </c>
      <c r="F171" s="16">
        <v>31</v>
      </c>
      <c r="G171" s="16"/>
      <c r="H171"/>
      <c r="I171" s="159" t="e">
        <f>(I77+I65+I53+I41+I29+I17+I5+#REF!+#REF!+#REF!)/10</f>
        <v>#REF!</v>
      </c>
      <c r="J171" s="16">
        <v>336</v>
      </c>
      <c r="K171" s="444">
        <f t="shared" si="30"/>
        <v>5981124.3084155526</v>
      </c>
    </row>
    <row r="172" spans="1:26" x14ac:dyDescent="0.25">
      <c r="C172" s="101">
        <f>'Weather Analysis '!AB11</f>
        <v>448.57000000000005</v>
      </c>
      <c r="D172" s="101">
        <f>'Weather Analysis '!AB31</f>
        <v>0</v>
      </c>
      <c r="E172" s="16">
        <v>1</v>
      </c>
      <c r="F172" s="16">
        <v>30</v>
      </c>
      <c r="G172" s="16"/>
      <c r="H172"/>
      <c r="I172" s="159" t="e">
        <f>(I78+I66+I54+I42+I30+I18+I6+#REF!+#REF!+#REF!)/10</f>
        <v>#REF!</v>
      </c>
      <c r="J172" s="16">
        <v>320</v>
      </c>
      <c r="K172" s="444">
        <f t="shared" si="30"/>
        <v>4986340.5749084484</v>
      </c>
    </row>
    <row r="173" spans="1:26" x14ac:dyDescent="0.25">
      <c r="C173" s="101">
        <f>'Weather Analysis '!AB12</f>
        <v>189.26</v>
      </c>
      <c r="D173" s="101">
        <f>'Weather Analysis '!AB32</f>
        <v>9.2199999999999989</v>
      </c>
      <c r="E173" s="16">
        <v>1</v>
      </c>
      <c r="F173" s="16">
        <v>31</v>
      </c>
      <c r="G173" s="16"/>
      <c r="H173"/>
      <c r="I173" s="159" t="e">
        <f>(I79+I67+I55+I43+I31+I19+I7+#REF!+#REF!+#REF!)/10</f>
        <v>#REF!</v>
      </c>
      <c r="J173" s="16">
        <v>336</v>
      </c>
      <c r="K173" s="444">
        <f t="shared" si="30"/>
        <v>4227063.5368910208</v>
      </c>
      <c r="O173" s="155"/>
    </row>
    <row r="174" spans="1:26" x14ac:dyDescent="0.25">
      <c r="C174" s="101">
        <f>'Weather Analysis '!AB13</f>
        <v>65.79000000000002</v>
      </c>
      <c r="D174" s="101">
        <f>'Weather Analysis '!AB33</f>
        <v>18.669999999999998</v>
      </c>
      <c r="E174" s="16">
        <v>0</v>
      </c>
      <c r="F174" s="16">
        <v>30</v>
      </c>
      <c r="G174" s="16"/>
      <c r="H174"/>
      <c r="I174" s="159" t="e">
        <f>(I80+I68+I56+I44+I32+I20+I8+#REF!+#REF!+#REF!)/10</f>
        <v>#REF!</v>
      </c>
      <c r="J174" s="16">
        <v>336</v>
      </c>
      <c r="K174" s="444">
        <f t="shared" si="30"/>
        <v>4178644.4778910829</v>
      </c>
    </row>
    <row r="175" spans="1:26" x14ac:dyDescent="0.25">
      <c r="C175" s="101">
        <f>'Weather Analysis '!AB14</f>
        <v>18.400000000000002</v>
      </c>
      <c r="D175" s="101">
        <f>'Weather Analysis '!AB34</f>
        <v>68.429999999999993</v>
      </c>
      <c r="E175" s="16">
        <v>0</v>
      </c>
      <c r="F175" s="16">
        <v>31</v>
      </c>
      <c r="G175" s="16"/>
      <c r="H175"/>
      <c r="I175" s="159" t="e">
        <f>(I81+I69+I57+I45+I33+I21+I9+#REF!+#REF!+#REF!)/10</f>
        <v>#REF!</v>
      </c>
      <c r="J175" s="16">
        <v>352</v>
      </c>
      <c r="K175" s="444">
        <f t="shared" si="30"/>
        <v>4485889.5234723538</v>
      </c>
    </row>
    <row r="176" spans="1:26" x14ac:dyDescent="0.25">
      <c r="C176" s="101">
        <f>'Weather Analysis '!AB15</f>
        <v>34.26</v>
      </c>
      <c r="D176" s="101">
        <f>'Weather Analysis '!AB35</f>
        <v>42.710000000000008</v>
      </c>
      <c r="E176" s="16">
        <v>0</v>
      </c>
      <c r="F176" s="16">
        <v>31</v>
      </c>
      <c r="G176" s="16"/>
      <c r="H176"/>
      <c r="I176" s="159" t="e">
        <f>(I82+I70+I58+I46+I34+I22+I10+#REF!+#REF!+#REF!)/10</f>
        <v>#REF!</v>
      </c>
      <c r="J176" s="16">
        <v>320</v>
      </c>
      <c r="K176" s="444">
        <f t="shared" si="30"/>
        <v>4343049.5449876506</v>
      </c>
    </row>
    <row r="177" spans="2:16" x14ac:dyDescent="0.25">
      <c r="C177" s="101">
        <f>'Weather Analysis '!AB16</f>
        <v>135.46</v>
      </c>
      <c r="D177" s="101">
        <f>'Weather Analysis '!AB36</f>
        <v>15.030000000000001</v>
      </c>
      <c r="E177" s="16">
        <v>1</v>
      </c>
      <c r="F177" s="16">
        <v>30</v>
      </c>
      <c r="G177" s="16"/>
      <c r="H177"/>
      <c r="I177" s="159" t="e">
        <f>(I83+I71+I59+I47+I35+I23+I11+#REF!+#REF!+#REF!)/10</f>
        <v>#REF!</v>
      </c>
      <c r="J177" s="16">
        <v>336</v>
      </c>
      <c r="K177" s="444">
        <f t="shared" si="30"/>
        <v>3990768.1928506587</v>
      </c>
    </row>
    <row r="178" spans="2:16" x14ac:dyDescent="0.25">
      <c r="C178" s="101">
        <f>'Weather Analysis '!AB17</f>
        <v>341.62</v>
      </c>
      <c r="D178" s="101">
        <f>'Weather Analysis '!AB37</f>
        <v>0.1</v>
      </c>
      <c r="E178" s="16">
        <v>1</v>
      </c>
      <c r="F178" s="16">
        <v>31</v>
      </c>
      <c r="G178" s="16"/>
      <c r="H178"/>
      <c r="I178" s="159" t="e">
        <f>(I84+I72+I60+I48+I36+I24+I12+#REF!+#REF!+#REF!)/10</f>
        <v>#REF!</v>
      </c>
      <c r="J178" s="16">
        <v>352</v>
      </c>
      <c r="K178" s="444">
        <f t="shared" si="30"/>
        <v>4697523.4861576762</v>
      </c>
    </row>
    <row r="179" spans="2:16" x14ac:dyDescent="0.25">
      <c r="C179" s="101">
        <f>'Weather Analysis '!AB18</f>
        <v>565.70000000000005</v>
      </c>
      <c r="D179" s="101">
        <f>'Weather Analysis '!AB38</f>
        <v>0</v>
      </c>
      <c r="E179" s="16">
        <v>1</v>
      </c>
      <c r="F179" s="16">
        <v>30</v>
      </c>
      <c r="G179" s="16"/>
      <c r="H179"/>
      <c r="I179" s="159" t="e">
        <f>(I85+I73+I61+I49+I37+I25+I13+#REF!+#REF!+#REF!)/10</f>
        <v>#REF!</v>
      </c>
      <c r="J179" s="16">
        <v>304</v>
      </c>
      <c r="K179" s="444">
        <f t="shared" si="30"/>
        <v>5402308.2365802322</v>
      </c>
      <c r="O179" s="355" t="s">
        <v>220</v>
      </c>
      <c r="P179" s="354"/>
    </row>
    <row r="180" spans="2:16" x14ac:dyDescent="0.25">
      <c r="C180" s="101">
        <f>'Weather Analysis '!AB19</f>
        <v>799.21000000000015</v>
      </c>
      <c r="D180" s="101">
        <f>'Weather Analysis '!AB39</f>
        <v>0</v>
      </c>
      <c r="E180" s="16">
        <v>0</v>
      </c>
      <c r="F180" s="16">
        <v>31</v>
      </c>
      <c r="G180" s="16"/>
      <c r="H180"/>
      <c r="I180" s="159" t="e">
        <f>(I86+I74+I62+I50+I38+I26+I14+#REF!+#REF!+#REF!)/10</f>
        <v>#REF!</v>
      </c>
      <c r="J180" s="16">
        <v>336</v>
      </c>
      <c r="K180" s="444">
        <f t="shared" si="30"/>
        <v>6728914.8524818104</v>
      </c>
      <c r="L180" s="46">
        <f>SUM(K169:K180)</f>
        <v>62750541.387813456</v>
      </c>
      <c r="M180" s="46"/>
      <c r="O180" s="354"/>
      <c r="P180" s="354"/>
    </row>
    <row r="181" spans="2:16" x14ac:dyDescent="0.25">
      <c r="O181" s="354"/>
      <c r="P181" s="354"/>
    </row>
    <row r="182" spans="2:16" x14ac:dyDescent="0.25">
      <c r="B182" s="803" t="s">
        <v>82</v>
      </c>
      <c r="C182" s="804"/>
      <c r="D182" s="804"/>
      <c r="E182" s="114"/>
      <c r="H182" s="114"/>
      <c r="K182" s="114"/>
      <c r="L182" s="114"/>
      <c r="O182" s="354"/>
      <c r="P182" s="354"/>
    </row>
    <row r="183" spans="2:16" x14ac:dyDescent="0.25">
      <c r="C183" s="101">
        <f>'Weather Analysis '!AC8</f>
        <v>927.74533834586464</v>
      </c>
      <c r="D183" s="101">
        <f>'Weather Analysis '!AC28</f>
        <v>0</v>
      </c>
      <c r="E183" s="16">
        <v>0</v>
      </c>
      <c r="F183" s="16">
        <v>31</v>
      </c>
      <c r="G183" s="16"/>
      <c r="H183"/>
      <c r="I183" s="159" t="e">
        <f>(I75+I63+I51+I39+I27+I15+I3+#REF!+#REF!+#REF!)/10</f>
        <v>#REF!</v>
      </c>
      <c r="J183" s="16">
        <v>352</v>
      </c>
      <c r="K183" s="444">
        <f>$R$41+C183*$R$42+D183*$R$43+E183*$R$44+F183*$R$45</f>
        <v>7185386.6712636836</v>
      </c>
      <c r="L183" s="114"/>
      <c r="O183" s="354"/>
      <c r="P183" s="354"/>
    </row>
    <row r="184" spans="2:16" x14ac:dyDescent="0.25">
      <c r="C184" s="101">
        <f>'Weather Analysis '!AC9</f>
        <v>833.66533834586494</v>
      </c>
      <c r="D184" s="101">
        <f>'Weather Analysis '!AC29</f>
        <v>0</v>
      </c>
      <c r="E184" s="16">
        <v>0</v>
      </c>
      <c r="F184" s="16">
        <v>28</v>
      </c>
      <c r="G184" s="16"/>
      <c r="H184"/>
      <c r="I184" s="159" t="e">
        <f>(I76+I64+I52+I40+I28+I16+I4+#REF!+#REF!+#REF!)/10</f>
        <v>#REF!</v>
      </c>
      <c r="J184" s="16">
        <v>304</v>
      </c>
      <c r="K184" s="444">
        <f t="shared" ref="K184:K194" si="31">$R$41+C184*$R$42+D184*$R$43+E184*$R$44+F184*$R$45</f>
        <v>6580606.3040316999</v>
      </c>
      <c r="L184" s="114"/>
      <c r="O184" s="354"/>
      <c r="P184" s="354"/>
    </row>
    <row r="185" spans="2:16" x14ac:dyDescent="0.25">
      <c r="C185" s="101">
        <f>'Weather Analysis '!AC10</f>
        <v>735.98390977443614</v>
      </c>
      <c r="D185" s="101">
        <f>'Weather Analysis '!AC30</f>
        <v>0</v>
      </c>
      <c r="E185" s="16">
        <v>1</v>
      </c>
      <c r="F185" s="16">
        <v>31</v>
      </c>
      <c r="G185" s="16"/>
      <c r="H185"/>
      <c r="I185" s="159" t="e">
        <f>(I77+I65+I53+I41+I29+I17+I5+#REF!+#REF!+#REF!)/10</f>
        <v>#REF!</v>
      </c>
      <c r="J185" s="16">
        <v>336</v>
      </c>
      <c r="K185" s="444">
        <f t="shared" si="31"/>
        <v>6097266.7900718078</v>
      </c>
      <c r="L185" s="114"/>
      <c r="O185" s="354"/>
      <c r="P185" s="354"/>
    </row>
    <row r="186" spans="2:16" x14ac:dyDescent="0.25">
      <c r="C186" s="101">
        <f>'Weather Analysis '!AC11</f>
        <v>472.61796992481231</v>
      </c>
      <c r="D186" s="101">
        <f>'Weather Analysis '!AC31</f>
        <v>-7.9699248120301824E-3</v>
      </c>
      <c r="E186" s="16">
        <v>1</v>
      </c>
      <c r="F186" s="16">
        <v>30</v>
      </c>
      <c r="G186" s="16"/>
      <c r="H186"/>
      <c r="I186" s="159" t="e">
        <f>(I78+I66+I54+I42+I30+I18+I6+#REF!+#REF!+#REF!)/10</f>
        <v>#REF!</v>
      </c>
      <c r="J186" s="16">
        <v>320</v>
      </c>
      <c r="K186" s="444">
        <f t="shared" si="31"/>
        <v>5071681.2141904747</v>
      </c>
      <c r="L186" s="114"/>
      <c r="O186" s="354"/>
      <c r="P186" s="354"/>
    </row>
    <row r="187" spans="2:16" x14ac:dyDescent="0.25">
      <c r="C187" s="101">
        <f>'Weather Analysis '!AC12</f>
        <v>194.19135338345905</v>
      </c>
      <c r="D187" s="101">
        <f>'Weather Analysis '!AC32</f>
        <v>9.8604511278196014</v>
      </c>
      <c r="E187" s="16">
        <v>1</v>
      </c>
      <c r="F187" s="16">
        <v>31</v>
      </c>
      <c r="G187" s="16"/>
      <c r="H187"/>
      <c r="I187" s="159" t="e">
        <f>(I79+I67+I55+I43+I31+I19+I7+#REF!+#REF!+#REF!)/10</f>
        <v>#REF!</v>
      </c>
      <c r="J187" s="16">
        <v>336</v>
      </c>
      <c r="K187" s="444">
        <f t="shared" si="31"/>
        <v>4249535.7818175703</v>
      </c>
      <c r="L187" s="114"/>
      <c r="O187" s="354"/>
      <c r="P187" s="354"/>
    </row>
    <row r="188" spans="2:16" x14ac:dyDescent="0.25">
      <c r="C188" s="101">
        <f>'Weather Analysis '!AC13</f>
        <v>63.095112781954981</v>
      </c>
      <c r="D188" s="101">
        <f>'Weather Analysis '!AC33</f>
        <v>17.156015037593988</v>
      </c>
      <c r="E188" s="16">
        <v>0</v>
      </c>
      <c r="F188" s="16">
        <v>30</v>
      </c>
      <c r="G188" s="16"/>
      <c r="H188"/>
      <c r="I188" s="159" t="e">
        <f>(I80+I68+I56+I44+I32+I20+I8+#REF!+#REF!+#REF!)/10</f>
        <v>#REF!</v>
      </c>
      <c r="J188" s="16">
        <v>336</v>
      </c>
      <c r="K188" s="444">
        <f t="shared" si="31"/>
        <v>4157350.4160623513</v>
      </c>
      <c r="L188" s="114"/>
      <c r="O188" s="354"/>
      <c r="P188" s="354"/>
    </row>
    <row r="189" spans="2:16" x14ac:dyDescent="0.25">
      <c r="C189" s="101">
        <f>'Weather Analysis '!AC14</f>
        <v>13.934135338345868</v>
      </c>
      <c r="D189" s="101">
        <f>'Weather Analysis '!AC34</f>
        <v>67.692105263157828</v>
      </c>
      <c r="E189" s="16">
        <v>0</v>
      </c>
      <c r="F189" s="16">
        <v>31</v>
      </c>
      <c r="G189" s="16"/>
      <c r="H189"/>
      <c r="I189" s="159" t="e">
        <f>(I81+I69+I57+I45+I33+I21+I9+#REF!+#REF!+#REF!)/10</f>
        <v>#REF!</v>
      </c>
      <c r="J189" s="16">
        <v>352</v>
      </c>
      <c r="K189" s="444">
        <f t="shared" si="31"/>
        <v>4464315.8245882746</v>
      </c>
      <c r="L189" s="114"/>
      <c r="O189" s="354"/>
      <c r="P189" s="354"/>
    </row>
    <row r="190" spans="2:16" x14ac:dyDescent="0.25">
      <c r="C190" s="101">
        <f>'Weather Analysis '!AC15</f>
        <v>35.301127819548867</v>
      </c>
      <c r="D190" s="101">
        <f>'Weather Analysis '!AC35</f>
        <v>36.806165413533904</v>
      </c>
      <c r="E190" s="16">
        <v>0</v>
      </c>
      <c r="F190" s="16">
        <v>31</v>
      </c>
      <c r="G190" s="16"/>
      <c r="H190"/>
      <c r="I190" s="159" t="e">
        <f>(I82+I70+I58+I46+I34+I22+I10+#REF!+#REF!+#REF!)/10</f>
        <v>#REF!</v>
      </c>
      <c r="J190" s="16">
        <v>320</v>
      </c>
      <c r="K190" s="444">
        <f t="shared" si="31"/>
        <v>4301030.2944681905</v>
      </c>
      <c r="L190" s="114"/>
      <c r="O190" s="354"/>
      <c r="P190" s="354"/>
    </row>
    <row r="191" spans="2:16" x14ac:dyDescent="0.25">
      <c r="C191" s="101">
        <f>'Weather Analysis '!AC16</f>
        <v>123.09834586466127</v>
      </c>
      <c r="D191" s="101">
        <f>'Weather Analysis '!AC36</f>
        <v>17.259097744360929</v>
      </c>
      <c r="E191" s="16">
        <v>1</v>
      </c>
      <c r="F191" s="16">
        <v>30</v>
      </c>
      <c r="G191" s="16"/>
      <c r="H191"/>
      <c r="I191" s="159" t="e">
        <f>(I83+I71+I59+I47+I35+I23+I11+#REF!+#REF!+#REF!)/10</f>
        <v>#REF!</v>
      </c>
      <c r="J191" s="16">
        <v>336</v>
      </c>
      <c r="K191" s="444">
        <f t="shared" si="31"/>
        <v>3964128.9710567305</v>
      </c>
      <c r="L191" s="114"/>
    </row>
    <row r="192" spans="2:16" x14ac:dyDescent="0.25">
      <c r="C192" s="101">
        <f>'Weather Analysis '!AC17</f>
        <v>334.53541353383434</v>
      </c>
      <c r="D192" s="101">
        <f>'Weather Analysis '!AC37</f>
        <v>-0.25165413533832748</v>
      </c>
      <c r="E192" s="16">
        <v>1</v>
      </c>
      <c r="F192" s="16">
        <v>31</v>
      </c>
      <c r="G192" s="16"/>
      <c r="H192"/>
      <c r="I192" s="159" t="e">
        <f>(I84+I72+I60+I48+I36+I24+I12+#REF!+#REF!+#REF!)/10</f>
        <v>#REF!</v>
      </c>
      <c r="J192" s="16">
        <v>352</v>
      </c>
      <c r="K192" s="444">
        <f t="shared" si="31"/>
        <v>4669640.7071728911</v>
      </c>
      <c r="L192" s="114"/>
    </row>
    <row r="193" spans="3:18" x14ac:dyDescent="0.25">
      <c r="C193" s="101">
        <f>'Weather Analysis '!AC18</f>
        <v>579.09992481203062</v>
      </c>
      <c r="D193" s="101">
        <f>'Weather Analysis '!AC38</f>
        <v>0</v>
      </c>
      <c r="E193" s="16">
        <v>1</v>
      </c>
      <c r="F193" s="16">
        <v>30</v>
      </c>
      <c r="G193" s="16"/>
      <c r="H193"/>
      <c r="I193" s="159" t="e">
        <f>(I85+I73+I61+I49+I37+I25+I13+#REF!+#REF!+#REF!)/10</f>
        <v>#REF!</v>
      </c>
      <c r="J193" s="16">
        <v>304</v>
      </c>
      <c r="K193" s="444">
        <f t="shared" si="31"/>
        <v>5449895.8348952513</v>
      </c>
      <c r="L193" s="114"/>
    </row>
    <row r="194" spans="3:18" x14ac:dyDescent="0.25">
      <c r="C194" s="101">
        <f>'Weather Analysis '!AC19</f>
        <v>794.1840601503759</v>
      </c>
      <c r="D194" s="101">
        <f>'Weather Analysis '!AC39</f>
        <v>0</v>
      </c>
      <c r="E194" s="16">
        <v>0</v>
      </c>
      <c r="F194" s="16">
        <v>31</v>
      </c>
      <c r="G194" s="16"/>
      <c r="H194"/>
      <c r="I194" s="159" t="e">
        <f>(I86+I74+I62+I50+I38+I26+I14+#REF!+#REF!+#REF!)/10</f>
        <v>#REF!</v>
      </c>
      <c r="J194" s="16">
        <v>336</v>
      </c>
      <c r="K194" s="444">
        <f t="shared" si="31"/>
        <v>6711066.0652628969</v>
      </c>
      <c r="L194" s="46">
        <f>SUM(K183:K194)</f>
        <v>62901904.874881826</v>
      </c>
      <c r="O194" s="5"/>
    </row>
    <row r="195" spans="3:18" x14ac:dyDescent="0.25">
      <c r="O195" s="5"/>
    </row>
    <row r="196" spans="3:18" x14ac:dyDescent="0.25">
      <c r="O196" s="5"/>
    </row>
    <row r="197" spans="3:18" x14ac:dyDescent="0.25">
      <c r="O197" s="5"/>
    </row>
    <row r="198" spans="3:18" x14ac:dyDescent="0.25">
      <c r="O198" s="5"/>
    </row>
    <row r="199" spans="3:18" x14ac:dyDescent="0.25">
      <c r="O199" s="5"/>
    </row>
    <row r="200" spans="3:18" x14ac:dyDescent="0.25">
      <c r="O200" s="5"/>
    </row>
    <row r="201" spans="3:18" x14ac:dyDescent="0.25">
      <c r="O201" s="5"/>
    </row>
    <row r="202" spans="3:18" x14ac:dyDescent="0.25">
      <c r="O202" s="5"/>
    </row>
    <row r="203" spans="3:18" x14ac:dyDescent="0.25">
      <c r="O203" s="5"/>
    </row>
    <row r="204" spans="3:18" x14ac:dyDescent="0.25">
      <c r="O204" s="5"/>
    </row>
    <row r="205" spans="3:18" x14ac:dyDescent="0.25">
      <c r="O205" s="5"/>
    </row>
    <row r="206" spans="3:18" x14ac:dyDescent="0.25">
      <c r="O206" s="6"/>
    </row>
    <row r="207" spans="3:18" x14ac:dyDescent="0.25">
      <c r="O207" s="6"/>
      <c r="Q207" s="156"/>
      <c r="R207" s="102"/>
    </row>
    <row r="208" spans="3:18" x14ac:dyDescent="0.25">
      <c r="O208" s="156"/>
      <c r="P208" s="354"/>
      <c r="Q208" s="156">
        <v>65670195.765669957</v>
      </c>
      <c r="R208" s="102"/>
    </row>
    <row r="209" spans="15:17" x14ac:dyDescent="0.25">
      <c r="Q209" s="156"/>
    </row>
    <row r="213" spans="15:17" x14ac:dyDescent="0.25">
      <c r="O213" s="17"/>
    </row>
    <row r="250" spans="16:16" x14ac:dyDescent="0.25">
      <c r="P250" s="5"/>
    </row>
    <row r="251" spans="16:16" x14ac:dyDescent="0.25">
      <c r="P251" s="5"/>
    </row>
    <row r="252" spans="16:16" x14ac:dyDescent="0.25">
      <c r="P252" s="5"/>
    </row>
    <row r="253" spans="16:16" x14ac:dyDescent="0.25">
      <c r="P253" s="5"/>
    </row>
    <row r="254" spans="16:16" x14ac:dyDescent="0.25">
      <c r="P254" s="5"/>
    </row>
    <row r="255" spans="16:16" x14ac:dyDescent="0.25">
      <c r="P255" s="5"/>
    </row>
    <row r="256" spans="16:16" x14ac:dyDescent="0.25">
      <c r="P256" s="5"/>
    </row>
    <row r="257" spans="16:18" x14ac:dyDescent="0.25">
      <c r="P257" s="5"/>
    </row>
    <row r="258" spans="16:18" x14ac:dyDescent="0.25">
      <c r="P258" s="5"/>
    </row>
    <row r="259" spans="16:18" x14ac:dyDescent="0.25">
      <c r="P259" s="5"/>
    </row>
    <row r="260" spans="16:18" x14ac:dyDescent="0.25">
      <c r="P260" s="5"/>
      <c r="Q260" s="6"/>
      <c r="R260" s="53"/>
    </row>
    <row r="261" spans="16:18" x14ac:dyDescent="0.25">
      <c r="P261" s="5"/>
      <c r="Q261" s="6"/>
      <c r="R261" s="53"/>
    </row>
    <row r="262" spans="16:18" x14ac:dyDescent="0.25">
      <c r="P262" s="5"/>
      <c r="Q262" s="6"/>
      <c r="R262" s="53"/>
    </row>
    <row r="263" spans="16:18" x14ac:dyDescent="0.25">
      <c r="P263" s="5"/>
      <c r="Q263" s="6"/>
      <c r="R263" s="53"/>
    </row>
    <row r="264" spans="16:18" x14ac:dyDescent="0.25">
      <c r="P264" s="5"/>
      <c r="Q264" s="6"/>
      <c r="R264" s="53"/>
    </row>
    <row r="265" spans="16:18" x14ac:dyDescent="0.25">
      <c r="P265" s="5"/>
      <c r="Q265" s="6"/>
      <c r="R265" s="53"/>
    </row>
    <row r="266" spans="16:18" x14ac:dyDescent="0.25">
      <c r="P266" s="5"/>
      <c r="Q266" s="6"/>
      <c r="R266" s="53"/>
    </row>
    <row r="267" spans="16:18" x14ac:dyDescent="0.25">
      <c r="P267" s="5"/>
      <c r="Q267" s="6"/>
      <c r="R267" s="53"/>
    </row>
    <row r="268" spans="16:18" x14ac:dyDescent="0.25">
      <c r="P268" s="5"/>
      <c r="Q268" s="6"/>
      <c r="R268" s="53"/>
    </row>
    <row r="273" spans="16:16" x14ac:dyDescent="0.25">
      <c r="P273" s="17"/>
    </row>
  </sheetData>
  <customSheetViews>
    <customSheetView guid="{7481AE0E-2D6B-416C-8D95-7DAA8CA7C9F5}" scale="85" showPageBreaks="1" fitToPage="1" printArea="1" hiddenColumns="1">
      <pane xSplit="1" ySplit="2" topLeftCell="B78" activePane="bottomRight" state="frozen"/>
      <selection pane="bottomRight" activeCell="B99" sqref="B99:B110"/>
      <pageMargins left="0.38" right="0.75" top="0.73" bottom="0.74" header="0.5" footer="0.5"/>
      <printOptions gridLines="1"/>
      <pageSetup scale="23" orientation="landscape" r:id="rId1"/>
      <headerFooter alignWithMargins="0">
        <oddFooter>&amp;L&amp;Z&amp;F</oddFooter>
      </headerFooter>
    </customSheetView>
    <customSheetView guid="{4115F855-0BCB-4789-890B-F67D0AF20543}" scale="85" fitToPage="1" hiddenColumns="1">
      <pane xSplit="1" ySplit="2" topLeftCell="B148" activePane="bottomRight" state="frozen"/>
      <selection pane="bottomRight" activeCell="P149" sqref="P149"/>
      <pageMargins left="0.38" right="0.75" top="0.73" bottom="0.74" header="0.5" footer="0.5"/>
      <printOptions gridLines="1"/>
      <pageSetup scale="23" orientation="landscape" r:id="rId2"/>
      <headerFooter alignWithMargins="0">
        <oddFooter>&amp;L&amp;Z&amp;F</oddFooter>
      </headerFooter>
    </customSheetView>
    <customSheetView guid="{DE47F5DD-3736-469D-8704-852547698004}" scale="85" showPageBreaks="1" fitToPage="1" printArea="1" hiddenColumns="1">
      <pane xSplit="1" ySplit="2" topLeftCell="O135" activePane="bottomRight" state="frozen"/>
      <selection pane="bottomRight" activeCell="W154" sqref="W154:W158"/>
      <pageMargins left="0.38" right="0.75" top="0.73" bottom="0.74" header="0.5" footer="0.5"/>
      <printOptions gridLines="1"/>
      <pageSetup scale="23" orientation="landscape" r:id="rId3"/>
      <headerFooter alignWithMargins="0">
        <oddFooter>&amp;L&amp;Z&amp;F</oddFooter>
      </headerFooter>
    </customSheetView>
  </customSheetViews>
  <mergeCells count="2">
    <mergeCell ref="B168:D168"/>
    <mergeCell ref="B182:D182"/>
  </mergeCells>
  <phoneticPr fontId="0" type="noConversion"/>
  <printOptions gridLines="1"/>
  <pageMargins left="0.38" right="0.75" top="0.73" bottom="0.74" header="0.5" footer="0.5"/>
  <pageSetup scale="23" orientation="landscape" r:id="rId4"/>
  <headerFooter alignWithMargins="0">
    <oddFooter>&amp;L&amp;Z&amp;F</oddFooter>
  </headerFooter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Z273"/>
  <sheetViews>
    <sheetView zoomScale="85" zoomScaleNormal="85" workbookViewId="0">
      <pane xSplit="1" ySplit="2" topLeftCell="B138" activePane="bottomRight" state="frozen"/>
      <selection pane="topRight" activeCell="B1" sqref="B1"/>
      <selection pane="bottomLeft" activeCell="A3" sqref="A3"/>
      <selection pane="bottomRight" activeCell="J2" sqref="J2"/>
    </sheetView>
  </sheetViews>
  <sheetFormatPr defaultColWidth="9.08984375" defaultRowHeight="12.5" x14ac:dyDescent="0.25"/>
  <cols>
    <col min="1" max="1" width="11.90625" style="37" customWidth="1"/>
    <col min="2" max="2" width="18" style="443" customWidth="1"/>
    <col min="3" max="3" width="11.6328125" style="437" customWidth="1"/>
    <col min="4" max="4" width="13.453125" style="437" customWidth="1"/>
    <col min="5" max="5" width="12.453125" style="437" customWidth="1"/>
    <col min="6" max="6" width="10.08984375" style="157" customWidth="1"/>
    <col min="7" max="7" width="10.08984375" style="157" hidden="1" customWidth="1"/>
    <col min="8" max="8" width="14.90625" style="437" hidden="1" customWidth="1"/>
    <col min="9" max="9" width="12.36328125" style="394" hidden="1" customWidth="1"/>
    <col min="10" max="10" width="13" style="157" hidden="1" customWidth="1"/>
    <col min="11" max="11" width="15.54296875" style="437" bestFit="1" customWidth="1"/>
    <col min="12" max="12" width="16" style="437" customWidth="1"/>
    <col min="13" max="13" width="9.453125" style="437" customWidth="1"/>
    <col min="14" max="14" width="8.90625" style="437" customWidth="1"/>
    <col min="15" max="15" width="14.54296875" style="437" customWidth="1"/>
    <col min="16" max="16" width="8.453125" style="437" customWidth="1"/>
    <col min="17" max="17" width="42.08984375" style="362" customWidth="1"/>
    <col min="18" max="18" width="17.453125" style="362" bestFit="1" customWidth="1"/>
    <col min="19" max="19" width="15.36328125" style="362" bestFit="1" customWidth="1"/>
    <col min="20" max="20" width="13" style="362" bestFit="1" customWidth="1"/>
    <col min="21" max="21" width="17.08984375" style="362" customWidth="1"/>
    <col min="22" max="22" width="17.08984375" style="362" bestFit="1" customWidth="1"/>
    <col min="23" max="23" width="16" style="362" bestFit="1" customWidth="1"/>
    <col min="24" max="24" width="15.453125" style="362" customWidth="1"/>
    <col min="25" max="25" width="15" style="362" bestFit="1" customWidth="1"/>
    <col min="26" max="26" width="42.453125" style="362" bestFit="1" customWidth="1"/>
    <col min="27" max="27" width="15.54296875" style="362" bestFit="1" customWidth="1"/>
    <col min="28" max="28" width="26.08984375" style="362" bestFit="1" customWidth="1"/>
    <col min="29" max="29" width="23" style="362" bestFit="1" customWidth="1"/>
    <col min="30" max="31" width="9.08984375" style="362"/>
    <col min="32" max="32" width="40.6328125" style="362" bestFit="1" customWidth="1"/>
    <col min="33" max="33" width="42.90625" style="362" bestFit="1" customWidth="1"/>
    <col min="34" max="16384" width="9.08984375" style="362"/>
  </cols>
  <sheetData>
    <row r="2" spans="1:46" s="31" customFormat="1" ht="37.5" x14ac:dyDescent="0.25">
      <c r="A2" s="172"/>
      <c r="B2" s="151" t="s">
        <v>46</v>
      </c>
      <c r="C2" s="152" t="s">
        <v>3</v>
      </c>
      <c r="D2" s="152" t="s">
        <v>4</v>
      </c>
      <c r="E2" s="152" t="s">
        <v>26</v>
      </c>
      <c r="F2" s="152" t="s">
        <v>5</v>
      </c>
      <c r="G2" s="152" t="s">
        <v>245</v>
      </c>
      <c r="H2" s="152" t="s">
        <v>69</v>
      </c>
      <c r="I2" s="154" t="s">
        <v>7</v>
      </c>
      <c r="J2" s="171" t="s">
        <v>6</v>
      </c>
      <c r="K2" s="152" t="s">
        <v>12</v>
      </c>
      <c r="L2" s="153" t="s">
        <v>13</v>
      </c>
      <c r="M2" s="152" t="s">
        <v>14</v>
      </c>
      <c r="N2" s="152" t="s">
        <v>70</v>
      </c>
      <c r="Q2" s="102" t="s">
        <v>347</v>
      </c>
      <c r="R2" s="669"/>
      <c r="S2" s="669"/>
      <c r="T2" s="669"/>
      <c r="U2" s="669"/>
      <c r="V2" s="669"/>
      <c r="W2" s="669"/>
      <c r="X2" s="669"/>
      <c r="Y2" s="669"/>
    </row>
    <row r="3" spans="1:46" ht="13" thickBot="1" x14ac:dyDescent="0.3">
      <c r="A3" s="173">
        <v>40209</v>
      </c>
      <c r="B3" s="176">
        <f>'Purchased Power Model'!B3</f>
        <v>7177749.2999999998</v>
      </c>
      <c r="C3" s="174">
        <f>'Purchased Power Model'!C123</f>
        <v>932.51</v>
      </c>
      <c r="D3" s="174">
        <f>'Purchased Power Model'!D123</f>
        <v>0</v>
      </c>
      <c r="E3" s="174">
        <f>'Purchased Power Model'!E123</f>
        <v>0</v>
      </c>
      <c r="F3" s="175">
        <v>31</v>
      </c>
      <c r="G3" s="442" t="e">
        <f>#REF!</f>
        <v>#REF!</v>
      </c>
      <c r="H3" s="162">
        <v>3303</v>
      </c>
      <c r="I3" s="396">
        <v>134.72999999999999</v>
      </c>
      <c r="J3" s="161">
        <v>320</v>
      </c>
      <c r="K3" s="444">
        <f>$R$18+C3*$R$19+D3*$R$20+E3*$R$21+F3*$R$22</f>
        <v>7202307.5725436965</v>
      </c>
      <c r="L3" s="445">
        <f>K3-B3</f>
        <v>24558.272543696687</v>
      </c>
      <c r="M3" s="446">
        <f>L3/B3</f>
        <v>3.4214447338940476E-3</v>
      </c>
      <c r="N3" s="447">
        <f>ABS(M3)</f>
        <v>3.4214447338940476E-3</v>
      </c>
      <c r="O3" s="13"/>
      <c r="P3" s="362"/>
      <c r="Q3" s="669"/>
      <c r="R3" s="669"/>
      <c r="S3" s="669"/>
      <c r="T3" s="669"/>
      <c r="U3" s="669"/>
      <c r="V3" s="669"/>
      <c r="W3" s="669"/>
      <c r="X3" s="669"/>
      <c r="Y3" s="669"/>
    </row>
    <row r="4" spans="1:46" ht="13" x14ac:dyDescent="0.3">
      <c r="A4" s="173">
        <v>40237</v>
      </c>
      <c r="B4" s="176">
        <f>'Purchased Power Model'!B4</f>
        <v>7114370.2079999996</v>
      </c>
      <c r="C4" s="174">
        <f>'Purchased Power Model'!C124</f>
        <v>818.46</v>
      </c>
      <c r="D4" s="174">
        <f>'Purchased Power Model'!D124</f>
        <v>0</v>
      </c>
      <c r="E4" s="174">
        <f>'Purchased Power Model'!E124</f>
        <v>0</v>
      </c>
      <c r="F4" s="175">
        <v>28</v>
      </c>
      <c r="G4" s="442" t="e">
        <f>#REF!</f>
        <v>#REF!</v>
      </c>
      <c r="H4" s="162">
        <v>3307</v>
      </c>
      <c r="I4" s="396">
        <v>135.1</v>
      </c>
      <c r="J4" s="161">
        <v>304</v>
      </c>
      <c r="K4" s="444">
        <f t="shared" ref="K4:K67" si="0">$R$18+C4*$R$19+D4*$R$20+E4*$R$21+F4*$R$22</f>
        <v>6526607.0806332733</v>
      </c>
      <c r="L4" s="445">
        <f t="shared" ref="L4:L67" si="1">K4-B4</f>
        <v>-587763.12736672629</v>
      </c>
      <c r="M4" s="446">
        <f t="shared" ref="M4:M67" si="2">L4/B4</f>
        <v>-8.2616325856334508E-2</v>
      </c>
      <c r="N4" s="447">
        <f t="shared" ref="N4:N67" si="3">ABS(M4)</f>
        <v>8.2616325856334508E-2</v>
      </c>
      <c r="O4" s="13"/>
      <c r="P4" s="362"/>
      <c r="Q4" s="468" t="s">
        <v>248</v>
      </c>
      <c r="R4" s="468"/>
      <c r="S4" s="669"/>
      <c r="T4" s="669"/>
      <c r="U4" s="669"/>
      <c r="V4" s="669"/>
      <c r="W4" s="669"/>
      <c r="X4" s="669"/>
      <c r="Y4" s="669"/>
    </row>
    <row r="5" spans="1:46" x14ac:dyDescent="0.25">
      <c r="A5" s="173">
        <v>40268</v>
      </c>
      <c r="B5" s="176">
        <f>'Purchased Power Model'!B5</f>
        <v>5311814.42</v>
      </c>
      <c r="C5" s="174">
        <f>'Purchased Power Model'!C125</f>
        <v>703.27999999999986</v>
      </c>
      <c r="D5" s="174">
        <f>'Purchased Power Model'!D125</f>
        <v>0</v>
      </c>
      <c r="E5" s="174">
        <f>'Purchased Power Model'!E125</f>
        <v>1</v>
      </c>
      <c r="F5" s="175">
        <v>31</v>
      </c>
      <c r="G5" s="442" t="e">
        <f>#REF!</f>
        <v>#REF!</v>
      </c>
      <c r="H5" s="162">
        <v>3308</v>
      </c>
      <c r="I5" s="396">
        <v>135.46</v>
      </c>
      <c r="J5" s="161">
        <v>368</v>
      </c>
      <c r="K5" s="444">
        <f t="shared" si="0"/>
        <v>5981124.3084155526</v>
      </c>
      <c r="L5" s="445">
        <f t="shared" si="1"/>
        <v>669309.88841555268</v>
      </c>
      <c r="M5" s="446">
        <f t="shared" si="2"/>
        <v>0.12600400456301195</v>
      </c>
      <c r="N5" s="447">
        <f t="shared" si="3"/>
        <v>0.12600400456301195</v>
      </c>
      <c r="O5" s="13"/>
      <c r="P5" s="362"/>
      <c r="Q5" s="32" t="s">
        <v>249</v>
      </c>
      <c r="R5" s="469">
        <v>0.95659228588544565</v>
      </c>
      <c r="S5" s="669"/>
      <c r="T5" s="669"/>
      <c r="U5" s="669"/>
      <c r="V5" s="669"/>
      <c r="W5" s="669"/>
      <c r="X5" s="669"/>
      <c r="Y5" s="669"/>
    </row>
    <row r="6" spans="1:46" x14ac:dyDescent="0.25">
      <c r="A6" s="173">
        <v>40298</v>
      </c>
      <c r="B6" s="176">
        <f>'Purchased Power Model'!B6</f>
        <v>4914695.6040000003</v>
      </c>
      <c r="C6" s="174">
        <f>'Purchased Power Model'!C126</f>
        <v>448.57000000000005</v>
      </c>
      <c r="D6" s="174">
        <f>'Purchased Power Model'!D126</f>
        <v>0</v>
      </c>
      <c r="E6" s="174">
        <f>'Purchased Power Model'!E126</f>
        <v>1</v>
      </c>
      <c r="F6" s="175">
        <v>30</v>
      </c>
      <c r="G6" s="442" t="e">
        <f>#REF!</f>
        <v>#REF!</v>
      </c>
      <c r="H6" s="162">
        <v>3298</v>
      </c>
      <c r="I6" s="396">
        <v>135.83000000000001</v>
      </c>
      <c r="J6" s="161">
        <v>320</v>
      </c>
      <c r="K6" s="444">
        <f t="shared" si="0"/>
        <v>4986340.5749084484</v>
      </c>
      <c r="L6" s="445">
        <f t="shared" si="1"/>
        <v>71644.9709084481</v>
      </c>
      <c r="M6" s="446">
        <f t="shared" si="2"/>
        <v>1.4577702604844395E-2</v>
      </c>
      <c r="N6" s="447">
        <f t="shared" si="3"/>
        <v>1.4577702604844395E-2</v>
      </c>
      <c r="O6" s="13"/>
      <c r="P6" s="362"/>
      <c r="Q6" s="32" t="s">
        <v>28</v>
      </c>
      <c r="R6" s="469">
        <v>0.91506880141554214</v>
      </c>
      <c r="S6" s="669"/>
      <c r="T6" s="669"/>
      <c r="U6" s="669"/>
      <c r="V6" s="669"/>
      <c r="W6" s="669"/>
      <c r="X6" s="669"/>
      <c r="Y6" s="669"/>
    </row>
    <row r="7" spans="1:46" x14ac:dyDescent="0.25">
      <c r="A7" s="173">
        <v>40329</v>
      </c>
      <c r="B7" s="176">
        <f>'Purchased Power Model'!B7</f>
        <v>4779232.3559999997</v>
      </c>
      <c r="C7" s="174">
        <f>'Purchased Power Model'!C127</f>
        <v>189.26</v>
      </c>
      <c r="D7" s="174">
        <f>'Purchased Power Model'!D127</f>
        <v>9.2199999999999989</v>
      </c>
      <c r="E7" s="174">
        <f>'Purchased Power Model'!E127</f>
        <v>1</v>
      </c>
      <c r="F7" s="175">
        <v>31</v>
      </c>
      <c r="G7" s="442" t="e">
        <f>#REF!</f>
        <v>#REF!</v>
      </c>
      <c r="H7" s="162">
        <v>3333</v>
      </c>
      <c r="I7" s="396">
        <v>136.19999999999999</v>
      </c>
      <c r="J7" s="161">
        <v>320</v>
      </c>
      <c r="K7" s="444">
        <f t="shared" si="0"/>
        <v>4227063.5368910208</v>
      </c>
      <c r="L7" s="445">
        <f t="shared" si="1"/>
        <v>-552168.81910897885</v>
      </c>
      <c r="M7" s="446">
        <f t="shared" si="2"/>
        <v>-0.11553504370126902</v>
      </c>
      <c r="N7" s="447">
        <f t="shared" si="3"/>
        <v>0.11553504370126902</v>
      </c>
      <c r="O7" s="13"/>
      <c r="P7" s="362"/>
      <c r="Q7" s="32" t="s">
        <v>29</v>
      </c>
      <c r="R7" s="469">
        <v>0.91211467276912628</v>
      </c>
      <c r="S7" s="669"/>
      <c r="T7" s="669"/>
      <c r="U7" s="669"/>
      <c r="V7" s="669"/>
      <c r="W7" s="669"/>
      <c r="X7" s="669"/>
      <c r="Y7" s="669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</row>
    <row r="8" spans="1:46" x14ac:dyDescent="0.25">
      <c r="A8" s="173">
        <v>40359</v>
      </c>
      <c r="B8" s="176">
        <f>'Purchased Power Model'!B8</f>
        <v>4124468.9640000002</v>
      </c>
      <c r="C8" s="174">
        <f>'Purchased Power Model'!C128</f>
        <v>65.79000000000002</v>
      </c>
      <c r="D8" s="174">
        <f>'Purchased Power Model'!D128</f>
        <v>18.669999999999998</v>
      </c>
      <c r="E8" s="174">
        <f>'Purchased Power Model'!E128</f>
        <v>0</v>
      </c>
      <c r="F8" s="175">
        <v>30</v>
      </c>
      <c r="G8" s="442" t="e">
        <f>#REF!</f>
        <v>#REF!</v>
      </c>
      <c r="H8" s="162">
        <v>3284</v>
      </c>
      <c r="I8" s="396">
        <v>136.57</v>
      </c>
      <c r="J8" s="161">
        <v>352</v>
      </c>
      <c r="K8" s="444">
        <f t="shared" si="0"/>
        <v>4178644.4778910829</v>
      </c>
      <c r="L8" s="445">
        <f t="shared" si="1"/>
        <v>54175.513891082723</v>
      </c>
      <c r="M8" s="446">
        <f t="shared" si="2"/>
        <v>1.3135148879515904E-2</v>
      </c>
      <c r="N8" s="447">
        <f t="shared" si="3"/>
        <v>1.3135148879515904E-2</v>
      </c>
      <c r="O8" s="13"/>
      <c r="P8" s="362"/>
      <c r="Q8" s="32" t="s">
        <v>250</v>
      </c>
      <c r="R8" s="32">
        <v>342137.03588064178</v>
      </c>
      <c r="S8" s="669"/>
      <c r="T8" s="669"/>
      <c r="U8" s="669"/>
      <c r="V8" s="669"/>
      <c r="W8" s="669"/>
      <c r="X8" s="669"/>
      <c r="Y8" s="669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</row>
    <row r="9" spans="1:46" ht="13" thickBot="1" x14ac:dyDescent="0.3">
      <c r="A9" s="173">
        <v>40390</v>
      </c>
      <c r="B9" s="176">
        <f>'Purchased Power Model'!B9</f>
        <v>4708129.9479999999</v>
      </c>
      <c r="C9" s="174">
        <f>'Purchased Power Model'!C129</f>
        <v>18.400000000000002</v>
      </c>
      <c r="D9" s="174">
        <f>'Purchased Power Model'!D129</f>
        <v>68.429999999999993</v>
      </c>
      <c r="E9" s="174">
        <f>'Purchased Power Model'!E129</f>
        <v>0</v>
      </c>
      <c r="F9" s="175">
        <v>31</v>
      </c>
      <c r="G9" s="442" t="e">
        <f>#REF!</f>
        <v>#REF!</v>
      </c>
      <c r="H9" s="162">
        <v>3309</v>
      </c>
      <c r="I9" s="396">
        <v>136.94</v>
      </c>
      <c r="J9" s="161">
        <v>336</v>
      </c>
      <c r="K9" s="444">
        <f t="shared" si="0"/>
        <v>4485889.5234723538</v>
      </c>
      <c r="L9" s="445">
        <f t="shared" si="1"/>
        <v>-222240.42452764604</v>
      </c>
      <c r="M9" s="446">
        <f t="shared" si="2"/>
        <v>-4.7203545140476241E-2</v>
      </c>
      <c r="N9" s="447">
        <f t="shared" si="3"/>
        <v>4.7203545140476241E-2</v>
      </c>
      <c r="O9" s="13"/>
      <c r="P9" s="362"/>
      <c r="Q9" s="466" t="s">
        <v>251</v>
      </c>
      <c r="R9" s="466">
        <v>120</v>
      </c>
      <c r="S9" s="669"/>
      <c r="T9" s="669"/>
      <c r="U9" s="669"/>
      <c r="V9" s="669"/>
      <c r="W9" s="669"/>
      <c r="X9" s="669"/>
      <c r="Y9" s="669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</row>
    <row r="10" spans="1:46" ht="13" x14ac:dyDescent="0.3">
      <c r="A10" s="173">
        <v>40421</v>
      </c>
      <c r="B10" s="176">
        <f>'Purchased Power Model'!B10</f>
        <v>4926115.7319999998</v>
      </c>
      <c r="C10" s="174">
        <f>'Purchased Power Model'!C130</f>
        <v>34.26</v>
      </c>
      <c r="D10" s="174">
        <f>'Purchased Power Model'!D130</f>
        <v>42.710000000000008</v>
      </c>
      <c r="E10" s="174">
        <f>'Purchased Power Model'!E130</f>
        <v>0</v>
      </c>
      <c r="F10" s="175">
        <v>31</v>
      </c>
      <c r="G10" s="442" t="e">
        <f>#REF!</f>
        <v>#REF!</v>
      </c>
      <c r="H10" s="162">
        <v>3279</v>
      </c>
      <c r="I10" s="396">
        <v>137.31</v>
      </c>
      <c r="J10" s="161">
        <v>336</v>
      </c>
      <c r="K10" s="444">
        <f t="shared" si="0"/>
        <v>4343049.5449876506</v>
      </c>
      <c r="L10" s="445">
        <f t="shared" si="1"/>
        <v>-583066.18701234926</v>
      </c>
      <c r="M10" s="446">
        <f t="shared" si="2"/>
        <v>-0.11836225917811004</v>
      </c>
      <c r="N10" s="447">
        <f t="shared" si="3"/>
        <v>0.11836225917811004</v>
      </c>
      <c r="O10" s="13"/>
      <c r="P10" s="362"/>
      <c r="Q10" s="669"/>
      <c r="R10" s="669"/>
      <c r="S10" s="669"/>
      <c r="T10" s="669"/>
      <c r="U10" s="669"/>
      <c r="V10" s="669"/>
      <c r="W10" s="669"/>
      <c r="X10" s="669"/>
      <c r="Y10" s="669"/>
      <c r="AA10" s="113"/>
      <c r="AB10" s="113"/>
      <c r="AC10" s="113"/>
      <c r="AD10" s="113"/>
      <c r="AE10" s="113"/>
      <c r="AF10" s="113"/>
      <c r="AG10" s="113"/>
      <c r="AH10" s="113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</row>
    <row r="11" spans="1:46" ht="13" thickBot="1" x14ac:dyDescent="0.3">
      <c r="A11" s="173">
        <v>40451</v>
      </c>
      <c r="B11" s="176">
        <f>'Purchased Power Model'!B11</f>
        <v>4287110.4639999997</v>
      </c>
      <c r="C11" s="174">
        <f>'Purchased Power Model'!C131</f>
        <v>135.46</v>
      </c>
      <c r="D11" s="174">
        <f>'Purchased Power Model'!D131</f>
        <v>15.030000000000001</v>
      </c>
      <c r="E11" s="174">
        <f>'Purchased Power Model'!E131</f>
        <v>1</v>
      </c>
      <c r="F11" s="175">
        <v>30</v>
      </c>
      <c r="G11" s="442" t="e">
        <f>#REF!</f>
        <v>#REF!</v>
      </c>
      <c r="H11" s="162">
        <v>3282</v>
      </c>
      <c r="I11" s="396">
        <v>137.68</v>
      </c>
      <c r="J11" s="161">
        <v>336</v>
      </c>
      <c r="K11" s="444">
        <f t="shared" si="0"/>
        <v>3990768.1928506587</v>
      </c>
      <c r="L11" s="445">
        <f t="shared" si="1"/>
        <v>-296342.27114934102</v>
      </c>
      <c r="M11" s="446">
        <f t="shared" si="2"/>
        <v>-6.9124011064749885E-2</v>
      </c>
      <c r="N11" s="447">
        <f t="shared" si="3"/>
        <v>6.9124011064749885E-2</v>
      </c>
      <c r="O11" s="13"/>
      <c r="P11" s="362"/>
      <c r="Q11" s="669" t="s">
        <v>252</v>
      </c>
      <c r="R11" s="669"/>
      <c r="S11" s="669"/>
      <c r="T11" s="669"/>
      <c r="U11" s="669"/>
      <c r="V11" s="669"/>
      <c r="W11" s="669"/>
      <c r="X11" s="669"/>
      <c r="Y11" s="669"/>
      <c r="AA11" s="32"/>
      <c r="AB11" s="32"/>
      <c r="AC11" s="32"/>
      <c r="AD11" s="32"/>
      <c r="AE11" s="32"/>
      <c r="AF11" s="32"/>
      <c r="AG11" s="32"/>
      <c r="AH11" s="32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</row>
    <row r="12" spans="1:46" ht="13" x14ac:dyDescent="0.3">
      <c r="A12" s="173">
        <v>40482</v>
      </c>
      <c r="B12" s="176">
        <f>'Purchased Power Model'!B12</f>
        <v>5014291.22</v>
      </c>
      <c r="C12" s="174">
        <f>'Purchased Power Model'!C132</f>
        <v>341.62</v>
      </c>
      <c r="D12" s="174">
        <f>'Purchased Power Model'!D132</f>
        <v>0.1</v>
      </c>
      <c r="E12" s="174">
        <f>'Purchased Power Model'!E132</f>
        <v>1</v>
      </c>
      <c r="F12" s="175">
        <v>31</v>
      </c>
      <c r="G12" s="442" t="e">
        <f>#REF!</f>
        <v>#REF!</v>
      </c>
      <c r="H12" s="162">
        <v>3313</v>
      </c>
      <c r="I12" s="396">
        <v>138.05000000000001</v>
      </c>
      <c r="J12" s="161">
        <v>320</v>
      </c>
      <c r="K12" s="444">
        <f t="shared" si="0"/>
        <v>4697523.4861576762</v>
      </c>
      <c r="L12" s="445">
        <f t="shared" si="1"/>
        <v>-316767.73384232353</v>
      </c>
      <c r="M12" s="446">
        <f t="shared" si="2"/>
        <v>-6.317298296893166E-2</v>
      </c>
      <c r="N12" s="447">
        <f t="shared" si="3"/>
        <v>6.317298296893166E-2</v>
      </c>
      <c r="O12" s="13"/>
      <c r="P12" s="362"/>
      <c r="Q12" s="467"/>
      <c r="R12" s="467" t="s">
        <v>256</v>
      </c>
      <c r="S12" s="467" t="s">
        <v>257</v>
      </c>
      <c r="T12" s="467" t="s">
        <v>258</v>
      </c>
      <c r="U12" s="467" t="s">
        <v>259</v>
      </c>
      <c r="V12" s="467" t="s">
        <v>260</v>
      </c>
      <c r="W12" s="669"/>
      <c r="X12" s="669"/>
      <c r="Y12" s="669"/>
      <c r="AA12" s="99"/>
      <c r="AB12" s="99"/>
      <c r="AC12" s="99"/>
      <c r="AD12" s="99"/>
      <c r="AE12" s="99"/>
      <c r="AF12" s="99"/>
      <c r="AG12" s="99"/>
      <c r="AH12" s="99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</row>
    <row r="13" spans="1:46" x14ac:dyDescent="0.25">
      <c r="A13" s="173">
        <v>40512</v>
      </c>
      <c r="B13" s="176">
        <f>'Purchased Power Model'!B13</f>
        <v>5454156.3799999999</v>
      </c>
      <c r="C13" s="174">
        <f>'Purchased Power Model'!C133</f>
        <v>565.70000000000005</v>
      </c>
      <c r="D13" s="174">
        <f>'Purchased Power Model'!D133</f>
        <v>0</v>
      </c>
      <c r="E13" s="174">
        <f>'Purchased Power Model'!E133</f>
        <v>1</v>
      </c>
      <c r="F13" s="175">
        <v>30</v>
      </c>
      <c r="G13" s="442" t="e">
        <f>#REF!</f>
        <v>#REF!</v>
      </c>
      <c r="H13" s="162">
        <v>3302</v>
      </c>
      <c r="I13" s="396">
        <v>138.43</v>
      </c>
      <c r="J13" s="161">
        <v>336</v>
      </c>
      <c r="K13" s="444">
        <f t="shared" si="0"/>
        <v>5402308.2365802322</v>
      </c>
      <c r="L13" s="445">
        <f t="shared" si="1"/>
        <v>-51848.14341976773</v>
      </c>
      <c r="M13" s="446">
        <f t="shared" si="2"/>
        <v>-9.5061710386396599E-3</v>
      </c>
      <c r="N13" s="447">
        <f t="shared" si="3"/>
        <v>9.5061710386396599E-3</v>
      </c>
      <c r="O13" s="13"/>
      <c r="P13" s="362"/>
      <c r="Q13" s="32" t="s">
        <v>253</v>
      </c>
      <c r="R13" s="32">
        <v>4</v>
      </c>
      <c r="S13" s="32">
        <v>145038905232294.47</v>
      </c>
      <c r="T13" s="32">
        <v>36259726308073.617</v>
      </c>
      <c r="U13" s="32">
        <v>309.75929315933587</v>
      </c>
      <c r="V13" s="32">
        <v>1.4147026155058194E-60</v>
      </c>
      <c r="W13" s="669"/>
      <c r="X13" s="669"/>
      <c r="Y13" s="669"/>
      <c r="AA13" s="99"/>
      <c r="AB13" s="99"/>
      <c r="AC13" s="99"/>
      <c r="AD13" s="99"/>
      <c r="AE13" s="99"/>
      <c r="AF13" s="99"/>
      <c r="AG13" s="99"/>
      <c r="AH13" s="99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</row>
    <row r="14" spans="1:46" x14ac:dyDescent="0.25">
      <c r="A14" s="173">
        <v>40543</v>
      </c>
      <c r="B14" s="176">
        <f>'Purchased Power Model'!B14</f>
        <v>6984955.5039999997</v>
      </c>
      <c r="C14" s="174">
        <f>'Purchased Power Model'!C134</f>
        <v>799.21000000000015</v>
      </c>
      <c r="D14" s="174">
        <f>'Purchased Power Model'!D134</f>
        <v>0</v>
      </c>
      <c r="E14" s="174">
        <f>'Purchased Power Model'!E134</f>
        <v>0</v>
      </c>
      <c r="F14" s="175">
        <v>31</v>
      </c>
      <c r="G14" s="442" t="e">
        <f>#REF!</f>
        <v>#REF!</v>
      </c>
      <c r="H14" s="162">
        <v>3289.7706227358981</v>
      </c>
      <c r="I14" s="396">
        <v>138.80000000000001</v>
      </c>
      <c r="J14" s="161">
        <v>368</v>
      </c>
      <c r="K14" s="444">
        <f t="shared" si="0"/>
        <v>6728914.8524818104</v>
      </c>
      <c r="L14" s="445">
        <f t="shared" si="1"/>
        <v>-256040.65151818935</v>
      </c>
      <c r="M14" s="446">
        <f t="shared" si="2"/>
        <v>-3.6656017546792576E-2</v>
      </c>
      <c r="N14" s="447">
        <f t="shared" si="3"/>
        <v>3.6656017546792576E-2</v>
      </c>
      <c r="O14" s="13"/>
      <c r="P14" s="362"/>
      <c r="Q14" s="32" t="s">
        <v>254</v>
      </c>
      <c r="R14" s="32">
        <v>115</v>
      </c>
      <c r="S14" s="32">
        <v>13461641401937.031</v>
      </c>
      <c r="T14" s="32">
        <v>117057751321.19157</v>
      </c>
      <c r="U14" s="32"/>
      <c r="V14" s="32"/>
      <c r="W14" s="669"/>
      <c r="X14" s="669"/>
      <c r="Y14" s="669"/>
      <c r="AA14" s="99"/>
      <c r="AB14" s="99"/>
      <c r="AC14" s="99"/>
      <c r="AD14" s="99"/>
      <c r="AE14" s="99"/>
      <c r="AF14" s="99"/>
      <c r="AG14" s="99"/>
      <c r="AH14" s="99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</row>
    <row r="15" spans="1:46" ht="13" thickBot="1" x14ac:dyDescent="0.3">
      <c r="A15" s="173">
        <v>40574</v>
      </c>
      <c r="B15" s="176">
        <f>'Purchased Power Model'!B15</f>
        <v>7898853.0959999999</v>
      </c>
      <c r="C15" s="174">
        <f>C3</f>
        <v>932.51</v>
      </c>
      <c r="D15" s="174">
        <f t="shared" ref="D15:E15" si="4">D3</f>
        <v>0</v>
      </c>
      <c r="E15" s="174">
        <f t="shared" si="4"/>
        <v>0</v>
      </c>
      <c r="F15" s="175">
        <v>31</v>
      </c>
      <c r="G15" s="442" t="e">
        <f>#REF!</f>
        <v>#REF!</v>
      </c>
      <c r="H15" s="162">
        <v>3291.25</v>
      </c>
      <c r="I15" s="396">
        <v>139.1</v>
      </c>
      <c r="J15" s="161">
        <v>336</v>
      </c>
      <c r="K15" s="444">
        <f t="shared" si="0"/>
        <v>7202307.5725436965</v>
      </c>
      <c r="L15" s="445">
        <f t="shared" si="1"/>
        <v>-696545.5234563034</v>
      </c>
      <c r="M15" s="446">
        <f t="shared" si="2"/>
        <v>-8.8183121649526047E-2</v>
      </c>
      <c r="N15" s="447">
        <f t="shared" si="3"/>
        <v>8.8183121649526047E-2</v>
      </c>
      <c r="O15" s="13"/>
      <c r="P15" s="362"/>
      <c r="Q15" s="466" t="s">
        <v>11</v>
      </c>
      <c r="R15" s="466">
        <v>119</v>
      </c>
      <c r="S15" s="466">
        <v>158500546634231.5</v>
      </c>
      <c r="T15" s="466"/>
      <c r="U15" s="466"/>
      <c r="V15" s="466"/>
      <c r="W15" s="669"/>
      <c r="X15" s="669"/>
      <c r="Y15" s="669"/>
      <c r="AA15" s="99"/>
      <c r="AB15" s="99"/>
      <c r="AC15" s="99"/>
      <c r="AD15" s="99"/>
      <c r="AE15" s="99"/>
      <c r="AF15" s="99"/>
      <c r="AG15" s="99"/>
      <c r="AH15" s="99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</row>
    <row r="16" spans="1:46" ht="13" thickBot="1" x14ac:dyDescent="0.3">
      <c r="A16" s="173">
        <v>40602</v>
      </c>
      <c r="B16" s="176">
        <f>'Purchased Power Model'!B16</f>
        <v>7055612.148</v>
      </c>
      <c r="C16" s="174">
        <f>C4</f>
        <v>818.46</v>
      </c>
      <c r="D16" s="174">
        <f t="shared" ref="D16:E16" si="5">D4</f>
        <v>0</v>
      </c>
      <c r="E16" s="174">
        <f t="shared" si="5"/>
        <v>0</v>
      </c>
      <c r="F16" s="175">
        <v>28</v>
      </c>
      <c r="G16" s="442" t="e">
        <f>#REF!</f>
        <v>#REF!</v>
      </c>
      <c r="H16" s="162">
        <v>3292.1666666666665</v>
      </c>
      <c r="I16" s="396">
        <v>139.4</v>
      </c>
      <c r="J16" s="161">
        <v>304</v>
      </c>
      <c r="K16" s="444">
        <f t="shared" si="0"/>
        <v>6526607.0806332733</v>
      </c>
      <c r="L16" s="445">
        <f t="shared" si="1"/>
        <v>-529005.0673667267</v>
      </c>
      <c r="M16" s="446">
        <f t="shared" si="2"/>
        <v>-7.497649477751972E-2</v>
      </c>
      <c r="N16" s="447">
        <f t="shared" si="3"/>
        <v>7.497649477751972E-2</v>
      </c>
      <c r="O16" s="13"/>
      <c r="P16" s="362"/>
      <c r="Q16" s="669"/>
      <c r="R16" s="669"/>
      <c r="S16" s="669"/>
      <c r="T16" s="669"/>
      <c r="U16" s="669"/>
      <c r="V16" s="669"/>
      <c r="W16" s="669"/>
      <c r="X16" s="669"/>
      <c r="Y16" s="669"/>
      <c r="AA16" s="99"/>
      <c r="AB16" s="99"/>
      <c r="AC16" s="99"/>
      <c r="AD16" s="99"/>
      <c r="AE16" s="99"/>
      <c r="AF16" s="99"/>
      <c r="AG16" s="99"/>
      <c r="AH16" s="99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</row>
    <row r="17" spans="1:46" ht="13" x14ac:dyDescent="0.3">
      <c r="A17" s="173">
        <v>40633</v>
      </c>
      <c r="B17" s="176">
        <f>'Purchased Power Model'!B17</f>
        <v>6068078.392</v>
      </c>
      <c r="C17" s="174">
        <f t="shared" ref="C17:E80" si="6">C5</f>
        <v>703.27999999999986</v>
      </c>
      <c r="D17" s="174">
        <f t="shared" si="6"/>
        <v>0</v>
      </c>
      <c r="E17" s="174">
        <f t="shared" si="6"/>
        <v>1</v>
      </c>
      <c r="F17" s="175">
        <v>31</v>
      </c>
      <c r="G17" s="442" t="e">
        <f>#REF!</f>
        <v>#REF!</v>
      </c>
      <c r="H17" s="162">
        <v>3293.0833333333335</v>
      </c>
      <c r="I17" s="396">
        <v>139.69999999999999</v>
      </c>
      <c r="J17" s="161">
        <v>368</v>
      </c>
      <c r="K17" s="444">
        <f t="shared" si="0"/>
        <v>5981124.3084155526</v>
      </c>
      <c r="L17" s="445">
        <f t="shared" si="1"/>
        <v>-86954.083584447391</v>
      </c>
      <c r="M17" s="446">
        <f t="shared" si="2"/>
        <v>-1.4329756138135169E-2</v>
      </c>
      <c r="N17" s="447">
        <f t="shared" si="3"/>
        <v>1.4329756138135169E-2</v>
      </c>
      <c r="O17" s="13"/>
      <c r="P17" s="13"/>
      <c r="Q17" s="467"/>
      <c r="R17" s="467" t="s">
        <v>261</v>
      </c>
      <c r="S17" s="467" t="s">
        <v>250</v>
      </c>
      <c r="T17" s="467" t="s">
        <v>262</v>
      </c>
      <c r="U17" s="467" t="s">
        <v>263</v>
      </c>
      <c r="V17" s="467" t="s">
        <v>264</v>
      </c>
      <c r="W17" s="467" t="s">
        <v>265</v>
      </c>
      <c r="X17" s="467" t="s">
        <v>266</v>
      </c>
      <c r="Y17" s="467" t="s">
        <v>267</v>
      </c>
      <c r="AA17" s="99"/>
      <c r="AB17" s="99"/>
      <c r="AC17" s="99"/>
      <c r="AD17" s="99"/>
      <c r="AE17" s="99"/>
      <c r="AF17" s="99"/>
      <c r="AG17" s="99"/>
      <c r="AH17" s="99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</row>
    <row r="18" spans="1:46" x14ac:dyDescent="0.25">
      <c r="A18" s="173">
        <v>40663</v>
      </c>
      <c r="B18" s="176">
        <f>'Purchased Power Model'!B18</f>
        <v>5833655.96</v>
      </c>
      <c r="C18" s="174">
        <f t="shared" si="6"/>
        <v>448.57000000000005</v>
      </c>
      <c r="D18" s="174">
        <f t="shared" si="6"/>
        <v>0</v>
      </c>
      <c r="E18" s="174">
        <f t="shared" si="6"/>
        <v>1</v>
      </c>
      <c r="F18" s="175">
        <v>30</v>
      </c>
      <c r="G18" s="442" t="e">
        <f>#REF!</f>
        <v>#REF!</v>
      </c>
      <c r="H18" s="162">
        <v>3294</v>
      </c>
      <c r="I18" s="396">
        <v>140</v>
      </c>
      <c r="J18" s="161">
        <v>320</v>
      </c>
      <c r="K18" s="444">
        <f t="shared" si="0"/>
        <v>4986340.5749084484</v>
      </c>
      <c r="L18" s="445">
        <f t="shared" si="1"/>
        <v>-847315.38509155158</v>
      </c>
      <c r="M18" s="446">
        <f t="shared" si="2"/>
        <v>-0.14524603283110846</v>
      </c>
      <c r="N18" s="447">
        <f t="shared" si="3"/>
        <v>0.14524603283110846</v>
      </c>
      <c r="O18" s="13"/>
      <c r="P18" s="13"/>
      <c r="Q18" s="32" t="s">
        <v>255</v>
      </c>
      <c r="R18" s="471">
        <v>1093720.8071989347</v>
      </c>
      <c r="S18" s="471">
        <v>1198107.0527368756</v>
      </c>
      <c r="T18" s="32">
        <v>0.91287402465456824</v>
      </c>
      <c r="U18" s="32">
        <v>0.36321862049108267</v>
      </c>
      <c r="V18" s="32">
        <v>-1279498.6779120485</v>
      </c>
      <c r="W18" s="32">
        <v>3466940.292309918</v>
      </c>
      <c r="X18" s="32">
        <v>-1279498.6779120485</v>
      </c>
      <c r="Y18" s="32">
        <v>3466940.292309918</v>
      </c>
      <c r="AA18" s="99"/>
      <c r="AB18" s="99"/>
      <c r="AC18" s="99"/>
      <c r="AD18" s="99"/>
      <c r="AE18" s="99"/>
      <c r="AF18" s="99"/>
      <c r="AG18" s="99"/>
      <c r="AH18" s="99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</row>
    <row r="19" spans="1:46" x14ac:dyDescent="0.25">
      <c r="A19" s="173">
        <v>40694</v>
      </c>
      <c r="B19" s="176">
        <f>'Purchased Power Model'!B19</f>
        <v>4007642.9240000001</v>
      </c>
      <c r="C19" s="174">
        <f t="shared" si="6"/>
        <v>189.26</v>
      </c>
      <c r="D19" s="174">
        <f t="shared" si="6"/>
        <v>9.2199999999999989</v>
      </c>
      <c r="E19" s="174">
        <f t="shared" si="6"/>
        <v>1</v>
      </c>
      <c r="F19" s="175">
        <v>31</v>
      </c>
      <c r="G19" s="442" t="e">
        <f>#REF!</f>
        <v>#REF!</v>
      </c>
      <c r="H19" s="162">
        <v>3294.916666666667</v>
      </c>
      <c r="I19" s="396">
        <v>140.30000000000001</v>
      </c>
      <c r="J19" s="161">
        <v>336</v>
      </c>
      <c r="K19" s="444">
        <f t="shared" si="0"/>
        <v>4227063.5368910208</v>
      </c>
      <c r="L19" s="445">
        <f t="shared" si="1"/>
        <v>219420.61289102072</v>
      </c>
      <c r="M19" s="446">
        <f t="shared" si="2"/>
        <v>5.4750539669342235E-2</v>
      </c>
      <c r="N19" s="447">
        <f t="shared" si="3"/>
        <v>5.4750539669342235E-2</v>
      </c>
      <c r="O19" s="13"/>
      <c r="P19" s="13"/>
      <c r="Q19" s="32" t="s">
        <v>3</v>
      </c>
      <c r="R19" s="471">
        <v>3551.3332337725979</v>
      </c>
      <c r="S19" s="471">
        <v>134.35335623524341</v>
      </c>
      <c r="T19" s="32">
        <v>26.432783916126812</v>
      </c>
      <c r="U19" s="32">
        <v>1.1010231717330575E-50</v>
      </c>
      <c r="V19" s="32">
        <v>3285.2050925692074</v>
      </c>
      <c r="W19" s="32">
        <v>3817.4613749759883</v>
      </c>
      <c r="X19" s="32">
        <v>3285.2050925692074</v>
      </c>
      <c r="Y19" s="32">
        <v>3817.4613749759883</v>
      </c>
      <c r="AA19" s="99"/>
      <c r="AB19" s="99"/>
      <c r="AC19" s="99"/>
      <c r="AD19" s="99"/>
      <c r="AE19" s="99"/>
      <c r="AF19" s="99"/>
      <c r="AG19" s="99"/>
      <c r="AH19" s="99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</row>
    <row r="20" spans="1:46" x14ac:dyDescent="0.25">
      <c r="A20" s="173">
        <v>40724</v>
      </c>
      <c r="B20" s="176">
        <f>'Purchased Power Model'!B20</f>
        <v>4529149.8679999998</v>
      </c>
      <c r="C20" s="174">
        <f t="shared" si="6"/>
        <v>65.79000000000002</v>
      </c>
      <c r="D20" s="174">
        <f t="shared" si="6"/>
        <v>18.669999999999998</v>
      </c>
      <c r="E20" s="174">
        <f t="shared" si="6"/>
        <v>0</v>
      </c>
      <c r="F20" s="175">
        <v>30</v>
      </c>
      <c r="G20" s="442" t="e">
        <f>#REF!</f>
        <v>#REF!</v>
      </c>
      <c r="H20" s="162">
        <v>3295.8333333333335</v>
      </c>
      <c r="I20" s="396">
        <v>140.6</v>
      </c>
      <c r="J20" s="161">
        <v>352</v>
      </c>
      <c r="K20" s="444">
        <f t="shared" si="0"/>
        <v>4178644.4778910829</v>
      </c>
      <c r="L20" s="445">
        <f t="shared" si="1"/>
        <v>-350505.39010891691</v>
      </c>
      <c r="M20" s="446">
        <f t="shared" si="2"/>
        <v>-7.7388781631042486E-2</v>
      </c>
      <c r="N20" s="447">
        <f t="shared" si="3"/>
        <v>7.7388781631042486E-2</v>
      </c>
      <c r="O20" s="13"/>
      <c r="P20" s="13"/>
      <c r="Q20" s="32" t="s">
        <v>4</v>
      </c>
      <c r="R20" s="471">
        <v>7743.5506832168057</v>
      </c>
      <c r="S20" s="471">
        <v>2054.3439566051966</v>
      </c>
      <c r="T20" s="32">
        <v>3.7693545223133049</v>
      </c>
      <c r="U20" s="32">
        <v>2.5994497386885829E-4</v>
      </c>
      <c r="V20" s="32">
        <v>3674.2906819519885</v>
      </c>
      <c r="W20" s="32">
        <v>11812.810684481623</v>
      </c>
      <c r="X20" s="32">
        <v>3674.2906819519885</v>
      </c>
      <c r="Y20" s="32">
        <v>11812.810684481623</v>
      </c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x14ac:dyDescent="0.25">
      <c r="A21" s="173">
        <v>40755</v>
      </c>
      <c r="B21" s="176">
        <f>'Purchased Power Model'!B21</f>
        <v>4702217.4519999996</v>
      </c>
      <c r="C21" s="174">
        <f t="shared" si="6"/>
        <v>18.400000000000002</v>
      </c>
      <c r="D21" s="174">
        <f t="shared" si="6"/>
        <v>68.429999999999993</v>
      </c>
      <c r="E21" s="174">
        <f t="shared" si="6"/>
        <v>0</v>
      </c>
      <c r="F21" s="175">
        <v>31</v>
      </c>
      <c r="G21" s="442" t="e">
        <f>#REF!</f>
        <v>#REF!</v>
      </c>
      <c r="H21" s="162">
        <v>3297.75</v>
      </c>
      <c r="I21" s="396">
        <v>140.9</v>
      </c>
      <c r="J21" s="161">
        <v>320</v>
      </c>
      <c r="K21" s="444">
        <f t="shared" si="0"/>
        <v>4485889.5234723538</v>
      </c>
      <c r="L21" s="445">
        <f t="shared" si="1"/>
        <v>-216327.92852764577</v>
      </c>
      <c r="M21" s="446">
        <f t="shared" si="2"/>
        <v>-4.6005513512701282E-2</v>
      </c>
      <c r="N21" s="447">
        <f t="shared" si="3"/>
        <v>4.6005513512701282E-2</v>
      </c>
      <c r="O21" s="13"/>
      <c r="P21" s="13"/>
      <c r="Q21" s="32" t="s">
        <v>26</v>
      </c>
      <c r="R21" s="471">
        <v>-407111.1469504516</v>
      </c>
      <c r="S21" s="471">
        <v>75320.62354936605</v>
      </c>
      <c r="T21" s="32">
        <v>-5.4050421752499966</v>
      </c>
      <c r="U21" s="32">
        <v>3.5555151666363334E-7</v>
      </c>
      <c r="V21" s="32">
        <v>-556306.80607768463</v>
      </c>
      <c r="W21" s="32">
        <v>-257915.48782321857</v>
      </c>
      <c r="X21" s="32">
        <v>-556306.80607768463</v>
      </c>
      <c r="Y21" s="32">
        <v>-257915.48782321857</v>
      </c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</row>
    <row r="22" spans="1:46" ht="13" thickBot="1" x14ac:dyDescent="0.3">
      <c r="A22" s="173">
        <v>40786</v>
      </c>
      <c r="B22" s="176">
        <f>'Purchased Power Model'!B22</f>
        <v>4300840.4560000002</v>
      </c>
      <c r="C22" s="174">
        <f t="shared" si="6"/>
        <v>34.26</v>
      </c>
      <c r="D22" s="174">
        <f t="shared" si="6"/>
        <v>42.710000000000008</v>
      </c>
      <c r="E22" s="174">
        <f t="shared" si="6"/>
        <v>0</v>
      </c>
      <c r="F22" s="175">
        <v>31</v>
      </c>
      <c r="G22" s="442" t="e">
        <f>#REF!</f>
        <v>#REF!</v>
      </c>
      <c r="H22" s="162">
        <v>3298.666666666667</v>
      </c>
      <c r="I22" s="396">
        <v>141.19999999999999</v>
      </c>
      <c r="J22" s="161">
        <v>352</v>
      </c>
      <c r="K22" s="444">
        <f t="shared" si="0"/>
        <v>4343049.5449876506</v>
      </c>
      <c r="L22" s="445">
        <f t="shared" si="1"/>
        <v>42209.08898765035</v>
      </c>
      <c r="M22" s="446">
        <f t="shared" si="2"/>
        <v>9.8141489830820047E-3</v>
      </c>
      <c r="N22" s="447">
        <f t="shared" si="3"/>
        <v>9.8141489830820047E-3</v>
      </c>
      <c r="O22" s="13"/>
      <c r="P22" s="13"/>
      <c r="Q22" s="466" t="s">
        <v>5</v>
      </c>
      <c r="R22" s="472">
        <v>90223.645532886352</v>
      </c>
      <c r="S22" s="472">
        <v>39625.715874735804</v>
      </c>
      <c r="T22" s="466">
        <v>2.2768962917439759</v>
      </c>
      <c r="U22" s="466">
        <v>2.4641836419250111E-2</v>
      </c>
      <c r="V22" s="466">
        <v>11732.728706568741</v>
      </c>
      <c r="W22" s="466">
        <v>168714.56235920396</v>
      </c>
      <c r="X22" s="466">
        <v>11732.728706568741</v>
      </c>
      <c r="Y22" s="466">
        <v>168714.56235920396</v>
      </c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</row>
    <row r="23" spans="1:46" x14ac:dyDescent="0.25">
      <c r="A23" s="173">
        <v>40816</v>
      </c>
      <c r="B23" s="176">
        <f>'Purchased Power Model'!B23</f>
        <v>4515954.1279999996</v>
      </c>
      <c r="C23" s="174">
        <f t="shared" si="6"/>
        <v>135.46</v>
      </c>
      <c r="D23" s="174">
        <f t="shared" si="6"/>
        <v>15.030000000000001</v>
      </c>
      <c r="E23" s="174">
        <f t="shared" si="6"/>
        <v>1</v>
      </c>
      <c r="F23" s="175">
        <v>30</v>
      </c>
      <c r="G23" s="442" t="e">
        <f>#REF!</f>
        <v>#REF!</v>
      </c>
      <c r="H23" s="162">
        <v>3299.5833333333335</v>
      </c>
      <c r="I23" s="396">
        <v>141.5</v>
      </c>
      <c r="J23" s="161">
        <v>336</v>
      </c>
      <c r="K23" s="444">
        <f t="shared" si="0"/>
        <v>3990768.1928506587</v>
      </c>
      <c r="L23" s="445">
        <f t="shared" si="1"/>
        <v>-525185.93514934089</v>
      </c>
      <c r="M23" s="446">
        <f t="shared" si="2"/>
        <v>-0.11629567534644827</v>
      </c>
      <c r="N23" s="447">
        <f t="shared" si="3"/>
        <v>0.11629567534644827</v>
      </c>
      <c r="O23" s="13"/>
      <c r="P23" s="13"/>
      <c r="Q23"/>
      <c r="R23"/>
      <c r="S23"/>
      <c r="T23"/>
      <c r="U23"/>
      <c r="V23"/>
      <c r="W23"/>
      <c r="X23"/>
      <c r="Y23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</row>
    <row r="24" spans="1:46" x14ac:dyDescent="0.25">
      <c r="A24" s="173">
        <v>40847</v>
      </c>
      <c r="B24" s="176">
        <f>'Purchased Power Model'!B24</f>
        <v>4716306.9919999996</v>
      </c>
      <c r="C24" s="174">
        <f t="shared" si="6"/>
        <v>341.62</v>
      </c>
      <c r="D24" s="174">
        <f t="shared" si="6"/>
        <v>0.1</v>
      </c>
      <c r="E24" s="174">
        <f t="shared" si="6"/>
        <v>1</v>
      </c>
      <c r="F24" s="175">
        <v>31</v>
      </c>
      <c r="G24" s="442" t="e">
        <f>#REF!</f>
        <v>#REF!</v>
      </c>
      <c r="H24" s="162">
        <v>3300.5</v>
      </c>
      <c r="I24" s="396">
        <v>141.80000000000001</v>
      </c>
      <c r="J24" s="161">
        <v>320</v>
      </c>
      <c r="K24" s="444">
        <f t="shared" si="0"/>
        <v>4697523.4861576762</v>
      </c>
      <c r="L24" s="445">
        <f t="shared" si="1"/>
        <v>-18783.505842323415</v>
      </c>
      <c r="M24" s="446">
        <f t="shared" si="2"/>
        <v>-3.9826724329406031E-3</v>
      </c>
      <c r="N24" s="447">
        <f t="shared" si="3"/>
        <v>3.9826724329406031E-3</v>
      </c>
      <c r="O24" s="13"/>
      <c r="P24" s="13"/>
      <c r="Q24"/>
      <c r="R24"/>
      <c r="S24"/>
      <c r="T24"/>
      <c r="U24"/>
      <c r="V24"/>
      <c r="W24"/>
      <c r="X24"/>
      <c r="Y24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</row>
    <row r="25" spans="1:46" x14ac:dyDescent="0.25">
      <c r="A25" s="173">
        <v>40877</v>
      </c>
      <c r="B25" s="176">
        <f>'Purchased Power Model'!B25</f>
        <v>5284404.91732</v>
      </c>
      <c r="C25" s="174">
        <f t="shared" si="6"/>
        <v>565.70000000000005</v>
      </c>
      <c r="D25" s="174">
        <f t="shared" si="6"/>
        <v>0</v>
      </c>
      <c r="E25" s="174">
        <f t="shared" si="6"/>
        <v>1</v>
      </c>
      <c r="F25" s="175">
        <v>30</v>
      </c>
      <c r="G25" s="442" t="e">
        <f>#REF!</f>
        <v>#REF!</v>
      </c>
      <c r="H25" s="162">
        <v>3301.416666666667</v>
      </c>
      <c r="I25" s="396">
        <v>142.11000000000001</v>
      </c>
      <c r="J25" s="161">
        <v>352</v>
      </c>
      <c r="K25" s="444">
        <f t="shared" si="0"/>
        <v>5402308.2365802322</v>
      </c>
      <c r="L25" s="445">
        <f t="shared" si="1"/>
        <v>117903.31926023215</v>
      </c>
      <c r="M25" s="446">
        <f t="shared" si="2"/>
        <v>2.2311560356360265E-2</v>
      </c>
      <c r="N25" s="447">
        <f t="shared" si="3"/>
        <v>2.2311560356360265E-2</v>
      </c>
      <c r="O25" s="13"/>
      <c r="P25" s="13"/>
      <c r="Q25"/>
      <c r="R25"/>
      <c r="S25"/>
      <c r="T25"/>
      <c r="U25"/>
      <c r="V25"/>
      <c r="W25"/>
      <c r="X25"/>
      <c r="Y2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</row>
    <row r="26" spans="1:46" x14ac:dyDescent="0.25">
      <c r="A26" s="173">
        <v>40908</v>
      </c>
      <c r="B26" s="176">
        <f>'Purchased Power Model'!B26</f>
        <v>7485466.9280000003</v>
      </c>
      <c r="C26" s="174">
        <f t="shared" si="6"/>
        <v>799.21000000000015</v>
      </c>
      <c r="D26" s="174">
        <f t="shared" si="6"/>
        <v>0</v>
      </c>
      <c r="E26" s="174">
        <f t="shared" si="6"/>
        <v>0</v>
      </c>
      <c r="F26" s="175">
        <v>31</v>
      </c>
      <c r="G26" s="442" t="e">
        <f>#REF!</f>
        <v>#REF!</v>
      </c>
      <c r="H26" s="162">
        <v>3302</v>
      </c>
      <c r="I26" s="396">
        <v>142.41</v>
      </c>
      <c r="J26" s="161">
        <v>336</v>
      </c>
      <c r="K26" s="444">
        <f t="shared" si="0"/>
        <v>6728914.8524818104</v>
      </c>
      <c r="L26" s="445">
        <f t="shared" si="1"/>
        <v>-756552.07551818993</v>
      </c>
      <c r="M26" s="446">
        <f t="shared" si="2"/>
        <v>-0.10106945669457774</v>
      </c>
      <c r="N26" s="447">
        <f t="shared" si="3"/>
        <v>0.10106945669457774</v>
      </c>
      <c r="O26" s="13"/>
      <c r="P26" s="13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x14ac:dyDescent="0.25">
      <c r="A27" s="173">
        <v>40939</v>
      </c>
      <c r="B27" s="176">
        <f>'Purchased Power Model'!B27</f>
        <v>6612158.8514400003</v>
      </c>
      <c r="C27" s="174">
        <f t="shared" si="6"/>
        <v>932.51</v>
      </c>
      <c r="D27" s="174">
        <f t="shared" si="6"/>
        <v>0</v>
      </c>
      <c r="E27" s="174">
        <f t="shared" si="6"/>
        <v>0</v>
      </c>
      <c r="F27" s="175">
        <v>31</v>
      </c>
      <c r="G27" s="442" t="e">
        <f>#REF!</f>
        <v>#REF!</v>
      </c>
      <c r="H27" s="162">
        <v>3299.1666666666665</v>
      </c>
      <c r="I27" s="396">
        <v>142.61000000000001</v>
      </c>
      <c r="J27" s="161">
        <f>16*22</f>
        <v>352</v>
      </c>
      <c r="K27" s="444">
        <f t="shared" si="0"/>
        <v>7202307.5725436965</v>
      </c>
      <c r="L27" s="445">
        <f t="shared" si="1"/>
        <v>590148.72110369615</v>
      </c>
      <c r="M27" s="446">
        <f t="shared" si="2"/>
        <v>8.9252048289065702E-2</v>
      </c>
      <c r="N27" s="447">
        <f t="shared" si="3"/>
        <v>8.9252048289065702E-2</v>
      </c>
      <c r="O27" s="13"/>
      <c r="P27" s="13"/>
    </row>
    <row r="28" spans="1:46" x14ac:dyDescent="0.25">
      <c r="A28" s="173">
        <v>40968</v>
      </c>
      <c r="B28" s="176">
        <f>'Purchased Power Model'!B28</f>
        <v>6302096.9976399997</v>
      </c>
      <c r="C28" s="174">
        <f t="shared" si="6"/>
        <v>818.46</v>
      </c>
      <c r="D28" s="174">
        <f t="shared" si="6"/>
        <v>0</v>
      </c>
      <c r="E28" s="174">
        <f t="shared" si="6"/>
        <v>0</v>
      </c>
      <c r="F28" s="175">
        <v>29</v>
      </c>
      <c r="G28" s="442" t="e">
        <f>#REF!</f>
        <v>#REF!</v>
      </c>
      <c r="H28" s="162">
        <v>3299.333333333333</v>
      </c>
      <c r="I28" s="396">
        <v>142.81</v>
      </c>
      <c r="J28" s="161">
        <f>16*21</f>
        <v>336</v>
      </c>
      <c r="K28" s="444">
        <f t="shared" si="0"/>
        <v>6616830.7261661589</v>
      </c>
      <c r="L28" s="445">
        <f t="shared" si="1"/>
        <v>314733.72852615919</v>
      </c>
      <c r="M28" s="446">
        <f t="shared" si="2"/>
        <v>4.9941111449731769E-2</v>
      </c>
      <c r="N28" s="447">
        <f t="shared" si="3"/>
        <v>4.9941111449731769E-2</v>
      </c>
      <c r="O28" s="13"/>
      <c r="P28" s="13"/>
    </row>
    <row r="29" spans="1:46" x14ac:dyDescent="0.25">
      <c r="A29" s="173">
        <v>40999</v>
      </c>
      <c r="B29" s="176">
        <f>'Purchased Power Model'!B29</f>
        <v>5646609.19276</v>
      </c>
      <c r="C29" s="174">
        <f t="shared" si="6"/>
        <v>703.27999999999986</v>
      </c>
      <c r="D29" s="174">
        <f t="shared" si="6"/>
        <v>0</v>
      </c>
      <c r="E29" s="174">
        <f t="shared" si="6"/>
        <v>1</v>
      </c>
      <c r="F29" s="175">
        <v>31</v>
      </c>
      <c r="G29" s="442" t="e">
        <f>#REF!</f>
        <v>#REF!</v>
      </c>
      <c r="H29" s="162">
        <v>3299.5</v>
      </c>
      <c r="I29" s="396">
        <v>143.01</v>
      </c>
      <c r="J29" s="161">
        <f>16*22</f>
        <v>352</v>
      </c>
      <c r="K29" s="444">
        <f t="shared" si="0"/>
        <v>5981124.3084155526</v>
      </c>
      <c r="L29" s="445">
        <f t="shared" si="1"/>
        <v>334515.1156555526</v>
      </c>
      <c r="M29" s="446">
        <f t="shared" si="2"/>
        <v>5.9241768685614545E-2</v>
      </c>
      <c r="N29" s="447">
        <f t="shared" si="3"/>
        <v>5.9241768685614545E-2</v>
      </c>
      <c r="O29" s="13"/>
      <c r="P29" s="13"/>
    </row>
    <row r="30" spans="1:46" x14ac:dyDescent="0.25">
      <c r="A30" s="173">
        <v>41029</v>
      </c>
      <c r="B30" s="176">
        <f>'Purchased Power Model'!B30</f>
        <v>4955514.2422000002</v>
      </c>
      <c r="C30" s="174">
        <f t="shared" si="6"/>
        <v>448.57000000000005</v>
      </c>
      <c r="D30" s="174">
        <f t="shared" si="6"/>
        <v>0</v>
      </c>
      <c r="E30" s="174">
        <f t="shared" si="6"/>
        <v>1</v>
      </c>
      <c r="F30" s="175">
        <v>30</v>
      </c>
      <c r="G30" s="442" t="e">
        <f>#REF!</f>
        <v>#REF!</v>
      </c>
      <c r="H30" s="162">
        <v>3299.6666666666661</v>
      </c>
      <c r="I30" s="396">
        <v>143.21</v>
      </c>
      <c r="J30" s="161">
        <f>16*21</f>
        <v>336</v>
      </c>
      <c r="K30" s="444">
        <f t="shared" si="0"/>
        <v>4986340.5749084484</v>
      </c>
      <c r="L30" s="445">
        <f t="shared" si="1"/>
        <v>30826.332708448172</v>
      </c>
      <c r="M30" s="446">
        <f t="shared" si="2"/>
        <v>6.2206122718684439E-3</v>
      </c>
      <c r="N30" s="447">
        <f t="shared" si="3"/>
        <v>6.2206122718684439E-3</v>
      </c>
      <c r="O30" s="13"/>
      <c r="P30" s="13"/>
    </row>
    <row r="31" spans="1:46" x14ac:dyDescent="0.25">
      <c r="A31" s="173">
        <v>41060</v>
      </c>
      <c r="B31" s="176">
        <f>'Purchased Power Model'!B31</f>
        <v>3945790.9975999999</v>
      </c>
      <c r="C31" s="174">
        <f t="shared" si="6"/>
        <v>189.26</v>
      </c>
      <c r="D31" s="174">
        <f t="shared" si="6"/>
        <v>9.2199999999999989</v>
      </c>
      <c r="E31" s="174">
        <f t="shared" si="6"/>
        <v>1</v>
      </c>
      <c r="F31" s="175">
        <v>31</v>
      </c>
      <c r="G31" s="442" t="e">
        <f>#REF!</f>
        <v>#REF!</v>
      </c>
      <c r="H31" s="162">
        <v>3299.8333333333326</v>
      </c>
      <c r="I31" s="396">
        <v>143.41999999999999</v>
      </c>
      <c r="J31" s="161">
        <f>16*23</f>
        <v>368</v>
      </c>
      <c r="K31" s="444">
        <f t="shared" si="0"/>
        <v>4227063.5368910208</v>
      </c>
      <c r="L31" s="445">
        <f t="shared" si="1"/>
        <v>281272.53929102095</v>
      </c>
      <c r="M31" s="446">
        <f t="shared" si="2"/>
        <v>7.128419611228852E-2</v>
      </c>
      <c r="N31" s="447">
        <f t="shared" si="3"/>
        <v>7.128419611228852E-2</v>
      </c>
      <c r="O31" s="13"/>
      <c r="P31" s="13"/>
    </row>
    <row r="32" spans="1:46" x14ac:dyDescent="0.25">
      <c r="A32" s="173">
        <v>41090</v>
      </c>
      <c r="B32" s="176">
        <f>'Purchased Power Model'!B32</f>
        <v>4598078.2236799998</v>
      </c>
      <c r="C32" s="174">
        <f t="shared" si="6"/>
        <v>65.79000000000002</v>
      </c>
      <c r="D32" s="174">
        <f t="shared" si="6"/>
        <v>18.669999999999998</v>
      </c>
      <c r="E32" s="174">
        <f t="shared" si="6"/>
        <v>0</v>
      </c>
      <c r="F32" s="175">
        <v>30</v>
      </c>
      <c r="G32" s="442" t="e">
        <f>#REF!</f>
        <v>#REF!</v>
      </c>
      <c r="H32" s="162">
        <v>3300</v>
      </c>
      <c r="I32" s="396">
        <v>143.62</v>
      </c>
      <c r="J32" s="161">
        <f>16*21</f>
        <v>336</v>
      </c>
      <c r="K32" s="444">
        <f t="shared" si="0"/>
        <v>4178644.4778910829</v>
      </c>
      <c r="L32" s="445">
        <f t="shared" si="1"/>
        <v>-419433.74578891695</v>
      </c>
      <c r="M32" s="446">
        <f t="shared" si="2"/>
        <v>-9.1219358476513634E-2</v>
      </c>
      <c r="N32" s="447">
        <f t="shared" si="3"/>
        <v>9.1219358476513634E-2</v>
      </c>
      <c r="O32" s="13"/>
      <c r="P32" s="13"/>
    </row>
    <row r="33" spans="1:52" x14ac:dyDescent="0.25">
      <c r="A33" s="173">
        <v>41121</v>
      </c>
      <c r="B33" s="176">
        <f>'Purchased Power Model'!B33</f>
        <v>4549659.2845200002</v>
      </c>
      <c r="C33" s="174">
        <f t="shared" si="6"/>
        <v>18.400000000000002</v>
      </c>
      <c r="D33" s="174">
        <f t="shared" si="6"/>
        <v>68.429999999999993</v>
      </c>
      <c r="E33" s="174">
        <f t="shared" si="6"/>
        <v>0</v>
      </c>
      <c r="F33" s="175">
        <v>31</v>
      </c>
      <c r="G33" s="442" t="e">
        <f>#REF!</f>
        <v>#REF!</v>
      </c>
      <c r="H33" s="162">
        <v>3301.1666666666656</v>
      </c>
      <c r="I33" s="396">
        <v>143.82</v>
      </c>
      <c r="J33" s="161">
        <f>16*22</f>
        <v>352</v>
      </c>
      <c r="K33" s="444">
        <f t="shared" si="0"/>
        <v>4485889.5234723538</v>
      </c>
      <c r="L33" s="445">
        <f t="shared" si="1"/>
        <v>-63769.761047646403</v>
      </c>
      <c r="M33" s="446">
        <f t="shared" si="2"/>
        <v>-1.4016381680408462E-2</v>
      </c>
      <c r="N33" s="447">
        <f t="shared" si="3"/>
        <v>1.4016381680408462E-2</v>
      </c>
      <c r="O33" s="13"/>
      <c r="P33" s="13"/>
    </row>
    <row r="34" spans="1:52" x14ac:dyDescent="0.25">
      <c r="A34" s="173">
        <v>41152</v>
      </c>
      <c r="B34" s="176">
        <f>'Purchased Power Model'!B34</f>
        <v>4387558.2476399997</v>
      </c>
      <c r="C34" s="174">
        <f t="shared" si="6"/>
        <v>34.26</v>
      </c>
      <c r="D34" s="174">
        <f t="shared" si="6"/>
        <v>42.710000000000008</v>
      </c>
      <c r="E34" s="174">
        <f t="shared" si="6"/>
        <v>0</v>
      </c>
      <c r="F34" s="175">
        <v>31</v>
      </c>
      <c r="G34" s="442" t="e">
        <f>#REF!</f>
        <v>#REF!</v>
      </c>
      <c r="H34" s="162">
        <v>3300.3333333333321</v>
      </c>
      <c r="I34" s="396">
        <v>144.02000000000001</v>
      </c>
      <c r="J34" s="161">
        <f>16*23</f>
        <v>368</v>
      </c>
      <c r="K34" s="444">
        <f t="shared" si="0"/>
        <v>4343049.5449876506</v>
      </c>
      <c r="L34" s="445">
        <f t="shared" si="1"/>
        <v>-44508.702652349137</v>
      </c>
      <c r="M34" s="446">
        <f t="shared" si="2"/>
        <v>-1.0144298979116615E-2</v>
      </c>
      <c r="N34" s="447">
        <f t="shared" si="3"/>
        <v>1.0144298979116615E-2</v>
      </c>
      <c r="O34" s="13"/>
      <c r="P34" s="13"/>
    </row>
    <row r="35" spans="1:52" x14ac:dyDescent="0.25">
      <c r="A35" s="173">
        <v>41182</v>
      </c>
      <c r="B35" s="176">
        <f>'Purchased Power Model'!B35</f>
        <v>4527836.6846399996</v>
      </c>
      <c r="C35" s="174">
        <f t="shared" si="6"/>
        <v>135.46</v>
      </c>
      <c r="D35" s="174">
        <f t="shared" si="6"/>
        <v>15.030000000000001</v>
      </c>
      <c r="E35" s="174">
        <f t="shared" si="6"/>
        <v>1</v>
      </c>
      <c r="F35" s="175">
        <v>30</v>
      </c>
      <c r="G35" s="442" t="e">
        <f>#REF!</f>
        <v>#REF!</v>
      </c>
      <c r="H35" s="162">
        <v>3300.5</v>
      </c>
      <c r="I35" s="396">
        <v>144.22</v>
      </c>
      <c r="J35" s="161">
        <f>16*20</f>
        <v>320</v>
      </c>
      <c r="K35" s="444">
        <f t="shared" si="0"/>
        <v>3990768.1928506587</v>
      </c>
      <c r="L35" s="445">
        <f t="shared" si="1"/>
        <v>-537068.49178934097</v>
      </c>
      <c r="M35" s="446">
        <f t="shared" si="2"/>
        <v>-0.11861481082373498</v>
      </c>
      <c r="N35" s="447">
        <f t="shared" si="3"/>
        <v>0.11861481082373498</v>
      </c>
      <c r="O35" s="13"/>
      <c r="P35" s="13"/>
    </row>
    <row r="36" spans="1:52" x14ac:dyDescent="0.25">
      <c r="A36" s="173">
        <v>41213</v>
      </c>
      <c r="B36" s="176">
        <f>'Purchased Power Model'!B36</f>
        <v>4721308.4912799997</v>
      </c>
      <c r="C36" s="174">
        <f t="shared" si="6"/>
        <v>341.62</v>
      </c>
      <c r="D36" s="174">
        <f t="shared" si="6"/>
        <v>0.1</v>
      </c>
      <c r="E36" s="174">
        <f t="shared" si="6"/>
        <v>1</v>
      </c>
      <c r="F36" s="175">
        <v>31</v>
      </c>
      <c r="G36" s="442" t="e">
        <f>#REF!</f>
        <v>#REF!</v>
      </c>
      <c r="H36" s="162">
        <v>3300.6666666666652</v>
      </c>
      <c r="I36" s="396">
        <v>144.43</v>
      </c>
      <c r="J36" s="161">
        <f>16*23</f>
        <v>368</v>
      </c>
      <c r="K36" s="444">
        <f t="shared" si="0"/>
        <v>4697523.4861576762</v>
      </c>
      <c r="L36" s="445">
        <f t="shared" si="1"/>
        <v>-23785.00512232352</v>
      </c>
      <c r="M36" s="446">
        <f t="shared" si="2"/>
        <v>-5.0377994079931722E-3</v>
      </c>
      <c r="N36" s="447">
        <f t="shared" si="3"/>
        <v>5.0377994079931722E-3</v>
      </c>
      <c r="O36" s="13"/>
      <c r="P36" s="13"/>
    </row>
    <row r="37" spans="1:52" x14ac:dyDescent="0.25">
      <c r="A37" s="173">
        <v>41243</v>
      </c>
      <c r="B37" s="176">
        <f>'Purchased Power Model'!B37</f>
        <v>5471631.9107600003</v>
      </c>
      <c r="C37" s="174">
        <f t="shared" si="6"/>
        <v>565.70000000000005</v>
      </c>
      <c r="D37" s="174">
        <f t="shared" si="6"/>
        <v>0</v>
      </c>
      <c r="E37" s="174">
        <f t="shared" si="6"/>
        <v>1</v>
      </c>
      <c r="F37" s="175">
        <v>30</v>
      </c>
      <c r="G37" s="442" t="e">
        <f>#REF!</f>
        <v>#REF!</v>
      </c>
      <c r="H37" s="162">
        <v>3300.8333333333317</v>
      </c>
      <c r="I37" s="396">
        <v>144.63</v>
      </c>
      <c r="J37" s="161">
        <f>16*22</f>
        <v>352</v>
      </c>
      <c r="K37" s="444">
        <f t="shared" si="0"/>
        <v>5402308.2365802322</v>
      </c>
      <c r="L37" s="445">
        <f t="shared" si="1"/>
        <v>-69323.67417976819</v>
      </c>
      <c r="M37" s="446">
        <f t="shared" si="2"/>
        <v>-1.2669652365218999E-2</v>
      </c>
      <c r="N37" s="447">
        <f t="shared" si="3"/>
        <v>1.2669652365218999E-2</v>
      </c>
      <c r="O37" s="13"/>
      <c r="P37" s="13"/>
    </row>
    <row r="38" spans="1:52" x14ac:dyDescent="0.25">
      <c r="A38" s="173">
        <v>41274</v>
      </c>
      <c r="B38" s="176">
        <f>'Purchased Power Model'!B38</f>
        <v>7566301.7703600004</v>
      </c>
      <c r="C38" s="174">
        <f t="shared" si="6"/>
        <v>799.21000000000015</v>
      </c>
      <c r="D38" s="174">
        <f t="shared" si="6"/>
        <v>0</v>
      </c>
      <c r="E38" s="174">
        <f t="shared" si="6"/>
        <v>0</v>
      </c>
      <c r="F38" s="175">
        <v>31</v>
      </c>
      <c r="G38" s="442" t="e">
        <f>#REF!</f>
        <v>#REF!</v>
      </c>
      <c r="H38" s="162">
        <v>3301</v>
      </c>
      <c r="I38" s="396">
        <v>144.83000000000001</v>
      </c>
      <c r="J38" s="161">
        <f>16*21</f>
        <v>336</v>
      </c>
      <c r="K38" s="444">
        <f t="shared" si="0"/>
        <v>6728914.8524818104</v>
      </c>
      <c r="L38" s="445">
        <f t="shared" si="1"/>
        <v>-837386.91787819006</v>
      </c>
      <c r="M38" s="446">
        <f t="shared" si="2"/>
        <v>-0.11067321173450205</v>
      </c>
      <c r="N38" s="447">
        <f t="shared" si="3"/>
        <v>0.11067321173450205</v>
      </c>
      <c r="O38" s="13"/>
      <c r="P38" s="13"/>
    </row>
    <row r="39" spans="1:52" s="14" customFormat="1" x14ac:dyDescent="0.25">
      <c r="A39" s="173">
        <v>41305</v>
      </c>
      <c r="B39" s="176">
        <f>'Purchased Power Model'!B39</f>
        <v>6827261.4294800004</v>
      </c>
      <c r="C39" s="174">
        <f t="shared" si="6"/>
        <v>932.51</v>
      </c>
      <c r="D39" s="174">
        <f t="shared" si="6"/>
        <v>0</v>
      </c>
      <c r="E39" s="174">
        <f t="shared" si="6"/>
        <v>0</v>
      </c>
      <c r="F39" s="175">
        <v>31</v>
      </c>
      <c r="G39" s="442" t="e">
        <f>#REF!</f>
        <v>#REF!</v>
      </c>
      <c r="H39" s="72">
        <v>3338</v>
      </c>
      <c r="I39" s="396">
        <v>144.99</v>
      </c>
      <c r="J39" s="160">
        <f>16*23</f>
        <v>368</v>
      </c>
      <c r="K39" s="444">
        <f t="shared" si="0"/>
        <v>7202307.5725436965</v>
      </c>
      <c r="L39" s="445">
        <f t="shared" si="1"/>
        <v>375046.1430636961</v>
      </c>
      <c r="M39" s="446">
        <f t="shared" si="2"/>
        <v>5.4933613856392421E-2</v>
      </c>
      <c r="N39" s="447">
        <f t="shared" si="3"/>
        <v>5.4933613856392421E-2</v>
      </c>
      <c r="O39" s="13"/>
      <c r="P39" s="13"/>
      <c r="Q39" s="362"/>
      <c r="R39" s="362"/>
      <c r="S39" s="362"/>
      <c r="T39" s="362"/>
      <c r="U39" s="362"/>
      <c r="V39" s="362"/>
      <c r="W39" s="362"/>
      <c r="X39" s="362"/>
      <c r="Y39" s="362"/>
      <c r="Z39" s="362"/>
      <c r="AA39" s="362"/>
      <c r="AB39" s="362"/>
      <c r="AC39" s="362"/>
      <c r="AD39" s="362"/>
      <c r="AE39" s="362"/>
      <c r="AF39" s="362"/>
      <c r="AG39" s="362"/>
      <c r="AH39" s="362"/>
      <c r="AI39" s="362"/>
      <c r="AJ39" s="362"/>
      <c r="AK39" s="362"/>
      <c r="AL39" s="362"/>
      <c r="AM39" s="362"/>
      <c r="AN39" s="362"/>
      <c r="AO39" s="362"/>
      <c r="AP39" s="362"/>
      <c r="AQ39" s="362"/>
      <c r="AR39" s="362"/>
      <c r="AS39" s="362"/>
      <c r="AT39" s="362"/>
      <c r="AU39" s="362"/>
      <c r="AV39" s="362"/>
      <c r="AW39" s="362"/>
      <c r="AX39" s="362"/>
      <c r="AY39" s="362"/>
      <c r="AZ39" s="362"/>
    </row>
    <row r="40" spans="1:52" x14ac:dyDescent="0.25">
      <c r="A40" s="173">
        <v>41333</v>
      </c>
      <c r="B40" s="176">
        <f>'Purchased Power Model'!B40</f>
        <v>6079479.3266399996</v>
      </c>
      <c r="C40" s="174">
        <f t="shared" si="6"/>
        <v>818.46</v>
      </c>
      <c r="D40" s="174">
        <f t="shared" si="6"/>
        <v>0</v>
      </c>
      <c r="E40" s="174">
        <f t="shared" si="6"/>
        <v>0</v>
      </c>
      <c r="F40" s="175">
        <v>28</v>
      </c>
      <c r="G40" s="442" t="e">
        <f>#REF!</f>
        <v>#REF!</v>
      </c>
      <c r="H40" s="72">
        <v>3338</v>
      </c>
      <c r="I40" s="396">
        <v>145.15</v>
      </c>
      <c r="J40" s="160">
        <f>16*20</f>
        <v>320</v>
      </c>
      <c r="K40" s="444">
        <f t="shared" si="0"/>
        <v>6526607.0806332733</v>
      </c>
      <c r="L40" s="445">
        <f t="shared" si="1"/>
        <v>447127.75399327371</v>
      </c>
      <c r="M40" s="446">
        <f t="shared" si="2"/>
        <v>7.3547047365385448E-2</v>
      </c>
      <c r="N40" s="447">
        <f t="shared" si="3"/>
        <v>7.3547047365385448E-2</v>
      </c>
      <c r="O40" s="13"/>
      <c r="P40" s="13"/>
    </row>
    <row r="41" spans="1:52" x14ac:dyDescent="0.25">
      <c r="A41" s="173">
        <v>41364</v>
      </c>
      <c r="B41" s="176">
        <f>'Purchased Power Model'!B41</f>
        <v>6067973.9600400003</v>
      </c>
      <c r="C41" s="174">
        <f t="shared" si="6"/>
        <v>703.27999999999986</v>
      </c>
      <c r="D41" s="174">
        <f t="shared" si="6"/>
        <v>0</v>
      </c>
      <c r="E41" s="174">
        <f t="shared" si="6"/>
        <v>1</v>
      </c>
      <c r="F41" s="175">
        <v>31</v>
      </c>
      <c r="G41" s="442" t="e">
        <f>#REF!</f>
        <v>#REF!</v>
      </c>
      <c r="H41" s="72">
        <v>3339</v>
      </c>
      <c r="I41" s="396">
        <v>145.30000000000001</v>
      </c>
      <c r="J41" s="160">
        <f>16*21</f>
        <v>336</v>
      </c>
      <c r="K41" s="444">
        <f t="shared" si="0"/>
        <v>5981124.3084155526</v>
      </c>
      <c r="L41" s="445">
        <f t="shared" si="1"/>
        <v>-86849.651624447666</v>
      </c>
      <c r="M41" s="446">
        <f t="shared" si="2"/>
        <v>-1.4312792407546052E-2</v>
      </c>
      <c r="N41" s="447">
        <f t="shared" si="3"/>
        <v>1.4312792407546052E-2</v>
      </c>
      <c r="O41" s="13"/>
      <c r="P41" s="13"/>
      <c r="Z41" s="31"/>
    </row>
    <row r="42" spans="1:52" x14ac:dyDescent="0.25">
      <c r="A42" s="173">
        <v>41394</v>
      </c>
      <c r="B42" s="176">
        <f>'Purchased Power Model'!B42</f>
        <v>4963589.5082400003</v>
      </c>
      <c r="C42" s="174">
        <f t="shared" si="6"/>
        <v>448.57000000000005</v>
      </c>
      <c r="D42" s="174">
        <f t="shared" si="6"/>
        <v>0</v>
      </c>
      <c r="E42" s="174">
        <f t="shared" si="6"/>
        <v>1</v>
      </c>
      <c r="F42" s="175">
        <v>30</v>
      </c>
      <c r="G42" s="442" t="e">
        <f>#REF!</f>
        <v>#REF!</v>
      </c>
      <c r="H42" s="72">
        <v>3339</v>
      </c>
      <c r="I42" s="396">
        <v>145.46</v>
      </c>
      <c r="J42" s="160">
        <f>16*22</f>
        <v>352</v>
      </c>
      <c r="K42" s="444">
        <f t="shared" si="0"/>
        <v>4986340.5749084484</v>
      </c>
      <c r="L42" s="445">
        <f t="shared" si="1"/>
        <v>22751.066668448038</v>
      </c>
      <c r="M42" s="446">
        <f t="shared" si="2"/>
        <v>4.5835914977818458E-3</v>
      </c>
      <c r="N42" s="447">
        <f t="shared" si="3"/>
        <v>4.5835914977818458E-3</v>
      </c>
      <c r="O42" s="13"/>
      <c r="P42" s="13"/>
      <c r="Z42" s="31"/>
    </row>
    <row r="43" spans="1:52" x14ac:dyDescent="0.25">
      <c r="A43" s="173">
        <v>41425</v>
      </c>
      <c r="B43" s="176">
        <f>'Purchased Power Model'!B43</f>
        <v>4286764.2123600002</v>
      </c>
      <c r="C43" s="174">
        <f t="shared" si="6"/>
        <v>189.26</v>
      </c>
      <c r="D43" s="174">
        <f t="shared" si="6"/>
        <v>9.2199999999999989</v>
      </c>
      <c r="E43" s="174">
        <f t="shared" si="6"/>
        <v>1</v>
      </c>
      <c r="F43" s="175">
        <v>31</v>
      </c>
      <c r="G43" s="442" t="e">
        <f>#REF!</f>
        <v>#REF!</v>
      </c>
      <c r="H43" s="72">
        <v>3339</v>
      </c>
      <c r="I43" s="396">
        <v>145.61000000000001</v>
      </c>
      <c r="J43" s="160">
        <f>16*23</f>
        <v>368</v>
      </c>
      <c r="K43" s="444">
        <f t="shared" si="0"/>
        <v>4227063.5368910208</v>
      </c>
      <c r="L43" s="445">
        <f t="shared" si="1"/>
        <v>-59700.675468979403</v>
      </c>
      <c r="M43" s="446">
        <f t="shared" si="2"/>
        <v>-1.3926745795078913E-2</v>
      </c>
      <c r="N43" s="447">
        <f t="shared" si="3"/>
        <v>1.3926745795078913E-2</v>
      </c>
      <c r="O43" s="13"/>
      <c r="P43" s="13"/>
      <c r="Z43" s="31"/>
    </row>
    <row r="44" spans="1:52" x14ac:dyDescent="0.25">
      <c r="A44" s="173">
        <v>41455</v>
      </c>
      <c r="B44" s="176">
        <f>'Purchased Power Model'!B44</f>
        <v>4049848.1333599999</v>
      </c>
      <c r="C44" s="174">
        <f t="shared" si="6"/>
        <v>65.79000000000002</v>
      </c>
      <c r="D44" s="174">
        <f t="shared" si="6"/>
        <v>18.669999999999998</v>
      </c>
      <c r="E44" s="174">
        <f t="shared" si="6"/>
        <v>0</v>
      </c>
      <c r="F44" s="175">
        <v>30</v>
      </c>
      <c r="G44" s="442" t="e">
        <f>#REF!</f>
        <v>#REF!</v>
      </c>
      <c r="H44" s="72">
        <v>3340</v>
      </c>
      <c r="I44" s="396">
        <v>145.77000000000001</v>
      </c>
      <c r="J44" s="160">
        <f>16*20</f>
        <v>320</v>
      </c>
      <c r="K44" s="444">
        <f t="shared" si="0"/>
        <v>4178644.4778910829</v>
      </c>
      <c r="L44" s="445">
        <f t="shared" si="1"/>
        <v>128796.34453108301</v>
      </c>
      <c r="M44" s="446">
        <f t="shared" si="2"/>
        <v>3.1802759088703343E-2</v>
      </c>
      <c r="N44" s="447">
        <f t="shared" si="3"/>
        <v>3.1802759088703343E-2</v>
      </c>
      <c r="O44" s="13"/>
      <c r="P44" s="13"/>
      <c r="Z44" s="31"/>
    </row>
    <row r="45" spans="1:52" x14ac:dyDescent="0.25">
      <c r="A45" s="173">
        <v>41486</v>
      </c>
      <c r="B45" s="176">
        <f>'Purchased Power Model'!B45</f>
        <v>4273195.2544800006</v>
      </c>
      <c r="C45" s="174">
        <f t="shared" si="6"/>
        <v>18.400000000000002</v>
      </c>
      <c r="D45" s="174">
        <f t="shared" si="6"/>
        <v>68.429999999999993</v>
      </c>
      <c r="E45" s="174">
        <f t="shared" si="6"/>
        <v>0</v>
      </c>
      <c r="F45" s="175">
        <v>31</v>
      </c>
      <c r="G45" s="442" t="e">
        <f>#REF!</f>
        <v>#REF!</v>
      </c>
      <c r="H45" s="72">
        <v>3345</v>
      </c>
      <c r="I45" s="396">
        <v>145.93</v>
      </c>
      <c r="J45" s="160">
        <f>16*23</f>
        <v>368</v>
      </c>
      <c r="K45" s="444">
        <f t="shared" si="0"/>
        <v>4485889.5234723538</v>
      </c>
      <c r="L45" s="445">
        <f t="shared" si="1"/>
        <v>212694.26899235323</v>
      </c>
      <c r="M45" s="446">
        <f t="shared" si="2"/>
        <v>4.9774058128835889E-2</v>
      </c>
      <c r="N45" s="447">
        <f t="shared" si="3"/>
        <v>4.9774058128835889E-2</v>
      </c>
      <c r="O45" s="13"/>
      <c r="P45" s="13"/>
      <c r="Z45" s="31"/>
    </row>
    <row r="46" spans="1:52" x14ac:dyDescent="0.25">
      <c r="A46" s="173">
        <v>41517</v>
      </c>
      <c r="B46" s="176">
        <f>'Purchased Power Model'!B46</f>
        <v>4606952.1219999995</v>
      </c>
      <c r="C46" s="174">
        <f t="shared" si="6"/>
        <v>34.26</v>
      </c>
      <c r="D46" s="174">
        <f t="shared" si="6"/>
        <v>42.710000000000008</v>
      </c>
      <c r="E46" s="174">
        <f t="shared" si="6"/>
        <v>0</v>
      </c>
      <c r="F46" s="175">
        <v>31</v>
      </c>
      <c r="G46" s="442" t="e">
        <f>#REF!</f>
        <v>#REF!</v>
      </c>
      <c r="H46" s="72">
        <v>3344</v>
      </c>
      <c r="I46" s="396">
        <v>146.09</v>
      </c>
      <c r="J46" s="160">
        <f>16*22</f>
        <v>352</v>
      </c>
      <c r="K46" s="444">
        <f t="shared" si="0"/>
        <v>4343049.5449876506</v>
      </c>
      <c r="L46" s="445">
        <f t="shared" si="1"/>
        <v>-263902.57701234892</v>
      </c>
      <c r="M46" s="446">
        <f t="shared" si="2"/>
        <v>-5.7283551038464414E-2</v>
      </c>
      <c r="N46" s="447">
        <f t="shared" si="3"/>
        <v>5.7283551038464414E-2</v>
      </c>
      <c r="O46" s="13"/>
      <c r="P46" s="13"/>
      <c r="Z46" s="31"/>
    </row>
    <row r="47" spans="1:52" x14ac:dyDescent="0.25">
      <c r="A47" s="173">
        <v>41547</v>
      </c>
      <c r="B47" s="176">
        <f>'Purchased Power Model'!B47</f>
        <v>3900734.9432399999</v>
      </c>
      <c r="C47" s="174">
        <f t="shared" si="6"/>
        <v>135.46</v>
      </c>
      <c r="D47" s="174">
        <f t="shared" si="6"/>
        <v>15.030000000000001</v>
      </c>
      <c r="E47" s="174">
        <f t="shared" si="6"/>
        <v>1</v>
      </c>
      <c r="F47" s="175">
        <v>30</v>
      </c>
      <c r="G47" s="442" t="e">
        <f>#REF!</f>
        <v>#REF!</v>
      </c>
      <c r="H47" s="72">
        <v>3344</v>
      </c>
      <c r="I47" s="396">
        <v>146.24</v>
      </c>
      <c r="J47" s="160">
        <f>16*21</f>
        <v>336</v>
      </c>
      <c r="K47" s="444">
        <f t="shared" si="0"/>
        <v>3990768.1928506587</v>
      </c>
      <c r="L47" s="445">
        <f t="shared" si="1"/>
        <v>90033.249610658735</v>
      </c>
      <c r="M47" s="446">
        <f t="shared" si="2"/>
        <v>2.3081099054599177E-2</v>
      </c>
      <c r="N47" s="447">
        <f t="shared" si="3"/>
        <v>2.3081099054599177E-2</v>
      </c>
      <c r="O47" s="13"/>
      <c r="P47" s="13"/>
      <c r="Z47" s="31"/>
    </row>
    <row r="48" spans="1:52" x14ac:dyDescent="0.25">
      <c r="A48" s="173">
        <v>41578</v>
      </c>
      <c r="B48" s="176">
        <f>'Purchased Power Model'!B48</f>
        <v>4536912.7107600002</v>
      </c>
      <c r="C48" s="174">
        <f t="shared" si="6"/>
        <v>341.62</v>
      </c>
      <c r="D48" s="174">
        <f t="shared" si="6"/>
        <v>0.1</v>
      </c>
      <c r="E48" s="174">
        <f t="shared" si="6"/>
        <v>1</v>
      </c>
      <c r="F48" s="175">
        <v>31</v>
      </c>
      <c r="G48" s="442" t="e">
        <f>#REF!</f>
        <v>#REF!</v>
      </c>
      <c r="H48" s="72">
        <v>3348</v>
      </c>
      <c r="I48" s="396">
        <v>146.4</v>
      </c>
      <c r="J48" s="160">
        <f>16*23</f>
        <v>368</v>
      </c>
      <c r="K48" s="444">
        <f t="shared" si="0"/>
        <v>4697523.4861576762</v>
      </c>
      <c r="L48" s="445">
        <f t="shared" si="1"/>
        <v>160610.77539767604</v>
      </c>
      <c r="M48" s="446">
        <f t="shared" si="2"/>
        <v>3.5400896080006655E-2</v>
      </c>
      <c r="N48" s="447">
        <f t="shared" si="3"/>
        <v>3.5400896080006655E-2</v>
      </c>
      <c r="O48" s="13"/>
      <c r="P48" s="13"/>
      <c r="Z48" s="31"/>
    </row>
    <row r="49" spans="1:38" x14ac:dyDescent="0.25">
      <c r="A49" s="173">
        <v>41608</v>
      </c>
      <c r="B49" s="176">
        <f>'Purchased Power Model'!B49</f>
        <v>5989140.9288399993</v>
      </c>
      <c r="C49" s="174">
        <f t="shared" si="6"/>
        <v>565.70000000000005</v>
      </c>
      <c r="D49" s="174">
        <f t="shared" si="6"/>
        <v>0</v>
      </c>
      <c r="E49" s="174">
        <f t="shared" si="6"/>
        <v>1</v>
      </c>
      <c r="F49" s="175">
        <v>30</v>
      </c>
      <c r="G49" s="442" t="e">
        <f>#REF!</f>
        <v>#REF!</v>
      </c>
      <c r="H49" s="72">
        <v>3347</v>
      </c>
      <c r="I49" s="396">
        <v>146.56</v>
      </c>
      <c r="J49" s="160">
        <f>16*21</f>
        <v>336</v>
      </c>
      <c r="K49" s="444">
        <f t="shared" si="0"/>
        <v>5402308.2365802322</v>
      </c>
      <c r="L49" s="445">
        <f t="shared" si="1"/>
        <v>-586832.69225976709</v>
      </c>
      <c r="M49" s="446">
        <f t="shared" si="2"/>
        <v>-9.7982782377676853E-2</v>
      </c>
      <c r="N49" s="447">
        <f t="shared" si="3"/>
        <v>9.7982782377676853E-2</v>
      </c>
      <c r="O49" s="13"/>
      <c r="P49" s="13"/>
      <c r="Z49" s="31"/>
    </row>
    <row r="50" spans="1:38" s="31" customFormat="1" x14ac:dyDescent="0.25">
      <c r="A50" s="173">
        <v>41639</v>
      </c>
      <c r="B50" s="176">
        <f>'Purchased Power Model'!B50</f>
        <v>8021109.6808800008</v>
      </c>
      <c r="C50" s="174">
        <f t="shared" si="6"/>
        <v>799.21000000000015</v>
      </c>
      <c r="D50" s="174">
        <f t="shared" si="6"/>
        <v>0</v>
      </c>
      <c r="E50" s="174">
        <f t="shared" si="6"/>
        <v>0</v>
      </c>
      <c r="F50" s="175">
        <v>31</v>
      </c>
      <c r="G50" s="442" t="e">
        <f>#REF!</f>
        <v>#REF!</v>
      </c>
      <c r="H50" s="72">
        <v>3348</v>
      </c>
      <c r="I50" s="396">
        <v>146.72</v>
      </c>
      <c r="J50" s="160">
        <f>16*22</f>
        <v>352</v>
      </c>
      <c r="K50" s="444">
        <f t="shared" si="0"/>
        <v>6728914.8524818104</v>
      </c>
      <c r="L50" s="445">
        <f t="shared" si="1"/>
        <v>-1292194.8283981904</v>
      </c>
      <c r="M50" s="446">
        <f t="shared" si="2"/>
        <v>-0.16109925930553076</v>
      </c>
      <c r="N50" s="447">
        <f t="shared" si="3"/>
        <v>0.16109925930553076</v>
      </c>
      <c r="O50" s="13"/>
      <c r="P50" s="13"/>
      <c r="Q50" s="362"/>
      <c r="R50" s="362"/>
      <c r="S50" s="362"/>
      <c r="T50" s="362"/>
      <c r="U50" s="362"/>
      <c r="V50" s="362"/>
      <c r="W50" s="362"/>
      <c r="X50" s="362"/>
      <c r="Y50" s="362"/>
      <c r="AA50" s="362"/>
      <c r="AB50" s="362"/>
      <c r="AC50" s="362"/>
      <c r="AD50" s="362"/>
      <c r="AE50" s="362"/>
      <c r="AF50" s="362"/>
      <c r="AG50" s="362"/>
      <c r="AH50" s="362"/>
      <c r="AI50" s="362"/>
      <c r="AJ50" s="362"/>
      <c r="AK50" s="362"/>
      <c r="AL50" s="362"/>
    </row>
    <row r="51" spans="1:38" x14ac:dyDescent="0.25">
      <c r="A51" s="173">
        <v>41670</v>
      </c>
      <c r="B51" s="176">
        <f>'Purchased Power Model'!B51</f>
        <v>7852017.4837699998</v>
      </c>
      <c r="C51" s="174">
        <f t="shared" si="6"/>
        <v>932.51</v>
      </c>
      <c r="D51" s="174">
        <f t="shared" si="6"/>
        <v>0</v>
      </c>
      <c r="E51" s="174">
        <f t="shared" si="6"/>
        <v>0</v>
      </c>
      <c r="F51" s="175">
        <v>31</v>
      </c>
      <c r="G51" s="442" t="e">
        <f>#REF!</f>
        <v>#REF!</v>
      </c>
      <c r="H51" s="72">
        <v>3348</v>
      </c>
      <c r="I51" s="396">
        <v>146.94999999999999</v>
      </c>
      <c r="J51" s="160">
        <f>16*23</f>
        <v>368</v>
      </c>
      <c r="K51" s="444">
        <f t="shared" si="0"/>
        <v>7202307.5725436965</v>
      </c>
      <c r="L51" s="445">
        <f t="shared" si="1"/>
        <v>-649709.91122630332</v>
      </c>
      <c r="M51" s="446">
        <f t="shared" si="2"/>
        <v>-8.2744328138499912E-2</v>
      </c>
      <c r="N51" s="447">
        <f t="shared" si="3"/>
        <v>8.2744328138499912E-2</v>
      </c>
      <c r="O51" s="13"/>
      <c r="P51" s="13"/>
      <c r="Z51" s="31"/>
    </row>
    <row r="52" spans="1:38" x14ac:dyDescent="0.25">
      <c r="A52" s="173">
        <v>41698</v>
      </c>
      <c r="B52" s="176">
        <f>'Purchased Power Model'!B52</f>
        <v>7171636.0614499999</v>
      </c>
      <c r="C52" s="174">
        <f t="shared" si="6"/>
        <v>818.46</v>
      </c>
      <c r="D52" s="174">
        <f t="shared" si="6"/>
        <v>0</v>
      </c>
      <c r="E52" s="174">
        <f t="shared" si="6"/>
        <v>0</v>
      </c>
      <c r="F52" s="175">
        <v>28</v>
      </c>
      <c r="G52" s="442" t="e">
        <f>#REF!</f>
        <v>#REF!</v>
      </c>
      <c r="H52" s="72">
        <v>3345</v>
      </c>
      <c r="I52" s="396">
        <v>147.18</v>
      </c>
      <c r="J52" s="160">
        <f>16*20</f>
        <v>320</v>
      </c>
      <c r="K52" s="444">
        <f t="shared" si="0"/>
        <v>6526607.0806332733</v>
      </c>
      <c r="L52" s="445">
        <f t="shared" si="1"/>
        <v>-645028.98081672657</v>
      </c>
      <c r="M52" s="446">
        <f t="shared" si="2"/>
        <v>-8.9941677922556376E-2</v>
      </c>
      <c r="N52" s="447">
        <f t="shared" si="3"/>
        <v>8.9941677922556376E-2</v>
      </c>
      <c r="O52" s="13"/>
      <c r="P52" s="13"/>
      <c r="Z52" s="31"/>
    </row>
    <row r="53" spans="1:38" x14ac:dyDescent="0.25">
      <c r="A53" s="173">
        <v>41729</v>
      </c>
      <c r="B53" s="176">
        <f>'Purchased Power Model'!B53</f>
        <v>6267038.8521300005</v>
      </c>
      <c r="C53" s="174">
        <f t="shared" si="6"/>
        <v>703.27999999999986</v>
      </c>
      <c r="D53" s="174">
        <f t="shared" si="6"/>
        <v>0</v>
      </c>
      <c r="E53" s="174">
        <f t="shared" si="6"/>
        <v>1</v>
      </c>
      <c r="F53" s="175">
        <v>31</v>
      </c>
      <c r="G53" s="442" t="e">
        <f>#REF!</f>
        <v>#REF!</v>
      </c>
      <c r="H53" s="72">
        <v>3344</v>
      </c>
      <c r="I53" s="396">
        <v>147.41</v>
      </c>
      <c r="J53" s="160">
        <f>16*21</f>
        <v>336</v>
      </c>
      <c r="K53" s="444">
        <f t="shared" si="0"/>
        <v>5981124.3084155526</v>
      </c>
      <c r="L53" s="445">
        <f t="shared" si="1"/>
        <v>-285914.54371444788</v>
      </c>
      <c r="M53" s="446">
        <f t="shared" si="2"/>
        <v>-4.562195168413119E-2</v>
      </c>
      <c r="N53" s="447">
        <f t="shared" si="3"/>
        <v>4.562195168413119E-2</v>
      </c>
      <c r="O53" s="13"/>
      <c r="P53" s="13"/>
      <c r="Z53" s="31"/>
    </row>
    <row r="54" spans="1:38" x14ac:dyDescent="0.25">
      <c r="A54" s="173">
        <v>41759</v>
      </c>
      <c r="B54" s="176">
        <f>'Purchased Power Model'!B54</f>
        <v>5156663.1837600004</v>
      </c>
      <c r="C54" s="174">
        <f t="shared" si="6"/>
        <v>448.57000000000005</v>
      </c>
      <c r="D54" s="174">
        <f t="shared" si="6"/>
        <v>0</v>
      </c>
      <c r="E54" s="174">
        <f t="shared" si="6"/>
        <v>1</v>
      </c>
      <c r="F54" s="175">
        <v>30</v>
      </c>
      <c r="G54" s="442" t="e">
        <f>#REF!</f>
        <v>#REF!</v>
      </c>
      <c r="H54" s="72">
        <v>3348</v>
      </c>
      <c r="I54" s="396">
        <v>147.63999999999999</v>
      </c>
      <c r="J54" s="160">
        <f>16*22</f>
        <v>352</v>
      </c>
      <c r="K54" s="444">
        <f t="shared" si="0"/>
        <v>4986340.5749084484</v>
      </c>
      <c r="L54" s="445">
        <f t="shared" si="1"/>
        <v>-170322.60885155201</v>
      </c>
      <c r="M54" s="446">
        <f t="shared" si="2"/>
        <v>-3.3029616785512181E-2</v>
      </c>
      <c r="N54" s="447">
        <f t="shared" si="3"/>
        <v>3.3029616785512181E-2</v>
      </c>
      <c r="O54" s="13"/>
      <c r="P54" s="13"/>
      <c r="Z54" s="31"/>
    </row>
    <row r="55" spans="1:38" x14ac:dyDescent="0.25">
      <c r="A55" s="173">
        <v>41790</v>
      </c>
      <c r="B55" s="176">
        <f>'Purchased Power Model'!B55</f>
        <v>4478321.8237100001</v>
      </c>
      <c r="C55" s="174">
        <f t="shared" si="6"/>
        <v>189.26</v>
      </c>
      <c r="D55" s="174">
        <f t="shared" si="6"/>
        <v>9.2199999999999989</v>
      </c>
      <c r="E55" s="174">
        <f t="shared" si="6"/>
        <v>1</v>
      </c>
      <c r="F55" s="175">
        <v>31</v>
      </c>
      <c r="G55" s="442" t="e">
        <f>#REF!</f>
        <v>#REF!</v>
      </c>
      <c r="H55" s="72">
        <v>3347</v>
      </c>
      <c r="I55" s="396">
        <v>147.87</v>
      </c>
      <c r="J55" s="160">
        <f>16*22</f>
        <v>352</v>
      </c>
      <c r="K55" s="444">
        <f t="shared" si="0"/>
        <v>4227063.5368910208</v>
      </c>
      <c r="L55" s="445">
        <f t="shared" si="1"/>
        <v>-251258.28681897931</v>
      </c>
      <c r="M55" s="446">
        <f t="shared" si="2"/>
        <v>-5.6105455728688129E-2</v>
      </c>
      <c r="N55" s="447">
        <f t="shared" si="3"/>
        <v>5.6105455728688129E-2</v>
      </c>
      <c r="O55" s="13"/>
      <c r="P55" s="13"/>
      <c r="Z55" s="31"/>
    </row>
    <row r="56" spans="1:38" x14ac:dyDescent="0.25">
      <c r="A56" s="173">
        <v>41820</v>
      </c>
      <c r="B56" s="176">
        <f>'Purchased Power Model'!B56</f>
        <v>4232923.8219799995</v>
      </c>
      <c r="C56" s="174">
        <f t="shared" si="6"/>
        <v>65.79000000000002</v>
      </c>
      <c r="D56" s="174">
        <f t="shared" si="6"/>
        <v>18.669999999999998</v>
      </c>
      <c r="E56" s="174">
        <f t="shared" si="6"/>
        <v>0</v>
      </c>
      <c r="F56" s="175">
        <v>30</v>
      </c>
      <c r="G56" s="442" t="e">
        <f>#REF!</f>
        <v>#REF!</v>
      </c>
      <c r="H56" s="72">
        <v>3346</v>
      </c>
      <c r="I56" s="396">
        <v>148.1</v>
      </c>
      <c r="J56" s="160">
        <f>16*21</f>
        <v>336</v>
      </c>
      <c r="K56" s="444">
        <f t="shared" si="0"/>
        <v>4178644.4778910829</v>
      </c>
      <c r="L56" s="445">
        <f t="shared" si="1"/>
        <v>-54279.344088916667</v>
      </c>
      <c r="M56" s="446">
        <f t="shared" si="2"/>
        <v>-1.2823132749770788E-2</v>
      </c>
      <c r="N56" s="447">
        <f t="shared" si="3"/>
        <v>1.2823132749770788E-2</v>
      </c>
      <c r="O56" s="13"/>
      <c r="P56" s="13"/>
      <c r="Z56" s="31"/>
    </row>
    <row r="57" spans="1:38" x14ac:dyDescent="0.25">
      <c r="A57" s="173">
        <v>41851</v>
      </c>
      <c r="B57" s="176">
        <f>'Purchased Power Model'!B57</f>
        <v>3755179.0230900003</v>
      </c>
      <c r="C57" s="174">
        <f t="shared" si="6"/>
        <v>18.400000000000002</v>
      </c>
      <c r="D57" s="174">
        <f t="shared" si="6"/>
        <v>68.429999999999993</v>
      </c>
      <c r="E57" s="174">
        <f t="shared" si="6"/>
        <v>0</v>
      </c>
      <c r="F57" s="175">
        <v>31</v>
      </c>
      <c r="G57" s="442" t="e">
        <f>#REF!</f>
        <v>#REF!</v>
      </c>
      <c r="H57" s="72">
        <v>3346</v>
      </c>
      <c r="I57" s="396">
        <v>148.34</v>
      </c>
      <c r="J57" s="160">
        <f>16*23</f>
        <v>368</v>
      </c>
      <c r="K57" s="444">
        <f t="shared" si="0"/>
        <v>4485889.5234723538</v>
      </c>
      <c r="L57" s="445">
        <f t="shared" si="1"/>
        <v>730710.50038235355</v>
      </c>
      <c r="M57" s="446">
        <f t="shared" si="2"/>
        <v>0.19458739407344644</v>
      </c>
      <c r="N57" s="447">
        <f t="shared" si="3"/>
        <v>0.19458739407344644</v>
      </c>
      <c r="O57" s="13"/>
      <c r="P57" s="13"/>
      <c r="Z57" s="31"/>
    </row>
    <row r="58" spans="1:38" x14ac:dyDescent="0.25">
      <c r="A58" s="173">
        <v>41882</v>
      </c>
      <c r="B58" s="176">
        <f>'Purchased Power Model'!B58</f>
        <v>4571475.5687499996</v>
      </c>
      <c r="C58" s="174">
        <f t="shared" si="6"/>
        <v>34.26</v>
      </c>
      <c r="D58" s="174">
        <f t="shared" si="6"/>
        <v>42.710000000000008</v>
      </c>
      <c r="E58" s="174">
        <f t="shared" si="6"/>
        <v>0</v>
      </c>
      <c r="F58" s="175">
        <v>31</v>
      </c>
      <c r="G58" s="442" t="e">
        <f>#REF!</f>
        <v>#REF!</v>
      </c>
      <c r="H58" s="72">
        <v>3345</v>
      </c>
      <c r="I58" s="396">
        <v>148.57</v>
      </c>
      <c r="J58" s="160">
        <f>16*21</f>
        <v>336</v>
      </c>
      <c r="K58" s="444">
        <f t="shared" si="0"/>
        <v>4343049.5449876506</v>
      </c>
      <c r="L58" s="445">
        <f t="shared" si="1"/>
        <v>-228426.02376234904</v>
      </c>
      <c r="M58" s="446">
        <f t="shared" si="2"/>
        <v>-4.9967678997092105E-2</v>
      </c>
      <c r="N58" s="447">
        <f t="shared" si="3"/>
        <v>4.9967678997092105E-2</v>
      </c>
      <c r="O58" s="13"/>
      <c r="P58" s="13"/>
      <c r="Z58" s="356"/>
      <c r="AA58" s="50"/>
    </row>
    <row r="59" spans="1:38" x14ac:dyDescent="0.25">
      <c r="A59" s="173">
        <v>41912</v>
      </c>
      <c r="B59" s="176">
        <f>'Purchased Power Model'!B59</f>
        <v>3937076.1871500001</v>
      </c>
      <c r="C59" s="174">
        <f t="shared" si="6"/>
        <v>135.46</v>
      </c>
      <c r="D59" s="174">
        <f t="shared" si="6"/>
        <v>15.030000000000001</v>
      </c>
      <c r="E59" s="174">
        <f t="shared" si="6"/>
        <v>1</v>
      </c>
      <c r="F59" s="175">
        <v>30</v>
      </c>
      <c r="G59" s="442" t="e">
        <f>#REF!</f>
        <v>#REF!</v>
      </c>
      <c r="H59" s="72">
        <v>3349</v>
      </c>
      <c r="I59" s="396">
        <v>148.80000000000001</v>
      </c>
      <c r="J59" s="160">
        <f>16*22</f>
        <v>352</v>
      </c>
      <c r="K59" s="444">
        <f t="shared" si="0"/>
        <v>3990768.1928506587</v>
      </c>
      <c r="L59" s="445">
        <f t="shared" si="1"/>
        <v>53692.005700658541</v>
      </c>
      <c r="M59" s="446">
        <f t="shared" si="2"/>
        <v>1.36375328158243E-2</v>
      </c>
      <c r="N59" s="447">
        <f t="shared" si="3"/>
        <v>1.36375328158243E-2</v>
      </c>
      <c r="O59" s="13"/>
      <c r="P59" s="13"/>
      <c r="Z59" s="356"/>
      <c r="AA59" s="50"/>
    </row>
    <row r="60" spans="1:38" x14ac:dyDescent="0.25">
      <c r="A60" s="173">
        <v>41943</v>
      </c>
      <c r="B60" s="176">
        <f>'Purchased Power Model'!B60</f>
        <v>4897681.8591</v>
      </c>
      <c r="C60" s="174">
        <f t="shared" si="6"/>
        <v>341.62</v>
      </c>
      <c r="D60" s="174">
        <f t="shared" si="6"/>
        <v>0.1</v>
      </c>
      <c r="E60" s="174">
        <f t="shared" si="6"/>
        <v>1</v>
      </c>
      <c r="F60" s="175">
        <v>31</v>
      </c>
      <c r="G60" s="442" t="e">
        <f>#REF!</f>
        <v>#REF!</v>
      </c>
      <c r="H60" s="72">
        <v>3351</v>
      </c>
      <c r="I60" s="396">
        <v>149.04</v>
      </c>
      <c r="J60" s="160">
        <f>16*23</f>
        <v>368</v>
      </c>
      <c r="K60" s="444">
        <f t="shared" si="0"/>
        <v>4697523.4861576762</v>
      </c>
      <c r="L60" s="445">
        <f t="shared" si="1"/>
        <v>-200158.3729423238</v>
      </c>
      <c r="M60" s="446">
        <f t="shared" si="2"/>
        <v>-4.0867981771912185E-2</v>
      </c>
      <c r="N60" s="447">
        <f t="shared" si="3"/>
        <v>4.0867981771912185E-2</v>
      </c>
      <c r="O60" s="13"/>
      <c r="P60" s="13"/>
      <c r="Z60" s="356"/>
      <c r="AA60" s="50"/>
    </row>
    <row r="61" spans="1:38" x14ac:dyDescent="0.25">
      <c r="A61" s="173">
        <v>41973</v>
      </c>
      <c r="B61" s="176">
        <f>'Purchased Power Model'!B61</f>
        <v>5947394.3925000001</v>
      </c>
      <c r="C61" s="174">
        <f t="shared" si="6"/>
        <v>565.70000000000005</v>
      </c>
      <c r="D61" s="174">
        <f t="shared" si="6"/>
        <v>0</v>
      </c>
      <c r="E61" s="174">
        <f t="shared" si="6"/>
        <v>1</v>
      </c>
      <c r="F61" s="175">
        <v>30</v>
      </c>
      <c r="G61" s="442" t="e">
        <f>#REF!</f>
        <v>#REF!</v>
      </c>
      <c r="H61" s="72">
        <v>3352</v>
      </c>
      <c r="I61" s="396">
        <v>149.27000000000001</v>
      </c>
      <c r="J61" s="160">
        <f>16*20</f>
        <v>320</v>
      </c>
      <c r="K61" s="444">
        <f t="shared" si="0"/>
        <v>5402308.2365802322</v>
      </c>
      <c r="L61" s="445">
        <f t="shared" si="1"/>
        <v>-545086.15591976792</v>
      </c>
      <c r="M61" s="446">
        <f t="shared" si="2"/>
        <v>-9.1651254305104152E-2</v>
      </c>
      <c r="N61" s="447">
        <f t="shared" si="3"/>
        <v>9.1651254305104152E-2</v>
      </c>
      <c r="O61" s="13"/>
      <c r="P61" s="13"/>
      <c r="Z61" s="356"/>
      <c r="AA61" s="50"/>
    </row>
    <row r="62" spans="1:38" x14ac:dyDescent="0.25">
      <c r="A62" s="395">
        <v>42004</v>
      </c>
      <c r="B62" s="176">
        <f>'Purchased Power Model'!B62</f>
        <v>7084619.0211300002</v>
      </c>
      <c r="C62" s="174">
        <f t="shared" si="6"/>
        <v>799.21000000000015</v>
      </c>
      <c r="D62" s="174">
        <f t="shared" si="6"/>
        <v>0</v>
      </c>
      <c r="E62" s="174">
        <f t="shared" si="6"/>
        <v>0</v>
      </c>
      <c r="F62" s="175">
        <v>31</v>
      </c>
      <c r="G62" s="442" t="e">
        <f>#REF!</f>
        <v>#REF!</v>
      </c>
      <c r="H62" s="72">
        <v>3354</v>
      </c>
      <c r="I62" s="401">
        <v>149.5</v>
      </c>
      <c r="J62" s="160">
        <f>16*23</f>
        <v>368</v>
      </c>
      <c r="K62" s="444">
        <f t="shared" si="0"/>
        <v>6728914.8524818104</v>
      </c>
      <c r="L62" s="445">
        <f t="shared" si="1"/>
        <v>-355704.16864818987</v>
      </c>
      <c r="M62" s="446">
        <f t="shared" si="2"/>
        <v>-5.0207945915976E-2</v>
      </c>
      <c r="N62" s="447">
        <f t="shared" si="3"/>
        <v>5.0207945915976E-2</v>
      </c>
      <c r="O62" s="13"/>
      <c r="P62" s="13"/>
      <c r="Z62" s="31"/>
    </row>
    <row r="63" spans="1:38" x14ac:dyDescent="0.25">
      <c r="A63" s="382">
        <v>42035</v>
      </c>
      <c r="B63" s="176">
        <f>'Purchased Power Model'!B63</f>
        <v>7167685.3645400004</v>
      </c>
      <c r="C63" s="174">
        <f t="shared" si="6"/>
        <v>932.51</v>
      </c>
      <c r="D63" s="174">
        <f t="shared" si="6"/>
        <v>0</v>
      </c>
      <c r="E63" s="174">
        <f t="shared" si="6"/>
        <v>0</v>
      </c>
      <c r="F63" s="175">
        <v>31</v>
      </c>
      <c r="G63" s="442" t="e">
        <f>#REF!</f>
        <v>#REF!</v>
      </c>
      <c r="H63" s="162">
        <v>3350</v>
      </c>
      <c r="I63" s="396">
        <v>149.80000000000001</v>
      </c>
      <c r="J63" s="160">
        <f>16*22</f>
        <v>352</v>
      </c>
      <c r="K63" s="444">
        <f t="shared" si="0"/>
        <v>7202307.5725436965</v>
      </c>
      <c r="L63" s="445">
        <f t="shared" si="1"/>
        <v>34622.208003696054</v>
      </c>
      <c r="M63" s="446">
        <f t="shared" si="2"/>
        <v>4.830319167604534E-3</v>
      </c>
      <c r="N63" s="447">
        <f t="shared" si="3"/>
        <v>4.830319167604534E-3</v>
      </c>
      <c r="P63" s="13"/>
      <c r="Z63" s="31"/>
    </row>
    <row r="64" spans="1:38" x14ac:dyDescent="0.25">
      <c r="A64" s="382">
        <v>42063</v>
      </c>
      <c r="B64" s="176">
        <f>'Purchased Power Model'!B64</f>
        <v>7443816.7240899997</v>
      </c>
      <c r="C64" s="174">
        <f t="shared" si="6"/>
        <v>818.46</v>
      </c>
      <c r="D64" s="174">
        <f t="shared" si="6"/>
        <v>0</v>
      </c>
      <c r="E64" s="174">
        <f t="shared" si="6"/>
        <v>0</v>
      </c>
      <c r="F64" s="175">
        <v>28</v>
      </c>
      <c r="G64" s="442" t="e">
        <f>#REF!</f>
        <v>#REF!</v>
      </c>
      <c r="H64" s="162">
        <v>3350</v>
      </c>
      <c r="I64" s="396">
        <v>150.1</v>
      </c>
      <c r="J64" s="160">
        <f>16*20</f>
        <v>320</v>
      </c>
      <c r="K64" s="444">
        <f t="shared" si="0"/>
        <v>6526607.0806332733</v>
      </c>
      <c r="L64" s="445">
        <f t="shared" si="1"/>
        <v>-917209.64345672633</v>
      </c>
      <c r="M64" s="446">
        <f t="shared" si="2"/>
        <v>-0.12321765533109018</v>
      </c>
      <c r="N64" s="447">
        <f t="shared" si="3"/>
        <v>0.12321765533109018</v>
      </c>
      <c r="P64" s="13"/>
      <c r="Z64" s="31"/>
    </row>
    <row r="65" spans="1:26" x14ac:dyDescent="0.25">
      <c r="A65" s="382">
        <v>42094</v>
      </c>
      <c r="B65" s="176">
        <f>'Purchased Power Model'!B65</f>
        <v>5786225.6509100003</v>
      </c>
      <c r="C65" s="174">
        <f t="shared" si="6"/>
        <v>703.27999999999986</v>
      </c>
      <c r="D65" s="174">
        <f t="shared" si="6"/>
        <v>0</v>
      </c>
      <c r="E65" s="174">
        <f t="shared" si="6"/>
        <v>1</v>
      </c>
      <c r="F65" s="175">
        <v>31</v>
      </c>
      <c r="G65" s="442" t="e">
        <f>#REF!</f>
        <v>#REF!</v>
      </c>
      <c r="H65" s="162">
        <v>3350</v>
      </c>
      <c r="I65" s="396">
        <v>150.38999999999999</v>
      </c>
      <c r="J65" s="160">
        <f>16*22</f>
        <v>352</v>
      </c>
      <c r="K65" s="444">
        <f t="shared" si="0"/>
        <v>5981124.3084155526</v>
      </c>
      <c r="L65" s="445">
        <f t="shared" si="1"/>
        <v>194898.65750555228</v>
      </c>
      <c r="M65" s="446">
        <f t="shared" si="2"/>
        <v>3.3683210656483914E-2</v>
      </c>
      <c r="N65" s="447">
        <f t="shared" si="3"/>
        <v>3.3683210656483914E-2</v>
      </c>
      <c r="P65" s="13"/>
      <c r="Z65" s="31"/>
    </row>
    <row r="66" spans="1:26" x14ac:dyDescent="0.25">
      <c r="A66" s="382">
        <v>42124</v>
      </c>
      <c r="B66" s="176">
        <f>'Purchased Power Model'!B66</f>
        <v>4996208.3371799998</v>
      </c>
      <c r="C66" s="174">
        <f t="shared" si="6"/>
        <v>448.57000000000005</v>
      </c>
      <c r="D66" s="174">
        <f t="shared" si="6"/>
        <v>0</v>
      </c>
      <c r="E66" s="174">
        <f t="shared" si="6"/>
        <v>1</v>
      </c>
      <c r="F66" s="175">
        <v>30</v>
      </c>
      <c r="G66" s="442" t="e">
        <f>#REF!</f>
        <v>#REF!</v>
      </c>
      <c r="H66" s="162">
        <v>3335</v>
      </c>
      <c r="I66" s="396">
        <v>150.69</v>
      </c>
      <c r="J66" s="160">
        <f>16*22</f>
        <v>352</v>
      </c>
      <c r="K66" s="444">
        <f t="shared" si="0"/>
        <v>4986340.5749084484</v>
      </c>
      <c r="L66" s="445">
        <f t="shared" si="1"/>
        <v>-9867.7622715514153</v>
      </c>
      <c r="M66" s="446">
        <f t="shared" si="2"/>
        <v>-1.9750501991918652E-3</v>
      </c>
      <c r="N66" s="447">
        <f t="shared" si="3"/>
        <v>1.9750501991918652E-3</v>
      </c>
      <c r="P66" s="13"/>
      <c r="Z66" s="31"/>
    </row>
    <row r="67" spans="1:26" x14ac:dyDescent="0.25">
      <c r="A67" s="382">
        <v>42155</v>
      </c>
      <c r="B67" s="176">
        <f>'Purchased Power Model'!B67</f>
        <v>3910103.05161</v>
      </c>
      <c r="C67" s="174">
        <f t="shared" si="6"/>
        <v>189.26</v>
      </c>
      <c r="D67" s="174">
        <f t="shared" si="6"/>
        <v>9.2199999999999989</v>
      </c>
      <c r="E67" s="174">
        <f t="shared" si="6"/>
        <v>1</v>
      </c>
      <c r="F67" s="175">
        <v>31</v>
      </c>
      <c r="G67" s="442" t="e">
        <f>#REF!</f>
        <v>#REF!</v>
      </c>
      <c r="H67" s="162">
        <v>3335</v>
      </c>
      <c r="I67" s="396">
        <v>150.99</v>
      </c>
      <c r="J67" s="160">
        <f>16*21</f>
        <v>336</v>
      </c>
      <c r="K67" s="444">
        <f t="shared" si="0"/>
        <v>4227063.5368910208</v>
      </c>
      <c r="L67" s="445">
        <f t="shared" si="1"/>
        <v>316960.48528102087</v>
      </c>
      <c r="M67" s="446">
        <f t="shared" si="2"/>
        <v>8.1061926270846282E-2</v>
      </c>
      <c r="N67" s="447">
        <f t="shared" si="3"/>
        <v>8.1061926270846282E-2</v>
      </c>
      <c r="P67" s="13"/>
      <c r="Z67" s="31"/>
    </row>
    <row r="68" spans="1:26" x14ac:dyDescent="0.25">
      <c r="A68" s="382">
        <v>42185</v>
      </c>
      <c r="B68" s="176">
        <f>'Purchased Power Model'!B68</f>
        <v>4294867.8723999998</v>
      </c>
      <c r="C68" s="174">
        <f t="shared" si="6"/>
        <v>65.79000000000002</v>
      </c>
      <c r="D68" s="174">
        <f t="shared" si="6"/>
        <v>18.669999999999998</v>
      </c>
      <c r="E68" s="174">
        <f t="shared" si="6"/>
        <v>0</v>
      </c>
      <c r="F68" s="175">
        <v>30</v>
      </c>
      <c r="G68" s="442" t="e">
        <f>#REF!</f>
        <v>#REF!</v>
      </c>
      <c r="H68" s="162">
        <v>3335</v>
      </c>
      <c r="I68" s="396">
        <v>151.29</v>
      </c>
      <c r="J68" s="160">
        <f>16*22</f>
        <v>352</v>
      </c>
      <c r="K68" s="444">
        <f t="shared" ref="K68:K131" si="7">$R$18+C68*$R$19+D68*$R$20+E68*$R$21+F68*$R$22</f>
        <v>4178644.4778910829</v>
      </c>
      <c r="L68" s="445">
        <f t="shared" ref="L68:L122" si="8">K68-B68</f>
        <v>-116223.39450891688</v>
      </c>
      <c r="M68" s="446">
        <f t="shared" ref="M68:M122" si="9">L68/B68</f>
        <v>-2.7060994182335697E-2</v>
      </c>
      <c r="N68" s="447">
        <f t="shared" ref="N68:N122" si="10">ABS(M68)</f>
        <v>2.7060994182335697E-2</v>
      </c>
      <c r="P68" s="13"/>
      <c r="Z68" s="31"/>
    </row>
    <row r="69" spans="1:26" x14ac:dyDescent="0.25">
      <c r="A69" s="382">
        <v>42216</v>
      </c>
      <c r="B69" s="176">
        <f>'Purchased Power Model'!B69</f>
        <v>4067507.5161199998</v>
      </c>
      <c r="C69" s="174">
        <f t="shared" si="6"/>
        <v>18.400000000000002</v>
      </c>
      <c r="D69" s="174">
        <f t="shared" si="6"/>
        <v>68.429999999999993</v>
      </c>
      <c r="E69" s="174">
        <f t="shared" si="6"/>
        <v>0</v>
      </c>
      <c r="F69" s="175">
        <v>31</v>
      </c>
      <c r="G69" s="442" t="e">
        <f>#REF!</f>
        <v>#REF!</v>
      </c>
      <c r="H69" s="162">
        <v>3342</v>
      </c>
      <c r="I69" s="396">
        <v>151.59</v>
      </c>
      <c r="J69" s="160">
        <f>16*23</f>
        <v>368</v>
      </c>
      <c r="K69" s="444">
        <f t="shared" si="7"/>
        <v>4485889.5234723538</v>
      </c>
      <c r="L69" s="445">
        <f t="shared" si="8"/>
        <v>418382.007352354</v>
      </c>
      <c r="M69" s="446">
        <f t="shared" si="9"/>
        <v>0.10285955359498612</v>
      </c>
      <c r="N69" s="447">
        <f t="shared" si="10"/>
        <v>0.10285955359498612</v>
      </c>
      <c r="P69" s="13"/>
      <c r="Z69" s="31"/>
    </row>
    <row r="70" spans="1:26" x14ac:dyDescent="0.25">
      <c r="A70" s="382">
        <v>42247</v>
      </c>
      <c r="B70" s="176">
        <f>'Purchased Power Model'!B70</f>
        <v>3801328.8873600001</v>
      </c>
      <c r="C70" s="174">
        <f t="shared" si="6"/>
        <v>34.26</v>
      </c>
      <c r="D70" s="174">
        <f t="shared" si="6"/>
        <v>42.710000000000008</v>
      </c>
      <c r="E70" s="174">
        <f t="shared" si="6"/>
        <v>0</v>
      </c>
      <c r="F70" s="175">
        <v>31</v>
      </c>
      <c r="G70" s="442" t="e">
        <f>#REF!</f>
        <v>#REF!</v>
      </c>
      <c r="H70" s="162">
        <v>3342</v>
      </c>
      <c r="I70" s="396">
        <v>151.88999999999999</v>
      </c>
      <c r="J70" s="160">
        <f>16*21</f>
        <v>336</v>
      </c>
      <c r="K70" s="444">
        <f t="shared" si="7"/>
        <v>4343049.5449876506</v>
      </c>
      <c r="L70" s="445">
        <f t="shared" si="8"/>
        <v>541720.65762765054</v>
      </c>
      <c r="M70" s="446">
        <f t="shared" si="9"/>
        <v>0.14250823164208565</v>
      </c>
      <c r="N70" s="447">
        <f t="shared" si="10"/>
        <v>0.14250823164208565</v>
      </c>
      <c r="P70" s="13"/>
      <c r="Q70" s="31"/>
      <c r="R70" s="31"/>
      <c r="S70" s="31"/>
      <c r="T70" s="31"/>
      <c r="U70" s="31"/>
      <c r="V70" s="31"/>
      <c r="W70" s="31"/>
      <c r="Z70" s="31"/>
    </row>
    <row r="71" spans="1:26" x14ac:dyDescent="0.25">
      <c r="A71" s="382">
        <v>42277</v>
      </c>
      <c r="B71" s="176">
        <f>'Purchased Power Model'!B71</f>
        <v>4091907.5889500002</v>
      </c>
      <c r="C71" s="174">
        <f t="shared" si="6"/>
        <v>135.46</v>
      </c>
      <c r="D71" s="174">
        <f t="shared" si="6"/>
        <v>15.030000000000001</v>
      </c>
      <c r="E71" s="174">
        <f t="shared" si="6"/>
        <v>1</v>
      </c>
      <c r="F71" s="175">
        <v>30</v>
      </c>
      <c r="G71" s="442" t="e">
        <f>#REF!</f>
        <v>#REF!</v>
      </c>
      <c r="H71" s="162">
        <v>3342</v>
      </c>
      <c r="I71" s="396">
        <v>152.19</v>
      </c>
      <c r="J71" s="160">
        <f>16*22</f>
        <v>352</v>
      </c>
      <c r="K71" s="444">
        <f t="shared" si="7"/>
        <v>3990768.1928506587</v>
      </c>
      <c r="L71" s="445">
        <f t="shared" si="8"/>
        <v>-101139.39609934157</v>
      </c>
      <c r="M71" s="446">
        <f t="shared" si="9"/>
        <v>-2.4716930649280461E-2</v>
      </c>
      <c r="N71" s="447">
        <f t="shared" si="10"/>
        <v>2.4716930649280461E-2</v>
      </c>
      <c r="P71" s="13"/>
      <c r="Q71" s="31"/>
      <c r="R71" s="31"/>
      <c r="S71" s="31"/>
      <c r="T71" s="31"/>
      <c r="U71" s="31"/>
      <c r="V71" s="31"/>
      <c r="W71" s="31"/>
      <c r="Z71" s="31"/>
    </row>
    <row r="72" spans="1:26" x14ac:dyDescent="0.25">
      <c r="A72" s="382">
        <v>42308</v>
      </c>
      <c r="B72" s="176">
        <f>'Purchased Power Model'!B72</f>
        <v>4583286.6705800006</v>
      </c>
      <c r="C72" s="174">
        <f t="shared" si="6"/>
        <v>341.62</v>
      </c>
      <c r="D72" s="174">
        <f t="shared" si="6"/>
        <v>0.1</v>
      </c>
      <c r="E72" s="174">
        <f t="shared" si="6"/>
        <v>1</v>
      </c>
      <c r="F72" s="175">
        <v>31</v>
      </c>
      <c r="G72" s="442" t="e">
        <f>#REF!</f>
        <v>#REF!</v>
      </c>
      <c r="H72" s="162">
        <v>3345</v>
      </c>
      <c r="I72" s="396">
        <v>152.49</v>
      </c>
      <c r="J72" s="160">
        <f>16*22</f>
        <v>352</v>
      </c>
      <c r="K72" s="444">
        <f t="shared" si="7"/>
        <v>4697523.4861576762</v>
      </c>
      <c r="L72" s="445">
        <f t="shared" si="8"/>
        <v>114236.81557767559</v>
      </c>
      <c r="M72" s="446">
        <f t="shared" si="9"/>
        <v>2.4924649883010543E-2</v>
      </c>
      <c r="N72" s="447">
        <f t="shared" si="10"/>
        <v>2.4924649883010543E-2</v>
      </c>
      <c r="P72" s="13"/>
      <c r="Q72" s="31"/>
      <c r="R72" s="31"/>
      <c r="S72" s="31"/>
      <c r="T72" s="31"/>
      <c r="U72" s="31"/>
      <c r="V72" s="31"/>
      <c r="W72" s="31"/>
      <c r="Z72" s="31"/>
    </row>
    <row r="73" spans="1:26" x14ac:dyDescent="0.25">
      <c r="A73" s="382">
        <v>42338</v>
      </c>
      <c r="B73" s="176">
        <f>'Purchased Power Model'!B73</f>
        <v>5009267.5901600001</v>
      </c>
      <c r="C73" s="174">
        <f t="shared" si="6"/>
        <v>565.70000000000005</v>
      </c>
      <c r="D73" s="174">
        <f t="shared" si="6"/>
        <v>0</v>
      </c>
      <c r="E73" s="174">
        <f t="shared" si="6"/>
        <v>1</v>
      </c>
      <c r="F73" s="175">
        <v>30</v>
      </c>
      <c r="G73" s="442" t="e">
        <f>#REF!</f>
        <v>#REF!</v>
      </c>
      <c r="H73" s="162">
        <v>3345</v>
      </c>
      <c r="I73" s="396">
        <v>152.79</v>
      </c>
      <c r="J73" s="160">
        <f>16*21</f>
        <v>336</v>
      </c>
      <c r="K73" s="444">
        <f t="shared" si="7"/>
        <v>5402308.2365802322</v>
      </c>
      <c r="L73" s="445">
        <f t="shared" si="8"/>
        <v>393040.64642023202</v>
      </c>
      <c r="M73" s="446">
        <f t="shared" si="9"/>
        <v>7.8462697259835942E-2</v>
      </c>
      <c r="N73" s="447">
        <f t="shared" si="10"/>
        <v>7.8462697259835942E-2</v>
      </c>
      <c r="P73" s="13"/>
      <c r="Q73" s="31"/>
      <c r="R73" s="31"/>
      <c r="S73" s="31"/>
      <c r="T73" s="31"/>
      <c r="U73" s="31"/>
      <c r="V73" s="31"/>
      <c r="W73" s="31"/>
      <c r="Z73" s="31"/>
    </row>
    <row r="74" spans="1:26" x14ac:dyDescent="0.25">
      <c r="A74" s="382">
        <v>42369</v>
      </c>
      <c r="B74" s="176">
        <f>'Purchased Power Model'!B74</f>
        <v>5952516.0176025806</v>
      </c>
      <c r="C74" s="174">
        <f t="shared" si="6"/>
        <v>799.21000000000015</v>
      </c>
      <c r="D74" s="174">
        <f t="shared" si="6"/>
        <v>0</v>
      </c>
      <c r="E74" s="174">
        <f t="shared" si="6"/>
        <v>0</v>
      </c>
      <c r="F74" s="175">
        <v>31</v>
      </c>
      <c r="G74" s="442" t="e">
        <f>#REF!</f>
        <v>#REF!</v>
      </c>
      <c r="H74" s="162">
        <v>3345</v>
      </c>
      <c r="I74" s="396">
        <v>153.09</v>
      </c>
      <c r="J74" s="160">
        <f>16*23</f>
        <v>368</v>
      </c>
      <c r="K74" s="444">
        <f t="shared" si="7"/>
        <v>6728914.8524818104</v>
      </c>
      <c r="L74" s="445">
        <f t="shared" si="8"/>
        <v>776398.83487922978</v>
      </c>
      <c r="M74" s="446">
        <f t="shared" si="9"/>
        <v>0.13043204463176397</v>
      </c>
      <c r="N74" s="447">
        <f t="shared" si="10"/>
        <v>0.13043204463176397</v>
      </c>
      <c r="P74" s="13"/>
      <c r="Q74" s="31"/>
      <c r="R74" s="31"/>
      <c r="S74" s="31"/>
      <c r="T74" s="31"/>
      <c r="U74" s="31"/>
      <c r="V74" s="31"/>
      <c r="W74" s="31"/>
      <c r="Z74" s="31"/>
    </row>
    <row r="75" spans="1:26" x14ac:dyDescent="0.25">
      <c r="A75" s="382">
        <v>42400</v>
      </c>
      <c r="B75" s="176">
        <f>'Purchased Power Model'!B75</f>
        <v>6646637.3968974194</v>
      </c>
      <c r="C75" s="174">
        <f t="shared" si="6"/>
        <v>932.51</v>
      </c>
      <c r="D75" s="174">
        <f t="shared" si="6"/>
        <v>0</v>
      </c>
      <c r="E75" s="174">
        <f t="shared" si="6"/>
        <v>0</v>
      </c>
      <c r="F75" s="175">
        <v>31</v>
      </c>
      <c r="G75" s="442" t="e">
        <f>#REF!</f>
        <v>#REF!</v>
      </c>
      <c r="H75" s="162">
        <v>3345</v>
      </c>
      <c r="I75" s="396">
        <v>153.38999999999999</v>
      </c>
      <c r="J75" s="160">
        <f>16*21</f>
        <v>336</v>
      </c>
      <c r="K75" s="444">
        <f t="shared" si="7"/>
        <v>7202307.5725436965</v>
      </c>
      <c r="L75" s="445">
        <f t="shared" si="8"/>
        <v>555670.17564627714</v>
      </c>
      <c r="M75" s="446">
        <f t="shared" si="9"/>
        <v>8.3601698492783455E-2</v>
      </c>
      <c r="N75" s="447">
        <f t="shared" si="10"/>
        <v>8.3601698492783455E-2</v>
      </c>
      <c r="P75" s="13"/>
      <c r="Q75" s="31"/>
      <c r="R75" s="31"/>
      <c r="S75" s="31"/>
      <c r="T75" s="31"/>
      <c r="U75" s="31"/>
      <c r="V75" s="31"/>
      <c r="W75" s="31"/>
      <c r="Z75" s="31"/>
    </row>
    <row r="76" spans="1:26" x14ac:dyDescent="0.25">
      <c r="A76" s="382">
        <v>42429</v>
      </c>
      <c r="B76" s="176">
        <f>'Purchased Power Model'!B76</f>
        <v>6312099.9272099994</v>
      </c>
      <c r="C76" s="174">
        <f t="shared" si="6"/>
        <v>818.46</v>
      </c>
      <c r="D76" s="174">
        <f t="shared" si="6"/>
        <v>0</v>
      </c>
      <c r="E76" s="174">
        <f t="shared" si="6"/>
        <v>0</v>
      </c>
      <c r="F76" s="175">
        <v>29</v>
      </c>
      <c r="G76" s="442" t="e">
        <f>#REF!</f>
        <v>#REF!</v>
      </c>
      <c r="H76" s="162">
        <v>3345</v>
      </c>
      <c r="I76" s="396">
        <v>153.69999999999999</v>
      </c>
      <c r="J76" s="160">
        <f>16*21</f>
        <v>336</v>
      </c>
      <c r="K76" s="444">
        <f t="shared" si="7"/>
        <v>6616830.7261661589</v>
      </c>
      <c r="L76" s="445">
        <f t="shared" si="8"/>
        <v>304730.7989561595</v>
      </c>
      <c r="M76" s="446">
        <f t="shared" si="9"/>
        <v>4.8277245682143859E-2</v>
      </c>
      <c r="N76" s="447">
        <f t="shared" si="10"/>
        <v>4.8277245682143859E-2</v>
      </c>
      <c r="P76" s="13"/>
      <c r="Q76" s="31"/>
      <c r="R76" s="31"/>
      <c r="S76" s="31"/>
      <c r="T76" s="31"/>
      <c r="U76" s="31"/>
      <c r="V76" s="31"/>
      <c r="W76" s="31"/>
      <c r="Z76" s="31"/>
    </row>
    <row r="77" spans="1:26" x14ac:dyDescent="0.25">
      <c r="A77" s="382">
        <v>42460</v>
      </c>
      <c r="B77" s="176">
        <f>'Purchased Power Model'!B77</f>
        <v>5718320.3403500002</v>
      </c>
      <c r="C77" s="174">
        <f t="shared" si="6"/>
        <v>703.27999999999986</v>
      </c>
      <c r="D77" s="174">
        <f t="shared" si="6"/>
        <v>0</v>
      </c>
      <c r="E77" s="174">
        <f t="shared" si="6"/>
        <v>1</v>
      </c>
      <c r="F77" s="175">
        <v>31</v>
      </c>
      <c r="G77" s="442" t="e">
        <f>#REF!</f>
        <v>#REF!</v>
      </c>
      <c r="H77" s="162">
        <v>3345</v>
      </c>
      <c r="I77" s="396">
        <v>154</v>
      </c>
      <c r="J77" s="160">
        <f>16*23</f>
        <v>368</v>
      </c>
      <c r="K77" s="444">
        <f t="shared" si="7"/>
        <v>5981124.3084155526</v>
      </c>
      <c r="L77" s="445">
        <f t="shared" si="8"/>
        <v>262803.96806555241</v>
      </c>
      <c r="M77" s="446">
        <f t="shared" si="9"/>
        <v>4.5958245153063078E-2</v>
      </c>
      <c r="N77" s="447">
        <f t="shared" si="10"/>
        <v>4.5958245153063078E-2</v>
      </c>
      <c r="P77" s="13"/>
      <c r="Q77" s="31"/>
      <c r="R77" s="31"/>
      <c r="S77" s="31"/>
      <c r="T77" s="31"/>
      <c r="U77" s="31"/>
      <c r="V77" s="31"/>
      <c r="W77" s="31"/>
      <c r="Z77" s="31"/>
    </row>
    <row r="78" spans="1:26" x14ac:dyDescent="0.25">
      <c r="A78" s="382">
        <v>42490</v>
      </c>
      <c r="B78" s="176">
        <f>'Purchased Power Model'!B78</f>
        <v>4966410.7876377022</v>
      </c>
      <c r="C78" s="174">
        <f t="shared" si="6"/>
        <v>448.57000000000005</v>
      </c>
      <c r="D78" s="174">
        <f t="shared" si="6"/>
        <v>0</v>
      </c>
      <c r="E78" s="174">
        <f t="shared" si="6"/>
        <v>1</v>
      </c>
      <c r="F78" s="175">
        <v>30</v>
      </c>
      <c r="G78" s="442" t="e">
        <f>#REF!</f>
        <v>#REF!</v>
      </c>
      <c r="H78" s="162">
        <v>3340</v>
      </c>
      <c r="I78" s="396">
        <v>154.31</v>
      </c>
      <c r="J78" s="160">
        <f>16*21</f>
        <v>336</v>
      </c>
      <c r="K78" s="444">
        <f t="shared" si="7"/>
        <v>4986340.5749084484</v>
      </c>
      <c r="L78" s="445">
        <f t="shared" si="8"/>
        <v>19929.787270746194</v>
      </c>
      <c r="M78" s="446">
        <f t="shared" si="9"/>
        <v>4.0129155889309541E-3</v>
      </c>
      <c r="N78" s="447">
        <f t="shared" si="10"/>
        <v>4.0129155889309541E-3</v>
      </c>
      <c r="P78" s="13"/>
      <c r="Q78" s="31"/>
      <c r="R78" s="31"/>
      <c r="S78" s="31"/>
      <c r="T78" s="31"/>
      <c r="U78" s="31"/>
      <c r="V78" s="31"/>
      <c r="W78" s="31"/>
      <c r="Z78" s="31"/>
    </row>
    <row r="79" spans="1:26" x14ac:dyDescent="0.25">
      <c r="A79" s="382">
        <v>42521</v>
      </c>
      <c r="B79" s="176">
        <f>'Purchased Power Model'!B79</f>
        <v>4082620.5176583179</v>
      </c>
      <c r="C79" s="174">
        <f t="shared" si="6"/>
        <v>189.26</v>
      </c>
      <c r="D79" s="174">
        <f t="shared" si="6"/>
        <v>9.2199999999999989</v>
      </c>
      <c r="E79" s="174">
        <f t="shared" si="6"/>
        <v>1</v>
      </c>
      <c r="F79" s="175">
        <v>31</v>
      </c>
      <c r="G79" s="442" t="e">
        <f>#REF!</f>
        <v>#REF!</v>
      </c>
      <c r="H79" s="162">
        <v>3340</v>
      </c>
      <c r="I79" s="396">
        <v>154.61000000000001</v>
      </c>
      <c r="J79" s="160">
        <f>16*22</f>
        <v>352</v>
      </c>
      <c r="K79" s="444">
        <f t="shared" si="7"/>
        <v>4227063.5368910208</v>
      </c>
      <c r="L79" s="445">
        <f t="shared" si="8"/>
        <v>144443.01923270291</v>
      </c>
      <c r="M79" s="446">
        <f t="shared" si="9"/>
        <v>3.5379976808511106E-2</v>
      </c>
      <c r="N79" s="447">
        <f t="shared" si="10"/>
        <v>3.5379976808511106E-2</v>
      </c>
      <c r="P79" s="13"/>
      <c r="Q79" s="31"/>
      <c r="R79" s="31"/>
      <c r="S79" s="31"/>
      <c r="T79" s="31"/>
      <c r="U79" s="31"/>
      <c r="V79" s="31"/>
      <c r="W79" s="31"/>
      <c r="Z79" s="31"/>
    </row>
    <row r="80" spans="1:26" x14ac:dyDescent="0.25">
      <c r="A80" s="382">
        <v>42551</v>
      </c>
      <c r="B80" s="176">
        <f>'Purchased Power Model'!B80</f>
        <v>3965563.7790039806</v>
      </c>
      <c r="C80" s="174">
        <f t="shared" si="6"/>
        <v>65.79000000000002</v>
      </c>
      <c r="D80" s="174">
        <f t="shared" si="6"/>
        <v>18.669999999999998</v>
      </c>
      <c r="E80" s="174">
        <f t="shared" si="6"/>
        <v>0</v>
      </c>
      <c r="F80" s="175">
        <v>30</v>
      </c>
      <c r="G80" s="442" t="e">
        <f>#REF!</f>
        <v>#REF!</v>
      </c>
      <c r="H80" s="162">
        <v>3340</v>
      </c>
      <c r="I80" s="396">
        <v>154.91999999999999</v>
      </c>
      <c r="J80" s="160">
        <f>16*22</f>
        <v>352</v>
      </c>
      <c r="K80" s="444">
        <f t="shared" si="7"/>
        <v>4178644.4778910829</v>
      </c>
      <c r="L80" s="445">
        <f t="shared" si="8"/>
        <v>213080.69888710231</v>
      </c>
      <c r="M80" s="446">
        <f t="shared" si="9"/>
        <v>5.373276304753348E-2</v>
      </c>
      <c r="N80" s="447">
        <f t="shared" si="10"/>
        <v>5.373276304753348E-2</v>
      </c>
      <c r="P80" s="13"/>
      <c r="Q80" s="31"/>
      <c r="R80" s="31"/>
      <c r="S80" s="31"/>
      <c r="T80" s="31"/>
      <c r="U80" s="31"/>
      <c r="V80" s="31"/>
      <c r="W80" s="31"/>
      <c r="Z80" s="31"/>
    </row>
    <row r="81" spans="1:26" x14ac:dyDescent="0.25">
      <c r="A81" s="382">
        <v>42582</v>
      </c>
      <c r="B81" s="176">
        <f>'Purchased Power Model'!B81</f>
        <v>4382848.4523400003</v>
      </c>
      <c r="C81" s="174">
        <f t="shared" ref="C81:E144" si="11">C69</f>
        <v>18.400000000000002</v>
      </c>
      <c r="D81" s="174">
        <f t="shared" si="11"/>
        <v>68.429999999999993</v>
      </c>
      <c r="E81" s="174">
        <f t="shared" si="11"/>
        <v>0</v>
      </c>
      <c r="F81" s="175">
        <v>31</v>
      </c>
      <c r="G81" s="442" t="e">
        <f>#REF!</f>
        <v>#REF!</v>
      </c>
      <c r="H81" s="162">
        <v>3342</v>
      </c>
      <c r="I81" s="396">
        <v>155.22</v>
      </c>
      <c r="J81" s="160">
        <f>16*21</f>
        <v>336</v>
      </c>
      <c r="K81" s="444">
        <f t="shared" si="7"/>
        <v>4485889.5234723538</v>
      </c>
      <c r="L81" s="445">
        <f t="shared" si="8"/>
        <v>103041.07113235351</v>
      </c>
      <c r="M81" s="446">
        <f t="shared" si="9"/>
        <v>2.3510069365355296E-2</v>
      </c>
      <c r="N81" s="447">
        <f t="shared" si="10"/>
        <v>2.3510069365355296E-2</v>
      </c>
      <c r="P81" s="13"/>
      <c r="Q81" s="31"/>
      <c r="R81" s="31"/>
      <c r="S81" s="31"/>
      <c r="T81" s="31"/>
      <c r="U81" s="31"/>
      <c r="V81" s="31"/>
      <c r="W81" s="31"/>
      <c r="Z81" s="31"/>
    </row>
    <row r="82" spans="1:26" x14ac:dyDescent="0.25">
      <c r="A82" s="382">
        <v>42613</v>
      </c>
      <c r="B82" s="176">
        <f>'Purchased Power Model'!B82</f>
        <v>4538382.6714300001</v>
      </c>
      <c r="C82" s="174">
        <f t="shared" si="11"/>
        <v>34.26</v>
      </c>
      <c r="D82" s="174">
        <f t="shared" si="11"/>
        <v>42.710000000000008</v>
      </c>
      <c r="E82" s="174">
        <f t="shared" si="11"/>
        <v>0</v>
      </c>
      <c r="F82" s="175">
        <v>31</v>
      </c>
      <c r="G82" s="442" t="e">
        <f>#REF!</f>
        <v>#REF!</v>
      </c>
      <c r="H82" s="162">
        <v>3342</v>
      </c>
      <c r="I82" s="396">
        <v>155.53</v>
      </c>
      <c r="J82" s="160">
        <f>16*23</f>
        <v>368</v>
      </c>
      <c r="K82" s="444">
        <f t="shared" si="7"/>
        <v>4343049.5449876506</v>
      </c>
      <c r="L82" s="445">
        <f t="shared" si="8"/>
        <v>-195333.12644234952</v>
      </c>
      <c r="M82" s="446">
        <f t="shared" si="9"/>
        <v>-4.3040250367605504E-2</v>
      </c>
      <c r="N82" s="447">
        <f t="shared" si="10"/>
        <v>4.3040250367605504E-2</v>
      </c>
      <c r="P82" s="13"/>
      <c r="Q82" s="31"/>
      <c r="R82" s="31"/>
      <c r="S82" s="31"/>
      <c r="T82" s="31"/>
      <c r="U82" s="31"/>
      <c r="V82" s="31"/>
      <c r="W82" s="31"/>
      <c r="Z82" s="31"/>
    </row>
    <row r="83" spans="1:26" x14ac:dyDescent="0.25">
      <c r="A83" s="382">
        <v>42643</v>
      </c>
      <c r="B83" s="176">
        <f>'Purchased Power Model'!B83</f>
        <v>2619576.9357000003</v>
      </c>
      <c r="C83" s="174">
        <f t="shared" si="11"/>
        <v>135.46</v>
      </c>
      <c r="D83" s="174">
        <f t="shared" si="11"/>
        <v>15.030000000000001</v>
      </c>
      <c r="E83" s="174">
        <f t="shared" si="11"/>
        <v>1</v>
      </c>
      <c r="F83" s="175">
        <v>30</v>
      </c>
      <c r="G83" s="442" t="e">
        <f>#REF!</f>
        <v>#REF!</v>
      </c>
      <c r="H83" s="162">
        <v>3342</v>
      </c>
      <c r="I83" s="396">
        <v>155.84</v>
      </c>
      <c r="J83" s="160">
        <f>16*22</f>
        <v>352</v>
      </c>
      <c r="K83" s="444">
        <f t="shared" si="7"/>
        <v>3990768.1928506587</v>
      </c>
      <c r="L83" s="445">
        <f t="shared" si="8"/>
        <v>1371191.2571506584</v>
      </c>
      <c r="M83" s="446">
        <f t="shared" si="9"/>
        <v>0.52343996408880056</v>
      </c>
      <c r="N83" s="447">
        <f t="shared" si="10"/>
        <v>0.52343996408880056</v>
      </c>
      <c r="P83" s="13"/>
      <c r="Q83" s="31"/>
      <c r="R83" s="31"/>
      <c r="S83" s="31"/>
      <c r="T83" s="31"/>
      <c r="U83" s="31"/>
      <c r="V83" s="31"/>
      <c r="W83" s="31"/>
      <c r="Z83" s="31"/>
    </row>
    <row r="84" spans="1:26" x14ac:dyDescent="0.25">
      <c r="A84" s="382">
        <v>42674</v>
      </c>
      <c r="B84" s="176">
        <f>'Purchased Power Model'!B84</f>
        <v>5551447.8350500008</v>
      </c>
      <c r="C84" s="174">
        <f t="shared" si="11"/>
        <v>341.62</v>
      </c>
      <c r="D84" s="174">
        <f t="shared" si="11"/>
        <v>0.1</v>
      </c>
      <c r="E84" s="174">
        <f t="shared" si="11"/>
        <v>1</v>
      </c>
      <c r="F84" s="175">
        <v>31</v>
      </c>
      <c r="G84" s="442" t="e">
        <f>#REF!</f>
        <v>#REF!</v>
      </c>
      <c r="H84" s="162">
        <v>3345</v>
      </c>
      <c r="I84" s="396">
        <v>156.15</v>
      </c>
      <c r="J84" s="160">
        <f>16*21</f>
        <v>336</v>
      </c>
      <c r="K84" s="444">
        <f t="shared" si="7"/>
        <v>4697523.4861576762</v>
      </c>
      <c r="L84" s="445">
        <f t="shared" si="8"/>
        <v>-853924.3488923246</v>
      </c>
      <c r="M84" s="446">
        <f t="shared" si="9"/>
        <v>-0.15382011580851565</v>
      </c>
      <c r="N84" s="447">
        <f t="shared" si="10"/>
        <v>0.15382011580851565</v>
      </c>
      <c r="P84" s="13"/>
      <c r="Q84" s="31"/>
      <c r="R84" s="31"/>
      <c r="S84" s="31"/>
      <c r="T84" s="31"/>
      <c r="U84" s="31"/>
      <c r="V84" s="31"/>
      <c r="W84" s="31"/>
      <c r="Z84" s="31"/>
    </row>
    <row r="85" spans="1:26" x14ac:dyDescent="0.25">
      <c r="A85" s="382">
        <v>42704</v>
      </c>
      <c r="B85" s="176">
        <f>'Purchased Power Model'!B85</f>
        <v>4830363.36601</v>
      </c>
      <c r="C85" s="174">
        <f t="shared" si="11"/>
        <v>565.70000000000005</v>
      </c>
      <c r="D85" s="174">
        <f t="shared" si="11"/>
        <v>0</v>
      </c>
      <c r="E85" s="174">
        <f t="shared" si="11"/>
        <v>1</v>
      </c>
      <c r="F85" s="175">
        <v>30</v>
      </c>
      <c r="G85" s="442" t="e">
        <f>#REF!</f>
        <v>#REF!</v>
      </c>
      <c r="H85" s="162">
        <v>3345</v>
      </c>
      <c r="I85" s="396">
        <v>156.46</v>
      </c>
      <c r="J85" s="160">
        <f>16*22</f>
        <v>352</v>
      </c>
      <c r="K85" s="444">
        <f t="shared" si="7"/>
        <v>5402308.2365802322</v>
      </c>
      <c r="L85" s="445">
        <f t="shared" si="8"/>
        <v>571944.87057023216</v>
      </c>
      <c r="M85" s="446">
        <f t="shared" si="9"/>
        <v>0.11840617925244676</v>
      </c>
      <c r="N85" s="447">
        <f t="shared" si="10"/>
        <v>0.11840617925244676</v>
      </c>
      <c r="P85" s="13"/>
      <c r="Q85" s="31"/>
      <c r="R85" s="31"/>
      <c r="S85" s="31"/>
      <c r="T85" s="31"/>
      <c r="U85" s="31"/>
      <c r="V85" s="31"/>
      <c r="W85" s="31"/>
      <c r="Z85" s="31"/>
    </row>
    <row r="86" spans="1:26" x14ac:dyDescent="0.25">
      <c r="A86" s="433">
        <v>42735</v>
      </c>
      <c r="B86" s="176">
        <f>'Purchased Power Model'!B86</f>
        <v>6179831.8605199996</v>
      </c>
      <c r="C86" s="174">
        <f t="shared" si="11"/>
        <v>799.21000000000015</v>
      </c>
      <c r="D86" s="174">
        <f t="shared" si="11"/>
        <v>0</v>
      </c>
      <c r="E86" s="174">
        <f t="shared" si="11"/>
        <v>0</v>
      </c>
      <c r="F86" s="175">
        <v>31</v>
      </c>
      <c r="G86" s="442" t="e">
        <f>#REF!</f>
        <v>#REF!</v>
      </c>
      <c r="H86" s="162">
        <v>3345</v>
      </c>
      <c r="I86" s="396">
        <v>156.77000000000001</v>
      </c>
      <c r="J86" s="160">
        <f>16*22</f>
        <v>352</v>
      </c>
      <c r="K86" s="444">
        <f t="shared" si="7"/>
        <v>6728914.8524818104</v>
      </c>
      <c r="L86" s="445">
        <f t="shared" si="8"/>
        <v>549082.99196181074</v>
      </c>
      <c r="M86" s="446">
        <f t="shared" si="9"/>
        <v>8.8850797943167401E-2</v>
      </c>
      <c r="N86" s="447">
        <f t="shared" si="10"/>
        <v>8.8850797943167401E-2</v>
      </c>
      <c r="P86" s="13"/>
      <c r="Q86" s="31"/>
      <c r="R86" s="31"/>
      <c r="S86" s="31"/>
      <c r="T86" s="31"/>
      <c r="U86" s="31"/>
      <c r="V86" s="31"/>
      <c r="W86" s="31"/>
      <c r="Z86" s="31"/>
    </row>
    <row r="87" spans="1:26" x14ac:dyDescent="0.25">
      <c r="A87" s="382">
        <v>42766</v>
      </c>
      <c r="B87" s="176">
        <f>'Purchased Power Model'!B87</f>
        <v>6233962.9257977204</v>
      </c>
      <c r="C87" s="174">
        <f t="shared" si="11"/>
        <v>932.51</v>
      </c>
      <c r="D87" s="174">
        <f t="shared" si="11"/>
        <v>0</v>
      </c>
      <c r="E87" s="174">
        <f t="shared" si="11"/>
        <v>0</v>
      </c>
      <c r="F87" s="175">
        <v>31</v>
      </c>
      <c r="G87" s="442" t="e">
        <f>#REF!</f>
        <v>#REF!</v>
      </c>
      <c r="H87" s="162">
        <f>AVERAGE(H63:H86)</f>
        <v>3343</v>
      </c>
      <c r="I87" s="397"/>
      <c r="J87" s="160">
        <f>16*22</f>
        <v>352</v>
      </c>
      <c r="K87" s="444">
        <f t="shared" si="7"/>
        <v>7202307.5725436965</v>
      </c>
      <c r="L87" s="445">
        <f t="shared" si="8"/>
        <v>968344.64674597606</v>
      </c>
      <c r="M87" s="446">
        <f t="shared" si="9"/>
        <v>0.15533371922035663</v>
      </c>
      <c r="N87" s="447">
        <f t="shared" si="10"/>
        <v>0.15533371922035663</v>
      </c>
      <c r="P87" s="13"/>
      <c r="Q87" s="31"/>
      <c r="R87" s="31"/>
      <c r="S87" s="31"/>
      <c r="T87" s="31"/>
      <c r="U87" s="31"/>
      <c r="V87" s="31"/>
      <c r="W87" s="31"/>
      <c r="Z87" s="31"/>
    </row>
    <row r="88" spans="1:26" x14ac:dyDescent="0.25">
      <c r="A88" s="382">
        <v>42794</v>
      </c>
      <c r="B88" s="176">
        <f>'Purchased Power Model'!B88</f>
        <v>5518076.0905600004</v>
      </c>
      <c r="C88" s="174">
        <f t="shared" si="11"/>
        <v>818.46</v>
      </c>
      <c r="D88" s="174">
        <f t="shared" si="11"/>
        <v>0</v>
      </c>
      <c r="E88" s="174">
        <f t="shared" si="11"/>
        <v>0</v>
      </c>
      <c r="F88" s="175">
        <v>28</v>
      </c>
      <c r="G88" s="442" t="e">
        <f>#REF!</f>
        <v>#REF!</v>
      </c>
      <c r="H88" s="162">
        <f t="shared" ref="H88:H98" si="12">AVERAGE(H64:H87)</f>
        <v>3342.7083333333335</v>
      </c>
      <c r="I88" s="397"/>
      <c r="J88" s="160">
        <f>16*20</f>
        <v>320</v>
      </c>
      <c r="K88" s="444">
        <f t="shared" si="7"/>
        <v>6526607.0806332733</v>
      </c>
      <c r="L88" s="445">
        <f t="shared" si="8"/>
        <v>1008530.990073273</v>
      </c>
      <c r="M88" s="446">
        <f t="shared" si="9"/>
        <v>0.18276859063226916</v>
      </c>
      <c r="N88" s="447">
        <f t="shared" si="10"/>
        <v>0.18276859063226916</v>
      </c>
      <c r="P88" s="13"/>
      <c r="Q88" s="31"/>
      <c r="R88" s="31"/>
      <c r="S88" s="31"/>
      <c r="T88" s="31"/>
      <c r="U88" s="31"/>
      <c r="V88" s="31"/>
      <c r="W88" s="31"/>
      <c r="Z88" s="31"/>
    </row>
    <row r="89" spans="1:26" x14ac:dyDescent="0.25">
      <c r="A89" s="382">
        <v>42825</v>
      </c>
      <c r="B89" s="176">
        <f>'Purchased Power Model'!B89</f>
        <v>5958532.9024100006</v>
      </c>
      <c r="C89" s="174">
        <f t="shared" si="11"/>
        <v>703.27999999999986</v>
      </c>
      <c r="D89" s="174">
        <f t="shared" si="11"/>
        <v>0</v>
      </c>
      <c r="E89" s="174">
        <f t="shared" si="11"/>
        <v>1</v>
      </c>
      <c r="F89" s="175">
        <v>31</v>
      </c>
      <c r="G89" s="442" t="e">
        <f>#REF!</f>
        <v>#REF!</v>
      </c>
      <c r="H89" s="162">
        <f t="shared" si="12"/>
        <v>3342.4045138888887</v>
      </c>
      <c r="I89" s="397"/>
      <c r="J89" s="160">
        <f>16*23</f>
        <v>368</v>
      </c>
      <c r="K89" s="444">
        <f t="shared" si="7"/>
        <v>5981124.3084155526</v>
      </c>
      <c r="L89" s="445">
        <f t="shared" si="8"/>
        <v>22591.406005552039</v>
      </c>
      <c r="M89" s="446">
        <f t="shared" si="9"/>
        <v>3.7914376534557144E-3</v>
      </c>
      <c r="N89" s="447">
        <f t="shared" si="10"/>
        <v>3.7914376534557144E-3</v>
      </c>
      <c r="P89" s="13"/>
      <c r="Q89" s="31"/>
      <c r="R89" s="31"/>
      <c r="S89" s="31"/>
      <c r="T89" s="31"/>
      <c r="U89" s="31"/>
      <c r="V89" s="31"/>
      <c r="W89" s="31"/>
      <c r="Z89" s="31"/>
    </row>
    <row r="90" spans="1:26" x14ac:dyDescent="0.25">
      <c r="A90" s="382">
        <v>42855</v>
      </c>
      <c r="B90" s="176">
        <f>'Purchased Power Model'!B90</f>
        <v>4622528.5920799999</v>
      </c>
      <c r="C90" s="174">
        <f t="shared" si="11"/>
        <v>448.57000000000005</v>
      </c>
      <c r="D90" s="174">
        <f t="shared" si="11"/>
        <v>0</v>
      </c>
      <c r="E90" s="174">
        <f t="shared" si="11"/>
        <v>1</v>
      </c>
      <c r="F90" s="175">
        <v>30</v>
      </c>
      <c r="G90" s="442" t="e">
        <f>#REF!</f>
        <v>#REF!</v>
      </c>
      <c r="H90" s="162">
        <f t="shared" si="12"/>
        <v>3342.0880353009256</v>
      </c>
      <c r="I90" s="397"/>
      <c r="J90" s="160">
        <f>16*20</f>
        <v>320</v>
      </c>
      <c r="K90" s="444">
        <f t="shared" si="7"/>
        <v>4986340.5749084484</v>
      </c>
      <c r="L90" s="445">
        <f t="shared" si="8"/>
        <v>363811.98282844853</v>
      </c>
      <c r="M90" s="446">
        <f t="shared" si="9"/>
        <v>7.8704106547179631E-2</v>
      </c>
      <c r="N90" s="447">
        <f t="shared" si="10"/>
        <v>7.8704106547179631E-2</v>
      </c>
      <c r="P90" s="13"/>
      <c r="Q90" s="31"/>
      <c r="R90" s="31"/>
      <c r="S90" s="31"/>
      <c r="T90" s="31"/>
      <c r="U90" s="31"/>
      <c r="V90" s="31"/>
      <c r="W90" s="31"/>
      <c r="Z90" s="31"/>
    </row>
    <row r="91" spans="1:26" x14ac:dyDescent="0.25">
      <c r="A91" s="382">
        <v>42886</v>
      </c>
      <c r="B91" s="176">
        <f>'Purchased Power Model'!B91</f>
        <v>4130499.6616700003</v>
      </c>
      <c r="C91" s="174">
        <f t="shared" si="11"/>
        <v>189.26</v>
      </c>
      <c r="D91" s="174">
        <f t="shared" si="11"/>
        <v>9.2199999999999989</v>
      </c>
      <c r="E91" s="174">
        <f t="shared" si="11"/>
        <v>1</v>
      </c>
      <c r="F91" s="175">
        <v>31</v>
      </c>
      <c r="G91" s="442" t="e">
        <f>#REF!</f>
        <v>#REF!</v>
      </c>
      <c r="H91" s="162">
        <f t="shared" si="12"/>
        <v>3342.3833701051312</v>
      </c>
      <c r="I91" s="397"/>
      <c r="J91" s="160">
        <f>16*23</f>
        <v>368</v>
      </c>
      <c r="K91" s="444">
        <f t="shared" si="7"/>
        <v>4227063.5368910208</v>
      </c>
      <c r="L91" s="445">
        <f t="shared" si="8"/>
        <v>96563.875221020542</v>
      </c>
      <c r="M91" s="446">
        <f t="shared" si="9"/>
        <v>2.3378255206533256E-2</v>
      </c>
      <c r="N91" s="447">
        <f t="shared" si="10"/>
        <v>2.3378255206533256E-2</v>
      </c>
      <c r="P91" s="13"/>
      <c r="Q91" s="31"/>
      <c r="R91" s="31"/>
      <c r="S91" s="31"/>
      <c r="T91" s="31"/>
      <c r="U91" s="31"/>
      <c r="V91" s="31"/>
      <c r="W91" s="31"/>
      <c r="Z91" s="31"/>
    </row>
    <row r="92" spans="1:26" x14ac:dyDescent="0.25">
      <c r="A92" s="382">
        <v>42916</v>
      </c>
      <c r="B92" s="176">
        <f>'Purchased Power Model'!B92</f>
        <v>4056483.0081499997</v>
      </c>
      <c r="C92" s="174">
        <f t="shared" si="11"/>
        <v>65.79000000000002</v>
      </c>
      <c r="D92" s="174">
        <f t="shared" si="11"/>
        <v>18.669999999999998</v>
      </c>
      <c r="E92" s="174">
        <f t="shared" si="11"/>
        <v>0</v>
      </c>
      <c r="F92" s="175">
        <v>30</v>
      </c>
      <c r="G92" s="442" t="e">
        <f>#REF!</f>
        <v>#REF!</v>
      </c>
      <c r="H92" s="162">
        <f t="shared" si="12"/>
        <v>3342.6910105261782</v>
      </c>
      <c r="I92" s="397"/>
      <c r="J92" s="160">
        <f>16*22</f>
        <v>352</v>
      </c>
      <c r="K92" s="444">
        <f t="shared" si="7"/>
        <v>4178644.4778910829</v>
      </c>
      <c r="L92" s="445">
        <f t="shared" si="8"/>
        <v>122161.46974108322</v>
      </c>
      <c r="M92" s="446">
        <f t="shared" si="9"/>
        <v>3.0115119303013228E-2</v>
      </c>
      <c r="N92" s="447">
        <f t="shared" si="10"/>
        <v>3.0115119303013228E-2</v>
      </c>
      <c r="P92" s="13"/>
      <c r="Q92" s="31"/>
      <c r="R92" s="31"/>
      <c r="S92" s="31"/>
      <c r="T92" s="31"/>
      <c r="U92" s="31"/>
      <c r="V92" s="31"/>
      <c r="W92" s="31"/>
      <c r="Z92" s="31"/>
    </row>
    <row r="93" spans="1:26" x14ac:dyDescent="0.25">
      <c r="A93" s="382">
        <v>42947</v>
      </c>
      <c r="B93" s="176">
        <f>'Purchased Power Model'!B93</f>
        <v>4274955.4554399997</v>
      </c>
      <c r="C93" s="174">
        <f t="shared" si="11"/>
        <v>18.400000000000002</v>
      </c>
      <c r="D93" s="174">
        <f t="shared" si="11"/>
        <v>68.429999999999993</v>
      </c>
      <c r="E93" s="174">
        <f t="shared" si="11"/>
        <v>0</v>
      </c>
      <c r="F93" s="175">
        <v>31</v>
      </c>
      <c r="G93" s="442" t="e">
        <f>#REF!</f>
        <v>#REF!</v>
      </c>
      <c r="H93" s="162">
        <f t="shared" si="12"/>
        <v>3343.0114692981024</v>
      </c>
      <c r="I93" s="397"/>
      <c r="J93" s="160">
        <f>16*21</f>
        <v>336</v>
      </c>
      <c r="K93" s="444">
        <f t="shared" si="7"/>
        <v>4485889.5234723538</v>
      </c>
      <c r="L93" s="445">
        <f t="shared" si="8"/>
        <v>210934.06803235412</v>
      </c>
      <c r="M93" s="446">
        <f t="shared" si="9"/>
        <v>4.9341816594588056E-2</v>
      </c>
      <c r="N93" s="447">
        <f t="shared" si="10"/>
        <v>4.9341816594588056E-2</v>
      </c>
      <c r="P93" s="13"/>
      <c r="Q93" s="31"/>
      <c r="R93" s="31"/>
      <c r="S93" s="31"/>
      <c r="T93" s="31"/>
      <c r="U93" s="31"/>
      <c r="V93" s="31"/>
      <c r="W93" s="31"/>
      <c r="Z93" s="31"/>
    </row>
    <row r="94" spans="1:26" x14ac:dyDescent="0.25">
      <c r="A94" s="382">
        <v>42978</v>
      </c>
      <c r="B94" s="176">
        <f>'Purchased Power Model'!B94</f>
        <v>4172562.7102499995</v>
      </c>
      <c r="C94" s="174">
        <f t="shared" si="11"/>
        <v>34.26</v>
      </c>
      <c r="D94" s="174">
        <f t="shared" si="11"/>
        <v>42.710000000000008</v>
      </c>
      <c r="E94" s="174">
        <f t="shared" si="11"/>
        <v>0</v>
      </c>
      <c r="F94" s="175">
        <v>31</v>
      </c>
      <c r="G94" s="442" t="e">
        <f>#REF!</f>
        <v>#REF!</v>
      </c>
      <c r="H94" s="162">
        <f t="shared" si="12"/>
        <v>3343.0536138521898</v>
      </c>
      <c r="I94" s="397"/>
      <c r="J94" s="160">
        <f>16*23</f>
        <v>368</v>
      </c>
      <c r="K94" s="444">
        <f t="shared" si="7"/>
        <v>4343049.5449876506</v>
      </c>
      <c r="L94" s="445">
        <f t="shared" si="8"/>
        <v>170486.83473765105</v>
      </c>
      <c r="M94" s="446">
        <f t="shared" si="9"/>
        <v>4.0859022758087275E-2</v>
      </c>
      <c r="N94" s="447">
        <f t="shared" si="10"/>
        <v>4.0859022758087275E-2</v>
      </c>
      <c r="P94" s="13"/>
      <c r="Q94" s="31"/>
      <c r="R94" s="31"/>
      <c r="S94" s="31"/>
      <c r="T94" s="31"/>
      <c r="U94" s="31"/>
      <c r="V94" s="31"/>
      <c r="W94" s="31"/>
      <c r="Z94" s="31"/>
    </row>
    <row r="95" spans="1:26" x14ac:dyDescent="0.25">
      <c r="A95" s="382">
        <v>43008</v>
      </c>
      <c r="B95" s="176">
        <f>'Purchased Power Model'!B95</f>
        <v>3970017.2659299998</v>
      </c>
      <c r="C95" s="174">
        <f t="shared" si="11"/>
        <v>135.46</v>
      </c>
      <c r="D95" s="174">
        <f t="shared" si="11"/>
        <v>15.030000000000001</v>
      </c>
      <c r="E95" s="174">
        <f t="shared" si="11"/>
        <v>1</v>
      </c>
      <c r="F95" s="175">
        <v>30</v>
      </c>
      <c r="G95" s="442" t="e">
        <f>#REF!</f>
        <v>#REF!</v>
      </c>
      <c r="H95" s="162">
        <f t="shared" si="12"/>
        <v>3343.0975144293643</v>
      </c>
      <c r="I95" s="397"/>
      <c r="J95" s="160">
        <f>16*21</f>
        <v>336</v>
      </c>
      <c r="K95" s="444">
        <f t="shared" si="7"/>
        <v>3990768.1928506587</v>
      </c>
      <c r="L95" s="445">
        <f t="shared" si="8"/>
        <v>20750.926920658909</v>
      </c>
      <c r="M95" s="446">
        <f t="shared" si="9"/>
        <v>5.2269110008008697E-3</v>
      </c>
      <c r="N95" s="447">
        <f t="shared" si="10"/>
        <v>5.2269110008008697E-3</v>
      </c>
      <c r="P95" s="13"/>
      <c r="Q95" s="31"/>
      <c r="R95" s="31"/>
      <c r="S95" s="31"/>
      <c r="T95" s="31"/>
      <c r="U95" s="31"/>
      <c r="V95" s="31"/>
      <c r="W95" s="31"/>
      <c r="Z95" s="31"/>
    </row>
    <row r="96" spans="1:26" x14ac:dyDescent="0.25">
      <c r="A96" s="382">
        <v>43039</v>
      </c>
      <c r="B96" s="176">
        <f>'Purchased Power Model'!B96</f>
        <v>4258566.2291000001</v>
      </c>
      <c r="C96" s="174">
        <f t="shared" si="11"/>
        <v>341.62</v>
      </c>
      <c r="D96" s="174">
        <f t="shared" si="11"/>
        <v>0.1</v>
      </c>
      <c r="E96" s="174">
        <f t="shared" si="11"/>
        <v>1</v>
      </c>
      <c r="F96" s="175">
        <v>31</v>
      </c>
      <c r="G96" s="442" t="e">
        <f>#REF!</f>
        <v>#REF!</v>
      </c>
      <c r="H96" s="162">
        <f t="shared" si="12"/>
        <v>3343.1432441972543</v>
      </c>
      <c r="I96" s="397"/>
      <c r="J96" s="160">
        <f>16*22</f>
        <v>352</v>
      </c>
      <c r="K96" s="444">
        <f t="shared" si="7"/>
        <v>4697523.4861576762</v>
      </c>
      <c r="L96" s="445">
        <f t="shared" si="8"/>
        <v>438957.25705767609</v>
      </c>
      <c r="M96" s="446">
        <f t="shared" si="9"/>
        <v>0.10307630161018883</v>
      </c>
      <c r="N96" s="447">
        <f t="shared" si="10"/>
        <v>0.10307630161018883</v>
      </c>
      <c r="P96" s="13"/>
      <c r="Q96" s="31"/>
      <c r="R96" s="31"/>
      <c r="S96" s="31"/>
      <c r="T96" s="31"/>
      <c r="U96" s="31"/>
      <c r="V96" s="31"/>
      <c r="W96" s="31"/>
      <c r="Z96" s="31"/>
    </row>
    <row r="97" spans="1:26" x14ac:dyDescent="0.25">
      <c r="A97" s="382">
        <v>43069</v>
      </c>
      <c r="B97" s="176">
        <f>'Purchased Power Model'!B97</f>
        <v>5336611.5724299997</v>
      </c>
      <c r="C97" s="174">
        <f t="shared" si="11"/>
        <v>565.70000000000005</v>
      </c>
      <c r="D97" s="174">
        <f t="shared" si="11"/>
        <v>0</v>
      </c>
      <c r="E97" s="174">
        <f t="shared" si="11"/>
        <v>1</v>
      </c>
      <c r="F97" s="175">
        <v>30</v>
      </c>
      <c r="G97" s="442" t="e">
        <f>#REF!</f>
        <v>#REF!</v>
      </c>
      <c r="H97" s="162">
        <f t="shared" si="12"/>
        <v>3343.0658793721409</v>
      </c>
      <c r="I97" s="397"/>
      <c r="J97" s="160">
        <f>16*22</f>
        <v>352</v>
      </c>
      <c r="K97" s="444">
        <f t="shared" si="7"/>
        <v>5402308.2365802322</v>
      </c>
      <c r="L97" s="445">
        <f t="shared" si="8"/>
        <v>65696.664150232449</v>
      </c>
      <c r="M97" s="446">
        <f t="shared" si="9"/>
        <v>1.2310557599813808E-2</v>
      </c>
      <c r="N97" s="447">
        <f t="shared" si="10"/>
        <v>1.2310557599813808E-2</v>
      </c>
      <c r="P97" s="13"/>
      <c r="Q97" s="31"/>
      <c r="R97" s="31"/>
      <c r="S97" s="31"/>
      <c r="T97" s="31"/>
      <c r="U97" s="31"/>
      <c r="V97" s="31"/>
      <c r="W97" s="31"/>
      <c r="Z97" s="31"/>
    </row>
    <row r="98" spans="1:26" x14ac:dyDescent="0.25">
      <c r="A98" s="382">
        <v>43100</v>
      </c>
      <c r="B98" s="176">
        <f>'Purchased Power Model'!B98</f>
        <v>6958538.4178342856</v>
      </c>
      <c r="C98" s="174">
        <f t="shared" si="11"/>
        <v>799.21000000000015</v>
      </c>
      <c r="D98" s="174">
        <f t="shared" si="11"/>
        <v>0</v>
      </c>
      <c r="E98" s="174">
        <f t="shared" si="11"/>
        <v>0</v>
      </c>
      <c r="F98" s="175">
        <v>31</v>
      </c>
      <c r="G98" s="442" t="e">
        <f>#REF!</f>
        <v>#REF!</v>
      </c>
      <c r="H98" s="162">
        <f t="shared" si="12"/>
        <v>3342.9852910126465</v>
      </c>
      <c r="I98" s="397"/>
      <c r="J98" s="160">
        <f>16*21</f>
        <v>336</v>
      </c>
      <c r="K98" s="444">
        <f t="shared" si="7"/>
        <v>6728914.8524818104</v>
      </c>
      <c r="L98" s="445">
        <f t="shared" si="8"/>
        <v>-229623.56535247527</v>
      </c>
      <c r="M98" s="446">
        <f t="shared" si="9"/>
        <v>-3.2998821241536136E-2</v>
      </c>
      <c r="N98" s="447">
        <f t="shared" si="10"/>
        <v>3.2998821241536136E-2</v>
      </c>
      <c r="P98" s="13"/>
      <c r="Q98" s="31"/>
      <c r="R98" s="31"/>
      <c r="S98" s="31"/>
      <c r="T98" s="31"/>
      <c r="U98" s="31"/>
      <c r="V98" s="31"/>
      <c r="W98" s="31"/>
      <c r="Z98" s="31"/>
    </row>
    <row r="99" spans="1:26" x14ac:dyDescent="0.25">
      <c r="A99" s="382">
        <v>43131</v>
      </c>
      <c r="B99" s="176">
        <f>'Purchased Power Model'!B99</f>
        <v>7018037.2199457148</v>
      </c>
      <c r="C99" s="174">
        <f t="shared" si="11"/>
        <v>932.51</v>
      </c>
      <c r="D99" s="174">
        <f t="shared" si="11"/>
        <v>0</v>
      </c>
      <c r="E99" s="174">
        <f t="shared" si="11"/>
        <v>0</v>
      </c>
      <c r="F99" s="175">
        <v>31</v>
      </c>
      <c r="G99" s="442"/>
      <c r="H99" s="162"/>
      <c r="I99" s="397"/>
      <c r="J99" s="160"/>
      <c r="K99" s="444">
        <f t="shared" si="7"/>
        <v>7202307.5725436965</v>
      </c>
      <c r="L99" s="445">
        <f t="shared" si="8"/>
        <v>184270.35259798169</v>
      </c>
      <c r="M99" s="446">
        <f t="shared" si="9"/>
        <v>2.6256679299772514E-2</v>
      </c>
      <c r="N99" s="447">
        <f t="shared" si="10"/>
        <v>2.6256679299772514E-2</v>
      </c>
      <c r="P99" s="13"/>
      <c r="Q99" s="31"/>
      <c r="R99" s="31"/>
      <c r="S99" s="31"/>
      <c r="T99" s="31"/>
      <c r="U99" s="31"/>
      <c r="V99" s="31"/>
      <c r="W99" s="31"/>
      <c r="Z99" s="31"/>
    </row>
    <row r="100" spans="1:26" x14ac:dyDescent="0.25">
      <c r="A100" s="382">
        <v>43159</v>
      </c>
      <c r="B100" s="176">
        <f>'Purchased Power Model'!B100</f>
        <v>6075931.1722399993</v>
      </c>
      <c r="C100" s="174">
        <f t="shared" si="11"/>
        <v>818.46</v>
      </c>
      <c r="D100" s="174">
        <f t="shared" si="11"/>
        <v>0</v>
      </c>
      <c r="E100" s="174">
        <f t="shared" si="11"/>
        <v>0</v>
      </c>
      <c r="F100" s="175">
        <v>28</v>
      </c>
      <c r="G100" s="455"/>
      <c r="H100" s="162"/>
      <c r="I100" s="397"/>
      <c r="J100" s="160"/>
      <c r="K100" s="444">
        <f t="shared" si="7"/>
        <v>6526607.0806332733</v>
      </c>
      <c r="L100" s="445">
        <f t="shared" si="8"/>
        <v>450675.90839327406</v>
      </c>
      <c r="M100" s="446">
        <f t="shared" si="9"/>
        <v>7.4173965375437995E-2</v>
      </c>
      <c r="N100" s="447">
        <f t="shared" si="10"/>
        <v>7.4173965375437995E-2</v>
      </c>
      <c r="P100" s="13"/>
      <c r="Q100" s="31"/>
      <c r="R100" s="31"/>
      <c r="S100" s="31"/>
      <c r="T100" s="31"/>
      <c r="U100" s="31"/>
      <c r="V100" s="31"/>
      <c r="W100" s="31"/>
      <c r="Z100" s="31"/>
    </row>
    <row r="101" spans="1:26" x14ac:dyDescent="0.25">
      <c r="A101" s="382">
        <v>43190</v>
      </c>
      <c r="B101" s="176">
        <f>'Purchased Power Model'!B101</f>
        <v>5717922.6700799996</v>
      </c>
      <c r="C101" s="174">
        <f t="shared" si="11"/>
        <v>703.27999999999986</v>
      </c>
      <c r="D101" s="174">
        <f t="shared" si="11"/>
        <v>0</v>
      </c>
      <c r="E101" s="174">
        <f t="shared" si="11"/>
        <v>1</v>
      </c>
      <c r="F101" s="175">
        <v>31</v>
      </c>
      <c r="G101" s="455"/>
      <c r="H101" s="162"/>
      <c r="I101" s="397"/>
      <c r="J101" s="160"/>
      <c r="K101" s="444">
        <f t="shared" si="7"/>
        <v>5981124.3084155526</v>
      </c>
      <c r="L101" s="445">
        <f t="shared" si="8"/>
        <v>263201.638335553</v>
      </c>
      <c r="M101" s="446">
        <f t="shared" si="9"/>
        <v>4.6030989490781368E-2</v>
      </c>
      <c r="N101" s="447">
        <f t="shared" si="10"/>
        <v>4.6030989490781368E-2</v>
      </c>
      <c r="P101" s="13"/>
      <c r="Q101" s="31"/>
      <c r="R101" s="31"/>
      <c r="S101" s="31"/>
      <c r="T101" s="31"/>
      <c r="U101" s="31"/>
      <c r="V101" s="31"/>
      <c r="W101" s="31"/>
      <c r="Z101" s="31"/>
    </row>
    <row r="102" spans="1:26" x14ac:dyDescent="0.25">
      <c r="A102" s="382">
        <v>43220</v>
      </c>
      <c r="B102" s="176">
        <f>'Purchased Power Model'!B102</f>
        <v>5277725.8641499998</v>
      </c>
      <c r="C102" s="174">
        <f t="shared" si="11"/>
        <v>448.57000000000005</v>
      </c>
      <c r="D102" s="174">
        <f t="shared" si="11"/>
        <v>0</v>
      </c>
      <c r="E102" s="174">
        <f t="shared" si="11"/>
        <v>1</v>
      </c>
      <c r="F102" s="175">
        <v>30</v>
      </c>
      <c r="G102" s="455"/>
      <c r="H102" s="162"/>
      <c r="I102" s="397"/>
      <c r="J102" s="160"/>
      <c r="K102" s="444">
        <f t="shared" si="7"/>
        <v>4986340.5749084484</v>
      </c>
      <c r="L102" s="445">
        <f t="shared" si="8"/>
        <v>-291385.28924155142</v>
      </c>
      <c r="M102" s="446">
        <f t="shared" si="9"/>
        <v>-5.5210387341419878E-2</v>
      </c>
      <c r="N102" s="447">
        <f t="shared" si="10"/>
        <v>5.5210387341419878E-2</v>
      </c>
      <c r="P102" s="13"/>
      <c r="Q102" s="31"/>
      <c r="R102" s="31"/>
      <c r="S102" s="31"/>
      <c r="T102" s="31"/>
      <c r="U102" s="31"/>
      <c r="V102" s="31"/>
      <c r="W102" s="31"/>
      <c r="Z102" s="31"/>
    </row>
    <row r="103" spans="1:26" x14ac:dyDescent="0.25">
      <c r="A103" s="382">
        <v>43251</v>
      </c>
      <c r="B103" s="176">
        <f>'Purchased Power Model'!B103</f>
        <v>4044193.72</v>
      </c>
      <c r="C103" s="174">
        <f t="shared" si="11"/>
        <v>189.26</v>
      </c>
      <c r="D103" s="174">
        <f t="shared" si="11"/>
        <v>9.2199999999999989</v>
      </c>
      <c r="E103" s="174">
        <f t="shared" si="11"/>
        <v>1</v>
      </c>
      <c r="F103" s="175">
        <v>31</v>
      </c>
      <c r="G103" s="455"/>
      <c r="H103" s="162"/>
      <c r="I103" s="397"/>
      <c r="J103" s="160"/>
      <c r="K103" s="444">
        <f t="shared" si="7"/>
        <v>4227063.5368910208</v>
      </c>
      <c r="L103" s="445">
        <f t="shared" si="8"/>
        <v>182869.81689102063</v>
      </c>
      <c r="M103" s="446">
        <f t="shared" si="9"/>
        <v>4.5217867775884046E-2</v>
      </c>
      <c r="N103" s="447">
        <f t="shared" si="10"/>
        <v>4.5217867775884046E-2</v>
      </c>
      <c r="P103" s="13"/>
      <c r="Q103" s="31"/>
      <c r="R103" s="31"/>
      <c r="S103" s="31"/>
      <c r="T103" s="31"/>
      <c r="U103" s="31"/>
      <c r="V103" s="31"/>
      <c r="W103" s="31"/>
      <c r="Z103" s="31"/>
    </row>
    <row r="104" spans="1:26" x14ac:dyDescent="0.25">
      <c r="A104" s="382">
        <v>43281</v>
      </c>
      <c r="B104" s="176">
        <f>'Purchased Power Model'!B104</f>
        <v>3984888.89</v>
      </c>
      <c r="C104" s="174">
        <f t="shared" si="11"/>
        <v>65.79000000000002</v>
      </c>
      <c r="D104" s="174">
        <f t="shared" si="11"/>
        <v>18.669999999999998</v>
      </c>
      <c r="E104" s="174">
        <f t="shared" si="11"/>
        <v>0</v>
      </c>
      <c r="F104" s="175">
        <v>30</v>
      </c>
      <c r="G104" s="455"/>
      <c r="H104" s="162"/>
      <c r="I104" s="397"/>
      <c r="J104" s="160"/>
      <c r="K104" s="444">
        <f t="shared" si="7"/>
        <v>4178644.4778910829</v>
      </c>
      <c r="L104" s="445">
        <f t="shared" si="8"/>
        <v>193755.58789108275</v>
      </c>
      <c r="M104" s="446">
        <f t="shared" si="9"/>
        <v>4.8622582270062428E-2</v>
      </c>
      <c r="N104" s="447">
        <f t="shared" si="10"/>
        <v>4.8622582270062428E-2</v>
      </c>
      <c r="P104" s="13"/>
      <c r="Q104" s="31"/>
      <c r="R104" s="31"/>
      <c r="S104" s="31"/>
      <c r="T104" s="31"/>
      <c r="U104" s="31"/>
      <c r="V104" s="31"/>
      <c r="W104" s="31"/>
      <c r="Z104" s="31"/>
    </row>
    <row r="105" spans="1:26" x14ac:dyDescent="0.25">
      <c r="A105" s="382">
        <v>43312</v>
      </c>
      <c r="B105" s="176">
        <f>'Purchased Power Model'!B105</f>
        <v>4578297.6500000004</v>
      </c>
      <c r="C105" s="174">
        <f t="shared" si="11"/>
        <v>18.400000000000002</v>
      </c>
      <c r="D105" s="174">
        <f t="shared" si="11"/>
        <v>68.429999999999993</v>
      </c>
      <c r="E105" s="174">
        <f t="shared" si="11"/>
        <v>0</v>
      </c>
      <c r="F105" s="175">
        <v>31</v>
      </c>
      <c r="G105" s="455"/>
      <c r="H105" s="162"/>
      <c r="I105" s="397"/>
      <c r="J105" s="160"/>
      <c r="K105" s="444">
        <f t="shared" si="7"/>
        <v>4485889.5234723538</v>
      </c>
      <c r="L105" s="445">
        <f t="shared" si="8"/>
        <v>-92408.126527646556</v>
      </c>
      <c r="M105" s="446">
        <f t="shared" si="9"/>
        <v>-2.0183949055310232E-2</v>
      </c>
      <c r="N105" s="447">
        <f t="shared" si="10"/>
        <v>2.0183949055310232E-2</v>
      </c>
      <c r="P105" s="13"/>
      <c r="Q105" s="31"/>
      <c r="R105" s="31"/>
      <c r="S105" s="31"/>
      <c r="T105" s="31"/>
      <c r="U105" s="31"/>
      <c r="V105" s="31"/>
      <c r="W105" s="31"/>
      <c r="Z105" s="31"/>
    </row>
    <row r="106" spans="1:26" x14ac:dyDescent="0.25">
      <c r="A106" s="382">
        <v>43343</v>
      </c>
      <c r="B106" s="176">
        <f>'Purchased Power Model'!B106</f>
        <v>4530211.6500000004</v>
      </c>
      <c r="C106" s="174">
        <f t="shared" si="11"/>
        <v>34.26</v>
      </c>
      <c r="D106" s="174">
        <f t="shared" si="11"/>
        <v>42.710000000000008</v>
      </c>
      <c r="E106" s="174">
        <f t="shared" si="11"/>
        <v>0</v>
      </c>
      <c r="F106" s="175">
        <v>31</v>
      </c>
      <c r="G106" s="455"/>
      <c r="H106" s="162"/>
      <c r="I106" s="397"/>
      <c r="J106" s="160"/>
      <c r="K106" s="444">
        <f t="shared" si="7"/>
        <v>4343049.5449876506</v>
      </c>
      <c r="L106" s="445">
        <f t="shared" si="8"/>
        <v>-187162.10501234978</v>
      </c>
      <c r="M106" s="446">
        <f t="shared" si="9"/>
        <v>-4.1314207695428484E-2</v>
      </c>
      <c r="N106" s="447">
        <f t="shared" si="10"/>
        <v>4.1314207695428484E-2</v>
      </c>
      <c r="P106" s="13"/>
      <c r="Q106" s="31"/>
      <c r="R106" s="31"/>
      <c r="S106" s="31"/>
      <c r="T106" s="31"/>
      <c r="U106" s="31"/>
      <c r="V106" s="31"/>
      <c r="W106" s="31"/>
      <c r="Z106" s="31"/>
    </row>
    <row r="107" spans="1:26" x14ac:dyDescent="0.25">
      <c r="A107" s="382">
        <v>43373</v>
      </c>
      <c r="B107" s="176">
        <f>'Purchased Power Model'!B107</f>
        <v>3945711.91</v>
      </c>
      <c r="C107" s="174">
        <f t="shared" si="11"/>
        <v>135.46</v>
      </c>
      <c r="D107" s="174">
        <f t="shared" si="11"/>
        <v>15.030000000000001</v>
      </c>
      <c r="E107" s="174">
        <f t="shared" si="11"/>
        <v>1</v>
      </c>
      <c r="F107" s="175">
        <v>30</v>
      </c>
      <c r="G107" s="455"/>
      <c r="H107" s="162"/>
      <c r="I107" s="397"/>
      <c r="J107" s="160"/>
      <c r="K107" s="444">
        <f t="shared" si="7"/>
        <v>3990768.1928506587</v>
      </c>
      <c r="L107" s="445">
        <f t="shared" si="8"/>
        <v>45056.282850658521</v>
      </c>
      <c r="M107" s="446">
        <f t="shared" si="9"/>
        <v>1.141905032054368E-2</v>
      </c>
      <c r="N107" s="447">
        <f t="shared" si="10"/>
        <v>1.141905032054368E-2</v>
      </c>
      <c r="P107" s="13"/>
      <c r="Q107" s="31"/>
      <c r="R107" s="31"/>
      <c r="S107" s="31"/>
      <c r="T107" s="31"/>
      <c r="U107" s="31"/>
      <c r="V107" s="31"/>
      <c r="W107" s="31"/>
      <c r="Z107" s="31"/>
    </row>
    <row r="108" spans="1:26" x14ac:dyDescent="0.25">
      <c r="A108" s="382">
        <v>43404</v>
      </c>
      <c r="B108" s="176">
        <f>'Purchased Power Model'!B108</f>
        <v>4687618.5100000007</v>
      </c>
      <c r="C108" s="174">
        <f t="shared" si="11"/>
        <v>341.62</v>
      </c>
      <c r="D108" s="174">
        <f t="shared" si="11"/>
        <v>0.1</v>
      </c>
      <c r="E108" s="174">
        <f t="shared" si="11"/>
        <v>1</v>
      </c>
      <c r="F108" s="175">
        <v>31</v>
      </c>
      <c r="G108" s="455"/>
      <c r="H108" s="162"/>
      <c r="I108" s="397"/>
      <c r="J108" s="160"/>
      <c r="K108" s="444">
        <f t="shared" si="7"/>
        <v>4697523.4861576762</v>
      </c>
      <c r="L108" s="445">
        <f t="shared" si="8"/>
        <v>9904.9761576754972</v>
      </c>
      <c r="M108" s="446">
        <f t="shared" si="9"/>
        <v>2.1130081589500966E-3</v>
      </c>
      <c r="N108" s="447">
        <f t="shared" si="10"/>
        <v>2.1130081589500966E-3</v>
      </c>
      <c r="P108" s="13"/>
      <c r="Q108" s="31"/>
      <c r="R108" s="31"/>
      <c r="S108" s="31"/>
      <c r="T108" s="31"/>
      <c r="U108" s="31"/>
      <c r="V108" s="31"/>
      <c r="W108" s="31"/>
      <c r="Z108" s="31"/>
    </row>
    <row r="109" spans="1:26" x14ac:dyDescent="0.25">
      <c r="A109" s="382">
        <v>43434</v>
      </c>
      <c r="B109" s="176">
        <f>'Purchased Power Model'!B109</f>
        <v>5592501.0499999998</v>
      </c>
      <c r="C109" s="174">
        <f t="shared" si="11"/>
        <v>565.70000000000005</v>
      </c>
      <c r="D109" s="174">
        <f t="shared" si="11"/>
        <v>0</v>
      </c>
      <c r="E109" s="174">
        <f t="shared" si="11"/>
        <v>1</v>
      </c>
      <c r="F109" s="175">
        <v>30</v>
      </c>
      <c r="G109" s="455"/>
      <c r="H109" s="162"/>
      <c r="I109" s="397"/>
      <c r="J109" s="160"/>
      <c r="K109" s="444">
        <f t="shared" si="7"/>
        <v>5402308.2365802322</v>
      </c>
      <c r="L109" s="445">
        <f t="shared" si="8"/>
        <v>-190192.81341976766</v>
      </c>
      <c r="M109" s="446">
        <f t="shared" si="9"/>
        <v>-3.4008543175824288E-2</v>
      </c>
      <c r="N109" s="447">
        <f t="shared" si="10"/>
        <v>3.4008543175824288E-2</v>
      </c>
      <c r="P109" s="13"/>
      <c r="Q109" s="31"/>
      <c r="R109" s="31"/>
      <c r="S109" s="31"/>
      <c r="T109" s="31"/>
      <c r="U109" s="31"/>
      <c r="V109" s="31"/>
      <c r="W109" s="31"/>
      <c r="Z109" s="31"/>
    </row>
    <row r="110" spans="1:26" x14ac:dyDescent="0.25">
      <c r="A110" s="382">
        <v>43465</v>
      </c>
      <c r="B110" s="176">
        <f>'Purchased Power Model'!B110</f>
        <v>6357092.2360000005</v>
      </c>
      <c r="C110" s="174">
        <f t="shared" si="11"/>
        <v>799.21000000000015</v>
      </c>
      <c r="D110" s="174">
        <f t="shared" si="11"/>
        <v>0</v>
      </c>
      <c r="E110" s="174">
        <f t="shared" si="11"/>
        <v>0</v>
      </c>
      <c r="F110" s="175">
        <v>31</v>
      </c>
      <c r="G110" s="455"/>
      <c r="H110" s="162"/>
      <c r="I110" s="397"/>
      <c r="J110" s="160"/>
      <c r="K110" s="444">
        <f t="shared" si="7"/>
        <v>6728914.8524818104</v>
      </c>
      <c r="L110" s="445">
        <f t="shared" si="8"/>
        <v>371822.61648180988</v>
      </c>
      <c r="M110" s="446">
        <f t="shared" si="9"/>
        <v>5.8489416651246753E-2</v>
      </c>
      <c r="N110" s="447">
        <f t="shared" si="10"/>
        <v>5.8489416651246753E-2</v>
      </c>
      <c r="P110" s="13"/>
      <c r="Q110" s="31"/>
      <c r="R110" s="31"/>
      <c r="S110" s="31"/>
      <c r="T110" s="31"/>
      <c r="U110" s="31"/>
      <c r="V110" s="31"/>
      <c r="W110" s="31"/>
      <c r="Z110" s="31"/>
    </row>
    <row r="111" spans="1:26" x14ac:dyDescent="0.25">
      <c r="A111" s="382">
        <v>43496</v>
      </c>
      <c r="B111" s="176">
        <f>'Purchased Power Model'!B111</f>
        <v>7328334.8000000007</v>
      </c>
      <c r="C111" s="174">
        <f t="shared" si="11"/>
        <v>932.51</v>
      </c>
      <c r="D111" s="174">
        <f t="shared" si="11"/>
        <v>0</v>
      </c>
      <c r="E111" s="174">
        <f t="shared" si="11"/>
        <v>0</v>
      </c>
      <c r="F111" s="175">
        <v>31</v>
      </c>
      <c r="G111" s="455"/>
      <c r="H111" s="162"/>
      <c r="I111" s="397"/>
      <c r="J111" s="160"/>
      <c r="K111" s="444">
        <f t="shared" si="7"/>
        <v>7202307.5725436965</v>
      </c>
      <c r="L111" s="445">
        <f t="shared" si="8"/>
        <v>-126027.22745630424</v>
      </c>
      <c r="M111" s="446">
        <f t="shared" si="9"/>
        <v>-1.7197252977075261E-2</v>
      </c>
      <c r="N111" s="447">
        <f t="shared" si="10"/>
        <v>1.7197252977075261E-2</v>
      </c>
      <c r="P111" s="13"/>
      <c r="Q111" s="31"/>
      <c r="R111" s="31"/>
      <c r="S111" s="31"/>
      <c r="T111" s="31"/>
      <c r="U111" s="31"/>
      <c r="V111" s="31"/>
      <c r="W111" s="31"/>
      <c r="Z111" s="31"/>
    </row>
    <row r="112" spans="1:26" x14ac:dyDescent="0.25">
      <c r="A112" s="382">
        <v>43524</v>
      </c>
      <c r="B112" s="176">
        <f>'Purchased Power Model'!B112</f>
        <v>6341293.6100000003</v>
      </c>
      <c r="C112" s="174">
        <f t="shared" si="11"/>
        <v>818.46</v>
      </c>
      <c r="D112" s="174">
        <f t="shared" si="11"/>
        <v>0</v>
      </c>
      <c r="E112" s="174">
        <f t="shared" si="11"/>
        <v>0</v>
      </c>
      <c r="F112" s="175">
        <v>28</v>
      </c>
      <c r="G112" s="455"/>
      <c r="H112" s="162"/>
      <c r="I112" s="397"/>
      <c r="J112" s="160"/>
      <c r="K112" s="444">
        <f t="shared" si="7"/>
        <v>6526607.0806332733</v>
      </c>
      <c r="L112" s="445">
        <f t="shared" si="8"/>
        <v>185313.47063327301</v>
      </c>
      <c r="M112" s="446">
        <f t="shared" si="9"/>
        <v>2.9223291339331787E-2</v>
      </c>
      <c r="N112" s="447">
        <f t="shared" si="10"/>
        <v>2.9223291339331787E-2</v>
      </c>
      <c r="P112" s="13"/>
      <c r="Q112" s="31"/>
      <c r="R112" s="31"/>
      <c r="S112" s="31"/>
      <c r="T112" s="31"/>
      <c r="U112" s="31"/>
      <c r="V112" s="31"/>
      <c r="W112" s="31"/>
      <c r="Z112" s="31"/>
    </row>
    <row r="113" spans="1:26" x14ac:dyDescent="0.25">
      <c r="A113" s="382">
        <v>43555</v>
      </c>
      <c r="B113" s="176">
        <f>'Purchased Power Model'!B113</f>
        <v>6193340.75</v>
      </c>
      <c r="C113" s="174">
        <f t="shared" si="11"/>
        <v>703.27999999999986</v>
      </c>
      <c r="D113" s="174">
        <f t="shared" si="11"/>
        <v>0</v>
      </c>
      <c r="E113" s="174">
        <f t="shared" si="11"/>
        <v>1</v>
      </c>
      <c r="F113" s="175">
        <v>31</v>
      </c>
      <c r="G113" s="455"/>
      <c r="H113" s="162"/>
      <c r="I113" s="397"/>
      <c r="J113" s="160"/>
      <c r="K113" s="444">
        <f t="shared" si="7"/>
        <v>5981124.3084155526</v>
      </c>
      <c r="L113" s="445">
        <f t="shared" si="8"/>
        <v>-212216.4415844474</v>
      </c>
      <c r="M113" s="446">
        <f t="shared" si="9"/>
        <v>-3.4265261698130753E-2</v>
      </c>
      <c r="N113" s="447">
        <f t="shared" si="10"/>
        <v>3.4265261698130753E-2</v>
      </c>
      <c r="P113" s="13"/>
      <c r="Q113" s="31"/>
      <c r="R113" s="31"/>
      <c r="S113" s="31"/>
      <c r="T113" s="31"/>
      <c r="U113" s="31"/>
      <c r="V113" s="31"/>
      <c r="W113" s="31"/>
      <c r="Z113" s="31"/>
    </row>
    <row r="114" spans="1:26" x14ac:dyDescent="0.25">
      <c r="A114" s="382">
        <v>43585</v>
      </c>
      <c r="B114" s="176">
        <f>'Purchased Power Model'!B114</f>
        <v>4929699.57</v>
      </c>
      <c r="C114" s="174">
        <f t="shared" si="11"/>
        <v>448.57000000000005</v>
      </c>
      <c r="D114" s="174">
        <f t="shared" si="11"/>
        <v>0</v>
      </c>
      <c r="E114" s="174">
        <f t="shared" si="11"/>
        <v>1</v>
      </c>
      <c r="F114" s="175">
        <v>30</v>
      </c>
      <c r="G114" s="455"/>
      <c r="H114" s="162"/>
      <c r="I114" s="397"/>
      <c r="J114" s="160"/>
      <c r="K114" s="444">
        <f t="shared" si="7"/>
        <v>4986340.5749084484</v>
      </c>
      <c r="L114" s="445">
        <f t="shared" si="8"/>
        <v>56641.004908448085</v>
      </c>
      <c r="M114" s="446">
        <f t="shared" si="9"/>
        <v>1.1489747824216412E-2</v>
      </c>
      <c r="N114" s="447">
        <f t="shared" si="10"/>
        <v>1.1489747824216412E-2</v>
      </c>
      <c r="P114" s="13"/>
      <c r="Q114" s="31"/>
      <c r="R114" s="31"/>
      <c r="S114" s="31"/>
      <c r="T114" s="31"/>
      <c r="U114" s="31"/>
      <c r="V114" s="31"/>
      <c r="W114" s="31"/>
      <c r="Z114" s="31"/>
    </row>
    <row r="115" spans="1:26" x14ac:dyDescent="0.25">
      <c r="A115" s="382">
        <v>43616</v>
      </c>
      <c r="B115" s="176">
        <f>'Purchased Power Model'!B115</f>
        <v>4252814.08</v>
      </c>
      <c r="C115" s="174">
        <f t="shared" si="11"/>
        <v>189.26</v>
      </c>
      <c r="D115" s="174">
        <f t="shared" si="11"/>
        <v>9.2199999999999989</v>
      </c>
      <c r="E115" s="174">
        <f t="shared" si="11"/>
        <v>1</v>
      </c>
      <c r="F115" s="175">
        <v>31</v>
      </c>
      <c r="G115" s="455"/>
      <c r="H115" s="162"/>
      <c r="I115" s="397"/>
      <c r="J115" s="160"/>
      <c r="K115" s="444">
        <f t="shared" si="7"/>
        <v>4227063.5368910208</v>
      </c>
      <c r="L115" s="445">
        <f t="shared" si="8"/>
        <v>-25750.54310897924</v>
      </c>
      <c r="M115" s="446">
        <f t="shared" si="9"/>
        <v>-6.0549421217537067E-3</v>
      </c>
      <c r="N115" s="447">
        <f t="shared" si="10"/>
        <v>6.0549421217537067E-3</v>
      </c>
      <c r="P115" s="13"/>
      <c r="Q115" s="31"/>
      <c r="R115" s="31"/>
      <c r="S115" s="31"/>
      <c r="T115" s="31"/>
      <c r="U115" s="31"/>
      <c r="V115" s="31"/>
      <c r="W115" s="31"/>
      <c r="Z115" s="31"/>
    </row>
    <row r="116" spans="1:26" x14ac:dyDescent="0.25">
      <c r="A116" s="382">
        <v>43646</v>
      </c>
      <c r="B116" s="176">
        <f>'Purchased Power Model'!B116</f>
        <v>3903992.2800000003</v>
      </c>
      <c r="C116" s="174">
        <f t="shared" si="11"/>
        <v>65.79000000000002</v>
      </c>
      <c r="D116" s="174">
        <f t="shared" si="11"/>
        <v>18.669999999999998</v>
      </c>
      <c r="E116" s="174">
        <f t="shared" si="11"/>
        <v>0</v>
      </c>
      <c r="F116" s="175">
        <v>30</v>
      </c>
      <c r="G116" s="455"/>
      <c r="H116" s="162"/>
      <c r="I116" s="397"/>
      <c r="J116" s="160"/>
      <c r="K116" s="444">
        <f t="shared" si="7"/>
        <v>4178644.4778910829</v>
      </c>
      <c r="L116" s="445">
        <f t="shared" si="8"/>
        <v>274652.19789108261</v>
      </c>
      <c r="M116" s="446">
        <f t="shared" si="9"/>
        <v>7.0351624232997359E-2</v>
      </c>
      <c r="N116" s="447">
        <f t="shared" si="10"/>
        <v>7.0351624232997359E-2</v>
      </c>
      <c r="P116" s="13"/>
      <c r="Q116" s="31"/>
      <c r="R116" s="31"/>
      <c r="S116" s="31"/>
      <c r="T116" s="31"/>
      <c r="U116" s="31"/>
      <c r="V116" s="31"/>
      <c r="W116" s="31"/>
      <c r="Z116" s="31"/>
    </row>
    <row r="117" spans="1:26" x14ac:dyDescent="0.25">
      <c r="A117" s="382">
        <v>43677</v>
      </c>
      <c r="B117" s="176">
        <f>'Purchased Power Model'!B117</f>
        <v>4526241.7299999995</v>
      </c>
      <c r="C117" s="174">
        <f t="shared" si="11"/>
        <v>18.400000000000002</v>
      </c>
      <c r="D117" s="174">
        <f t="shared" si="11"/>
        <v>68.429999999999993</v>
      </c>
      <c r="E117" s="174">
        <f t="shared" si="11"/>
        <v>0</v>
      </c>
      <c r="F117" s="175">
        <v>31</v>
      </c>
      <c r="G117" s="455"/>
      <c r="H117" s="162"/>
      <c r="I117" s="397"/>
      <c r="J117" s="160"/>
      <c r="K117" s="444">
        <f t="shared" si="7"/>
        <v>4485889.5234723538</v>
      </c>
      <c r="L117" s="445">
        <f t="shared" si="8"/>
        <v>-40352.2065276457</v>
      </c>
      <c r="M117" s="446">
        <f t="shared" si="9"/>
        <v>-8.9151682421622896E-3</v>
      </c>
      <c r="N117" s="447">
        <f t="shared" si="10"/>
        <v>8.9151682421622896E-3</v>
      </c>
      <c r="P117" s="13"/>
      <c r="Q117" s="31"/>
      <c r="R117" s="31"/>
      <c r="S117" s="31"/>
      <c r="T117" s="31"/>
      <c r="U117" s="31"/>
      <c r="V117" s="31"/>
      <c r="W117" s="31"/>
      <c r="Z117" s="31"/>
    </row>
    <row r="118" spans="1:26" x14ac:dyDescent="0.25">
      <c r="A118" s="382">
        <v>43708</v>
      </c>
      <c r="B118" s="176">
        <f>'Purchased Power Model'!B118</f>
        <v>4170748.9699999997</v>
      </c>
      <c r="C118" s="174">
        <f t="shared" si="11"/>
        <v>34.26</v>
      </c>
      <c r="D118" s="174">
        <f t="shared" si="11"/>
        <v>42.710000000000008</v>
      </c>
      <c r="E118" s="174">
        <f t="shared" si="11"/>
        <v>0</v>
      </c>
      <c r="F118" s="175">
        <v>31</v>
      </c>
      <c r="G118" s="455"/>
      <c r="H118" s="162"/>
      <c r="I118" s="397"/>
      <c r="J118" s="160"/>
      <c r="K118" s="444">
        <f t="shared" si="7"/>
        <v>4343049.5449876506</v>
      </c>
      <c r="L118" s="445">
        <f t="shared" si="8"/>
        <v>172300.57498765085</v>
      </c>
      <c r="M118" s="446">
        <f t="shared" si="9"/>
        <v>4.1311662779755086E-2</v>
      </c>
      <c r="N118" s="447">
        <f t="shared" si="10"/>
        <v>4.1311662779755086E-2</v>
      </c>
      <c r="P118" s="13"/>
      <c r="Q118" s="31"/>
      <c r="R118" s="31"/>
      <c r="S118" s="31"/>
      <c r="T118" s="31"/>
      <c r="U118" s="31"/>
      <c r="V118" s="31"/>
      <c r="W118" s="31"/>
      <c r="Z118" s="31"/>
    </row>
    <row r="119" spans="1:26" x14ac:dyDescent="0.25">
      <c r="A119" s="382">
        <v>43738</v>
      </c>
      <c r="B119" s="176">
        <f>'Purchased Power Model'!B119</f>
        <v>3744253</v>
      </c>
      <c r="C119" s="174">
        <f t="shared" si="11"/>
        <v>135.46</v>
      </c>
      <c r="D119" s="174">
        <f t="shared" si="11"/>
        <v>15.030000000000001</v>
      </c>
      <c r="E119" s="174">
        <f t="shared" si="11"/>
        <v>1</v>
      </c>
      <c r="F119" s="175">
        <v>30</v>
      </c>
      <c r="G119" s="455"/>
      <c r="H119" s="162"/>
      <c r="I119" s="397"/>
      <c r="J119" s="160"/>
      <c r="K119" s="444">
        <f t="shared" si="7"/>
        <v>3990768.1928506587</v>
      </c>
      <c r="L119" s="445">
        <f t="shared" si="8"/>
        <v>246515.19285065867</v>
      </c>
      <c r="M119" s="446">
        <f t="shared" si="9"/>
        <v>6.5838284125206994E-2</v>
      </c>
      <c r="N119" s="447">
        <f t="shared" si="10"/>
        <v>6.5838284125206994E-2</v>
      </c>
      <c r="P119" s="13"/>
      <c r="Q119" s="31"/>
      <c r="R119" s="31"/>
      <c r="S119" s="31"/>
      <c r="T119" s="31"/>
      <c r="U119" s="31"/>
      <c r="V119" s="31"/>
      <c r="W119" s="31"/>
      <c r="Z119" s="31"/>
    </row>
    <row r="120" spans="1:26" x14ac:dyDescent="0.25">
      <c r="A120" s="382">
        <v>43769</v>
      </c>
      <c r="B120" s="176">
        <f>'Purchased Power Model'!B120</f>
        <v>4465899.5</v>
      </c>
      <c r="C120" s="174">
        <f t="shared" si="11"/>
        <v>341.62</v>
      </c>
      <c r="D120" s="174">
        <f t="shared" si="11"/>
        <v>0.1</v>
      </c>
      <c r="E120" s="174">
        <f t="shared" si="11"/>
        <v>1</v>
      </c>
      <c r="F120" s="175">
        <v>31</v>
      </c>
      <c r="G120" s="455"/>
      <c r="H120" s="162"/>
      <c r="I120" s="397"/>
      <c r="J120" s="160"/>
      <c r="K120" s="444">
        <f t="shared" si="7"/>
        <v>4697523.4861576762</v>
      </c>
      <c r="L120" s="445">
        <f t="shared" si="8"/>
        <v>231623.98615767621</v>
      </c>
      <c r="M120" s="446">
        <f t="shared" si="9"/>
        <v>5.1865024315409743E-2</v>
      </c>
      <c r="N120" s="447">
        <f t="shared" si="10"/>
        <v>5.1865024315409743E-2</v>
      </c>
      <c r="P120" s="13"/>
      <c r="Q120" s="31"/>
      <c r="R120" s="31"/>
      <c r="S120" s="31"/>
      <c r="T120" s="31"/>
      <c r="U120" s="31"/>
      <c r="V120" s="31"/>
      <c r="W120" s="31"/>
      <c r="Z120" s="31"/>
    </row>
    <row r="121" spans="1:26" x14ac:dyDescent="0.25">
      <c r="A121" s="382">
        <v>43799</v>
      </c>
      <c r="B121" s="176">
        <f>'Purchased Power Model'!B121</f>
        <v>5691780</v>
      </c>
      <c r="C121" s="174">
        <f t="shared" si="11"/>
        <v>565.70000000000005</v>
      </c>
      <c r="D121" s="174">
        <f t="shared" si="11"/>
        <v>0</v>
      </c>
      <c r="E121" s="174">
        <f t="shared" si="11"/>
        <v>1</v>
      </c>
      <c r="F121" s="175">
        <v>30</v>
      </c>
      <c r="G121" s="455"/>
      <c r="H121" s="162"/>
      <c r="I121" s="397"/>
      <c r="J121" s="160"/>
      <c r="K121" s="444">
        <f t="shared" si="7"/>
        <v>5402308.2365802322</v>
      </c>
      <c r="L121" s="445">
        <f t="shared" si="8"/>
        <v>-289471.76341976784</v>
      </c>
      <c r="M121" s="446">
        <f t="shared" si="9"/>
        <v>-5.0857862289084933E-2</v>
      </c>
      <c r="N121" s="447">
        <f t="shared" si="10"/>
        <v>5.0857862289084933E-2</v>
      </c>
      <c r="P121" s="13"/>
      <c r="Q121" s="31"/>
      <c r="R121" s="31"/>
      <c r="S121" s="31"/>
      <c r="T121" s="31"/>
      <c r="U121" s="31"/>
      <c r="V121" s="31"/>
      <c r="W121" s="31"/>
      <c r="Z121" s="31"/>
    </row>
    <row r="122" spans="1:26" x14ac:dyDescent="0.25">
      <c r="A122" s="382">
        <v>43830</v>
      </c>
      <c r="B122" s="176">
        <f>'Purchased Power Model'!B122</f>
        <v>6502362.6191428574</v>
      </c>
      <c r="C122" s="174">
        <f t="shared" si="11"/>
        <v>799.21000000000015</v>
      </c>
      <c r="D122" s="174">
        <f t="shared" si="11"/>
        <v>0</v>
      </c>
      <c r="E122" s="174">
        <f t="shared" si="11"/>
        <v>0</v>
      </c>
      <c r="F122" s="175">
        <v>31</v>
      </c>
      <c r="G122" s="455"/>
      <c r="H122" s="162"/>
      <c r="I122" s="397"/>
      <c r="J122" s="160"/>
      <c r="K122" s="444">
        <f t="shared" si="7"/>
        <v>6728914.8524818104</v>
      </c>
      <c r="L122" s="445">
        <f t="shared" si="8"/>
        <v>226552.233338953</v>
      </c>
      <c r="M122" s="446">
        <f t="shared" si="9"/>
        <v>3.4841525551341394E-2</v>
      </c>
      <c r="N122" s="447">
        <f t="shared" si="10"/>
        <v>3.4841525551341394E-2</v>
      </c>
      <c r="P122" s="13"/>
      <c r="Q122" s="31"/>
      <c r="R122" s="31"/>
      <c r="S122" s="31"/>
      <c r="T122" s="31"/>
      <c r="U122" s="31"/>
      <c r="V122" s="31"/>
      <c r="W122" s="31"/>
      <c r="Z122" s="31"/>
    </row>
    <row r="123" spans="1:26" x14ac:dyDescent="0.25">
      <c r="A123" s="382">
        <v>43861</v>
      </c>
      <c r="B123" s="434"/>
      <c r="C123" s="474">
        <v>932.51</v>
      </c>
      <c r="D123" s="474">
        <f t="shared" si="11"/>
        <v>0</v>
      </c>
      <c r="E123" s="475">
        <f t="shared" si="11"/>
        <v>0</v>
      </c>
      <c r="F123" s="175">
        <v>31</v>
      </c>
      <c r="G123" s="455"/>
      <c r="H123" s="162"/>
      <c r="I123" s="397"/>
      <c r="J123" s="160"/>
      <c r="K123" s="444">
        <f t="shared" si="7"/>
        <v>7202307.5725436965</v>
      </c>
      <c r="L123" s="445"/>
      <c r="M123" s="446"/>
      <c r="N123" s="447"/>
      <c r="P123" s="13"/>
      <c r="Q123" s="31"/>
      <c r="R123" s="31"/>
      <c r="S123" s="31"/>
      <c r="T123" s="31"/>
      <c r="U123" s="31"/>
      <c r="V123" s="31"/>
      <c r="W123" s="31"/>
      <c r="Z123" s="31"/>
    </row>
    <row r="124" spans="1:26" x14ac:dyDescent="0.25">
      <c r="A124" s="382">
        <v>43890</v>
      </c>
      <c r="B124" s="434"/>
      <c r="C124" s="474">
        <v>818.46</v>
      </c>
      <c r="D124" s="474">
        <f t="shared" si="11"/>
        <v>0</v>
      </c>
      <c r="E124" s="475">
        <f t="shared" si="11"/>
        <v>0</v>
      </c>
      <c r="F124" s="175">
        <v>29</v>
      </c>
      <c r="G124" s="455"/>
      <c r="H124" s="162"/>
      <c r="I124" s="397"/>
      <c r="J124" s="160"/>
      <c r="K124" s="444">
        <f t="shared" si="7"/>
        <v>6616830.7261661589</v>
      </c>
      <c r="L124" s="445"/>
      <c r="M124" s="446"/>
      <c r="N124" s="447"/>
      <c r="P124" s="13"/>
      <c r="Q124" s="31"/>
      <c r="R124" s="31"/>
      <c r="S124" s="31"/>
      <c r="T124" s="31"/>
      <c r="U124" s="31"/>
      <c r="V124" s="31"/>
      <c r="W124" s="31"/>
      <c r="Z124" s="31"/>
    </row>
    <row r="125" spans="1:26" x14ac:dyDescent="0.25">
      <c r="A125" s="382">
        <v>43921</v>
      </c>
      <c r="B125" s="434"/>
      <c r="C125" s="474">
        <v>703.28</v>
      </c>
      <c r="D125" s="474">
        <f t="shared" si="11"/>
        <v>0</v>
      </c>
      <c r="E125" s="475">
        <f t="shared" si="11"/>
        <v>1</v>
      </c>
      <c r="F125" s="175">
        <v>31</v>
      </c>
      <c r="G125" s="455"/>
      <c r="H125" s="162"/>
      <c r="I125" s="397"/>
      <c r="J125" s="160"/>
      <c r="K125" s="444">
        <f t="shared" si="7"/>
        <v>5981124.3084155526</v>
      </c>
      <c r="L125" s="445"/>
      <c r="M125" s="446"/>
      <c r="N125" s="447"/>
      <c r="P125" s="13"/>
      <c r="Q125" s="31"/>
      <c r="R125" s="31"/>
      <c r="S125" s="31"/>
      <c r="T125" s="31"/>
      <c r="U125" s="31"/>
      <c r="V125" s="31"/>
      <c r="W125" s="31"/>
      <c r="Z125" s="31"/>
    </row>
    <row r="126" spans="1:26" x14ac:dyDescent="0.25">
      <c r="A126" s="382">
        <v>43951</v>
      </c>
      <c r="B126" s="434"/>
      <c r="C126" s="474">
        <v>448.57000000000005</v>
      </c>
      <c r="D126" s="474">
        <f t="shared" si="11"/>
        <v>0</v>
      </c>
      <c r="E126" s="475">
        <f t="shared" si="11"/>
        <v>1</v>
      </c>
      <c r="F126" s="175">
        <v>30</v>
      </c>
      <c r="G126" s="455"/>
      <c r="H126" s="162"/>
      <c r="I126" s="397"/>
      <c r="J126" s="160"/>
      <c r="K126" s="444">
        <f t="shared" si="7"/>
        <v>4986340.5749084484</v>
      </c>
      <c r="L126" s="445"/>
      <c r="M126" s="446"/>
      <c r="N126" s="447"/>
      <c r="P126" s="13"/>
      <c r="Q126" s="31"/>
      <c r="R126" s="31"/>
      <c r="S126" s="31"/>
      <c r="T126" s="31"/>
      <c r="U126" s="31"/>
      <c r="V126" s="31"/>
      <c r="W126" s="31"/>
      <c r="Z126" s="31"/>
    </row>
    <row r="127" spans="1:26" x14ac:dyDescent="0.25">
      <c r="A127" s="382">
        <v>43982</v>
      </c>
      <c r="B127" s="434"/>
      <c r="C127" s="474">
        <v>189.26</v>
      </c>
      <c r="D127" s="474">
        <f t="shared" si="11"/>
        <v>9.2199999999999989</v>
      </c>
      <c r="E127" s="475">
        <f t="shared" si="11"/>
        <v>1</v>
      </c>
      <c r="F127" s="175">
        <v>31</v>
      </c>
      <c r="G127" s="455"/>
      <c r="H127" s="162"/>
      <c r="I127" s="397"/>
      <c r="J127" s="160"/>
      <c r="K127" s="444">
        <f t="shared" si="7"/>
        <v>4227063.5368910208</v>
      </c>
      <c r="L127" s="445"/>
      <c r="M127" s="446"/>
      <c r="N127" s="447"/>
      <c r="P127" s="13"/>
      <c r="Q127" s="31"/>
      <c r="R127" s="31"/>
      <c r="S127" s="31"/>
      <c r="T127" s="31"/>
      <c r="U127" s="31"/>
      <c r="V127" s="31"/>
      <c r="W127" s="31"/>
      <c r="Z127" s="31"/>
    </row>
    <row r="128" spans="1:26" x14ac:dyDescent="0.25">
      <c r="A128" s="382">
        <v>44012</v>
      </c>
      <c r="B128" s="434"/>
      <c r="C128" s="474">
        <v>65.79000000000002</v>
      </c>
      <c r="D128" s="474">
        <f t="shared" si="11"/>
        <v>18.669999999999998</v>
      </c>
      <c r="E128" s="475">
        <f t="shared" si="11"/>
        <v>0</v>
      </c>
      <c r="F128" s="175">
        <v>30</v>
      </c>
      <c r="G128" s="455"/>
      <c r="H128" s="162"/>
      <c r="I128" s="397"/>
      <c r="J128" s="160"/>
      <c r="K128" s="444">
        <f t="shared" si="7"/>
        <v>4178644.4778910829</v>
      </c>
      <c r="L128" s="445"/>
      <c r="M128" s="446"/>
      <c r="N128" s="447"/>
      <c r="P128" s="13"/>
      <c r="Q128" s="31"/>
      <c r="R128" s="31"/>
      <c r="S128" s="31"/>
      <c r="T128" s="31"/>
      <c r="U128" s="31"/>
      <c r="V128" s="31"/>
      <c r="W128" s="31"/>
      <c r="Z128" s="31"/>
    </row>
    <row r="129" spans="1:26" x14ac:dyDescent="0.25">
      <c r="A129" s="382">
        <v>44043</v>
      </c>
      <c r="B129" s="434"/>
      <c r="C129" s="474">
        <v>18.400000000000002</v>
      </c>
      <c r="D129" s="474">
        <f t="shared" si="11"/>
        <v>68.429999999999993</v>
      </c>
      <c r="E129" s="475">
        <f t="shared" si="11"/>
        <v>0</v>
      </c>
      <c r="F129" s="175">
        <v>31</v>
      </c>
      <c r="G129" s="455"/>
      <c r="H129" s="162"/>
      <c r="I129" s="397"/>
      <c r="J129" s="160"/>
      <c r="K129" s="444">
        <f t="shared" si="7"/>
        <v>4485889.5234723538</v>
      </c>
      <c r="L129" s="445"/>
      <c r="M129" s="446"/>
      <c r="N129" s="447"/>
      <c r="P129" s="13"/>
      <c r="Q129" s="31"/>
      <c r="R129" s="31"/>
      <c r="S129" s="31"/>
      <c r="T129" s="31"/>
      <c r="U129" s="31"/>
      <c r="V129" s="31"/>
      <c r="W129" s="31"/>
      <c r="Z129" s="31"/>
    </row>
    <row r="130" spans="1:26" x14ac:dyDescent="0.25">
      <c r="A130" s="382">
        <v>44074</v>
      </c>
      <c r="B130" s="434"/>
      <c r="C130" s="474">
        <v>34.26</v>
      </c>
      <c r="D130" s="474">
        <f t="shared" si="11"/>
        <v>42.710000000000008</v>
      </c>
      <c r="E130" s="475">
        <f t="shared" si="11"/>
        <v>0</v>
      </c>
      <c r="F130" s="175">
        <v>31</v>
      </c>
      <c r="G130" s="455"/>
      <c r="H130" s="162"/>
      <c r="I130" s="397"/>
      <c r="J130" s="160"/>
      <c r="K130" s="444">
        <f t="shared" si="7"/>
        <v>4343049.5449876506</v>
      </c>
      <c r="L130" s="445"/>
      <c r="M130" s="446"/>
      <c r="N130" s="447"/>
      <c r="P130" s="13"/>
      <c r="Q130" s="31"/>
      <c r="R130" s="31"/>
      <c r="S130" s="31"/>
      <c r="T130" s="31"/>
      <c r="U130" s="31"/>
      <c r="V130" s="31"/>
      <c r="W130" s="31"/>
      <c r="Z130" s="31"/>
    </row>
    <row r="131" spans="1:26" x14ac:dyDescent="0.25">
      <c r="A131" s="382">
        <v>44104</v>
      </c>
      <c r="B131" s="434"/>
      <c r="C131" s="474">
        <v>135.46</v>
      </c>
      <c r="D131" s="474">
        <f t="shared" si="11"/>
        <v>15.030000000000001</v>
      </c>
      <c r="E131" s="475">
        <f t="shared" si="11"/>
        <v>1</v>
      </c>
      <c r="F131" s="175">
        <v>30</v>
      </c>
      <c r="G131" s="455"/>
      <c r="H131" s="162"/>
      <c r="I131" s="397"/>
      <c r="J131" s="160"/>
      <c r="K131" s="444">
        <f t="shared" si="7"/>
        <v>3990768.1928506587</v>
      </c>
      <c r="L131" s="445"/>
      <c r="M131" s="446"/>
      <c r="N131" s="447"/>
      <c r="P131" s="13"/>
      <c r="Q131" s="31"/>
      <c r="R131" s="31"/>
      <c r="S131" s="31"/>
      <c r="T131" s="31"/>
      <c r="U131" s="31"/>
      <c r="V131" s="31"/>
      <c r="W131" s="31"/>
      <c r="Z131" s="31"/>
    </row>
    <row r="132" spans="1:26" x14ac:dyDescent="0.25">
      <c r="A132" s="382">
        <v>44135</v>
      </c>
      <c r="B132" s="434"/>
      <c r="C132" s="474">
        <v>341.62</v>
      </c>
      <c r="D132" s="474">
        <f t="shared" si="11"/>
        <v>0.1</v>
      </c>
      <c r="E132" s="475">
        <f t="shared" si="11"/>
        <v>1</v>
      </c>
      <c r="F132" s="175">
        <v>31</v>
      </c>
      <c r="G132" s="455"/>
      <c r="H132" s="162"/>
      <c r="I132" s="397"/>
      <c r="J132" s="160"/>
      <c r="K132" s="444">
        <f t="shared" ref="K132:K146" si="13">$R$18+C132*$R$19+D132*$R$20+E132*$R$21+F132*$R$22</f>
        <v>4697523.4861576762</v>
      </c>
      <c r="L132" s="445"/>
      <c r="M132" s="446"/>
      <c r="N132" s="447"/>
      <c r="P132" s="13"/>
      <c r="Q132" s="31"/>
      <c r="R132" s="31"/>
      <c r="S132" s="31"/>
      <c r="T132" s="31"/>
      <c r="U132" s="31"/>
      <c r="V132" s="31"/>
      <c r="W132" s="31"/>
      <c r="Z132" s="31"/>
    </row>
    <row r="133" spans="1:26" x14ac:dyDescent="0.25">
      <c r="A133" s="382">
        <v>44165</v>
      </c>
      <c r="B133" s="434"/>
      <c r="C133" s="474">
        <v>565.70000000000005</v>
      </c>
      <c r="D133" s="474">
        <f t="shared" si="11"/>
        <v>0</v>
      </c>
      <c r="E133" s="475">
        <f t="shared" si="11"/>
        <v>1</v>
      </c>
      <c r="F133" s="175">
        <v>30</v>
      </c>
      <c r="G133" s="455"/>
      <c r="H133" s="162"/>
      <c r="I133" s="397"/>
      <c r="J133" s="160"/>
      <c r="K133" s="444">
        <f t="shared" si="13"/>
        <v>5402308.2365802322</v>
      </c>
      <c r="L133" s="445"/>
      <c r="M133" s="446"/>
      <c r="N133" s="447"/>
      <c r="P133" s="13"/>
      <c r="Q133" s="31"/>
      <c r="R133" s="31"/>
      <c r="S133" s="31"/>
      <c r="T133" s="31"/>
      <c r="U133" s="31"/>
      <c r="V133" s="31"/>
      <c r="W133" s="31"/>
      <c r="Z133" s="31"/>
    </row>
    <row r="134" spans="1:26" x14ac:dyDescent="0.25">
      <c r="A134" s="382">
        <v>44196</v>
      </c>
      <c r="B134" s="473"/>
      <c r="C134" s="474">
        <v>799.21000000000015</v>
      </c>
      <c r="D134" s="474">
        <f t="shared" si="11"/>
        <v>0</v>
      </c>
      <c r="E134" s="476">
        <f t="shared" si="11"/>
        <v>0</v>
      </c>
      <c r="F134" s="175">
        <v>31</v>
      </c>
      <c r="G134" s="16"/>
      <c r="K134" s="444">
        <f t="shared" si="13"/>
        <v>6728914.8524818104</v>
      </c>
      <c r="L134" s="445"/>
      <c r="M134" s="446"/>
      <c r="N134" s="447"/>
      <c r="P134" s="13"/>
      <c r="Q134" s="31"/>
      <c r="R134" s="31"/>
      <c r="S134" s="31"/>
      <c r="T134" s="31"/>
      <c r="U134" s="31"/>
      <c r="V134" s="31"/>
      <c r="W134" s="31"/>
      <c r="Z134" s="31"/>
    </row>
    <row r="135" spans="1:26" x14ac:dyDescent="0.25">
      <c r="A135" s="452">
        <v>44227</v>
      </c>
      <c r="B135" s="434"/>
      <c r="C135" s="474">
        <f t="shared" si="11"/>
        <v>932.51</v>
      </c>
      <c r="D135" s="474">
        <f t="shared" si="11"/>
        <v>0</v>
      </c>
      <c r="E135" s="475">
        <f t="shared" si="11"/>
        <v>0</v>
      </c>
      <c r="F135" s="453">
        <v>31</v>
      </c>
      <c r="G135" s="16"/>
      <c r="K135" s="444">
        <f t="shared" si="13"/>
        <v>7202307.5725436965</v>
      </c>
      <c r="L135" s="445"/>
      <c r="M135" s="446"/>
      <c r="N135" s="447"/>
      <c r="P135" s="13"/>
      <c r="Q135" s="31"/>
      <c r="R135" s="31"/>
      <c r="S135" s="31"/>
      <c r="T135" s="31"/>
      <c r="U135" s="31"/>
      <c r="V135" s="31"/>
      <c r="W135" s="31"/>
      <c r="Z135" s="31"/>
    </row>
    <row r="136" spans="1:26" x14ac:dyDescent="0.25">
      <c r="A136" s="452">
        <v>44255</v>
      </c>
      <c r="B136" s="434"/>
      <c r="C136" s="474">
        <f t="shared" si="11"/>
        <v>818.46</v>
      </c>
      <c r="D136" s="474">
        <f t="shared" si="11"/>
        <v>0</v>
      </c>
      <c r="E136" s="475">
        <f t="shared" si="11"/>
        <v>0</v>
      </c>
      <c r="F136" s="453">
        <v>28</v>
      </c>
      <c r="G136" s="16"/>
      <c r="K136" s="444">
        <f t="shared" si="13"/>
        <v>6526607.0806332733</v>
      </c>
      <c r="L136" s="445"/>
      <c r="M136" s="446"/>
      <c r="N136" s="447"/>
      <c r="P136" s="13"/>
      <c r="Q136" s="31"/>
      <c r="R136" s="31"/>
      <c r="S136" s="31"/>
      <c r="T136" s="31"/>
      <c r="U136" s="31"/>
      <c r="V136" s="31"/>
      <c r="W136" s="31"/>
      <c r="Z136" s="31"/>
    </row>
    <row r="137" spans="1:26" x14ac:dyDescent="0.25">
      <c r="A137" s="452">
        <v>44286</v>
      </c>
      <c r="B137" s="434"/>
      <c r="C137" s="474">
        <f t="shared" si="11"/>
        <v>703.28</v>
      </c>
      <c r="D137" s="474">
        <f t="shared" si="11"/>
        <v>0</v>
      </c>
      <c r="E137" s="475">
        <f t="shared" si="11"/>
        <v>1</v>
      </c>
      <c r="F137" s="453">
        <v>31</v>
      </c>
      <c r="G137" s="16"/>
      <c r="K137" s="444">
        <f t="shared" si="13"/>
        <v>5981124.3084155526</v>
      </c>
      <c r="L137" s="445"/>
      <c r="M137" s="446"/>
      <c r="N137" s="447"/>
      <c r="P137" s="13"/>
      <c r="Q137" s="31"/>
      <c r="R137" s="31"/>
      <c r="S137" s="31"/>
      <c r="T137" s="31"/>
      <c r="U137" s="31"/>
      <c r="V137" s="31"/>
      <c r="W137" s="31"/>
      <c r="Z137" s="31"/>
    </row>
    <row r="138" spans="1:26" x14ac:dyDescent="0.25">
      <c r="A138" s="452">
        <v>44316</v>
      </c>
      <c r="B138" s="434"/>
      <c r="C138" s="474">
        <f t="shared" si="11"/>
        <v>448.57000000000005</v>
      </c>
      <c r="D138" s="474">
        <f t="shared" si="11"/>
        <v>0</v>
      </c>
      <c r="E138" s="475">
        <f t="shared" si="11"/>
        <v>1</v>
      </c>
      <c r="F138" s="453">
        <v>30</v>
      </c>
      <c r="G138" s="16"/>
      <c r="K138" s="444">
        <f t="shared" si="13"/>
        <v>4986340.5749084484</v>
      </c>
      <c r="L138" s="445"/>
      <c r="M138" s="446"/>
      <c r="N138" s="447"/>
      <c r="P138" s="13"/>
      <c r="Q138" s="31"/>
      <c r="R138" s="31"/>
      <c r="S138" s="31"/>
      <c r="T138" s="31"/>
      <c r="U138" s="31"/>
      <c r="V138" s="31"/>
      <c r="W138" s="31"/>
      <c r="Z138" s="31"/>
    </row>
    <row r="139" spans="1:26" x14ac:dyDescent="0.25">
      <c r="A139" s="452">
        <v>44347</v>
      </c>
      <c r="B139" s="434"/>
      <c r="C139" s="474">
        <f t="shared" si="11"/>
        <v>189.26</v>
      </c>
      <c r="D139" s="474">
        <f t="shared" si="11"/>
        <v>9.2199999999999989</v>
      </c>
      <c r="E139" s="475">
        <f t="shared" si="11"/>
        <v>1</v>
      </c>
      <c r="F139" s="453">
        <v>31</v>
      </c>
      <c r="G139" s="16"/>
      <c r="K139" s="444">
        <f t="shared" si="13"/>
        <v>4227063.5368910208</v>
      </c>
      <c r="L139" s="445"/>
      <c r="M139" s="446"/>
      <c r="N139" s="447"/>
      <c r="P139" s="13"/>
      <c r="Q139" s="31"/>
      <c r="R139" s="31"/>
      <c r="S139" s="31"/>
      <c r="T139" s="31"/>
      <c r="U139" s="31"/>
      <c r="V139" s="31"/>
      <c r="W139" s="31"/>
      <c r="Z139" s="31"/>
    </row>
    <row r="140" spans="1:26" x14ac:dyDescent="0.25">
      <c r="A140" s="452">
        <v>44377</v>
      </c>
      <c r="B140" s="434"/>
      <c r="C140" s="474">
        <f t="shared" si="11"/>
        <v>65.79000000000002</v>
      </c>
      <c r="D140" s="474">
        <f t="shared" si="11"/>
        <v>18.669999999999998</v>
      </c>
      <c r="E140" s="475">
        <f t="shared" si="11"/>
        <v>0</v>
      </c>
      <c r="F140" s="453">
        <v>30</v>
      </c>
      <c r="G140" s="16"/>
      <c r="K140" s="444">
        <f t="shared" si="13"/>
        <v>4178644.4778910829</v>
      </c>
      <c r="L140" s="445"/>
      <c r="M140" s="446"/>
      <c r="N140" s="447"/>
      <c r="P140" s="13"/>
      <c r="Q140" s="31"/>
      <c r="R140" s="31"/>
      <c r="S140" s="31"/>
      <c r="T140" s="31"/>
      <c r="U140" s="31"/>
      <c r="V140" s="31"/>
      <c r="W140" s="31"/>
      <c r="Z140" s="31"/>
    </row>
    <row r="141" spans="1:26" x14ac:dyDescent="0.25">
      <c r="A141" s="452">
        <v>44408</v>
      </c>
      <c r="B141" s="434"/>
      <c r="C141" s="474">
        <f t="shared" si="11"/>
        <v>18.400000000000002</v>
      </c>
      <c r="D141" s="474">
        <f t="shared" si="11"/>
        <v>68.429999999999993</v>
      </c>
      <c r="E141" s="475">
        <f t="shared" si="11"/>
        <v>0</v>
      </c>
      <c r="F141" s="453">
        <v>31</v>
      </c>
      <c r="G141" s="16"/>
      <c r="K141" s="444">
        <f t="shared" si="13"/>
        <v>4485889.5234723538</v>
      </c>
      <c r="L141" s="445"/>
      <c r="M141" s="446"/>
      <c r="N141" s="447"/>
      <c r="P141" s="13"/>
      <c r="Q141" s="31"/>
      <c r="R141" s="31"/>
      <c r="S141" s="31"/>
      <c r="T141" s="31"/>
      <c r="U141" s="31"/>
      <c r="V141" s="31"/>
      <c r="W141" s="31"/>
      <c r="Z141" s="31"/>
    </row>
    <row r="142" spans="1:26" x14ac:dyDescent="0.25">
      <c r="A142" s="452">
        <v>44439</v>
      </c>
      <c r="B142" s="434"/>
      <c r="C142" s="474">
        <f t="shared" si="11"/>
        <v>34.26</v>
      </c>
      <c r="D142" s="474">
        <f t="shared" si="11"/>
        <v>42.710000000000008</v>
      </c>
      <c r="E142" s="475">
        <f t="shared" si="11"/>
        <v>0</v>
      </c>
      <c r="F142" s="453">
        <v>31</v>
      </c>
      <c r="G142" s="16"/>
      <c r="K142" s="444">
        <f t="shared" si="13"/>
        <v>4343049.5449876506</v>
      </c>
      <c r="L142" s="445"/>
      <c r="M142" s="446"/>
      <c r="N142" s="447"/>
      <c r="P142" s="13"/>
      <c r="Q142" s="31"/>
      <c r="R142" s="31"/>
      <c r="S142" s="31"/>
      <c r="T142" s="31"/>
      <c r="U142" s="31"/>
      <c r="V142" s="31"/>
      <c r="W142" s="31"/>
      <c r="Z142" s="31"/>
    </row>
    <row r="143" spans="1:26" x14ac:dyDescent="0.25">
      <c r="A143" s="452">
        <v>44469</v>
      </c>
      <c r="B143" s="434"/>
      <c r="C143" s="474">
        <f t="shared" si="11"/>
        <v>135.46</v>
      </c>
      <c r="D143" s="474">
        <f t="shared" si="11"/>
        <v>15.030000000000001</v>
      </c>
      <c r="E143" s="475">
        <f t="shared" si="11"/>
        <v>1</v>
      </c>
      <c r="F143" s="453">
        <v>30</v>
      </c>
      <c r="G143" s="16"/>
      <c r="K143" s="444">
        <f t="shared" si="13"/>
        <v>3990768.1928506587</v>
      </c>
      <c r="L143" s="445"/>
      <c r="M143" s="446"/>
      <c r="N143" s="447"/>
      <c r="P143" s="13"/>
      <c r="Q143" s="31"/>
      <c r="R143" s="31"/>
      <c r="S143" s="31"/>
      <c r="T143" s="31"/>
      <c r="U143" s="31"/>
      <c r="V143" s="31"/>
      <c r="W143" s="31"/>
      <c r="Z143" s="31"/>
    </row>
    <row r="144" spans="1:26" x14ac:dyDescent="0.25">
      <c r="A144" s="452">
        <v>44500</v>
      </c>
      <c r="B144" s="434"/>
      <c r="C144" s="474">
        <f t="shared" si="11"/>
        <v>341.62</v>
      </c>
      <c r="D144" s="474">
        <f t="shared" si="11"/>
        <v>0.1</v>
      </c>
      <c r="E144" s="475">
        <f t="shared" si="11"/>
        <v>1</v>
      </c>
      <c r="F144" s="453">
        <v>31</v>
      </c>
      <c r="G144" s="16"/>
      <c r="K144" s="444">
        <f t="shared" si="13"/>
        <v>4697523.4861576762</v>
      </c>
      <c r="L144" s="445"/>
      <c r="M144" s="446"/>
      <c r="N144" s="447"/>
      <c r="P144" s="13"/>
      <c r="Q144" s="31"/>
      <c r="R144" s="31"/>
      <c r="S144" s="31"/>
      <c r="T144" s="31"/>
      <c r="U144" s="31"/>
      <c r="V144" s="31"/>
      <c r="W144" s="31"/>
      <c r="Z144" s="31"/>
    </row>
    <row r="145" spans="1:26" x14ac:dyDescent="0.25">
      <c r="A145" s="452">
        <v>44530</v>
      </c>
      <c r="B145" s="434"/>
      <c r="C145" s="474">
        <f t="shared" ref="C145:E146" si="14">C133</f>
        <v>565.70000000000005</v>
      </c>
      <c r="D145" s="474">
        <f t="shared" si="14"/>
        <v>0</v>
      </c>
      <c r="E145" s="475">
        <f t="shared" si="14"/>
        <v>1</v>
      </c>
      <c r="F145" s="453">
        <v>30</v>
      </c>
      <c r="G145" s="16"/>
      <c r="K145" s="444">
        <f t="shared" si="13"/>
        <v>5402308.2365802322</v>
      </c>
      <c r="L145" s="445"/>
      <c r="M145" s="446"/>
      <c r="N145" s="447"/>
      <c r="P145" s="13"/>
      <c r="Q145" s="31"/>
      <c r="R145" s="31"/>
      <c r="S145" s="31"/>
      <c r="T145" s="31"/>
      <c r="U145" s="31"/>
      <c r="V145" s="31"/>
      <c r="W145" s="31"/>
      <c r="Z145" s="31"/>
    </row>
    <row r="146" spans="1:26" x14ac:dyDescent="0.25">
      <c r="A146" s="452">
        <v>44561</v>
      </c>
      <c r="B146" s="434"/>
      <c r="C146" s="474">
        <f t="shared" si="14"/>
        <v>799.21000000000015</v>
      </c>
      <c r="D146" s="474">
        <f t="shared" si="14"/>
        <v>0</v>
      </c>
      <c r="E146" s="475">
        <f t="shared" si="14"/>
        <v>0</v>
      </c>
      <c r="F146" s="453">
        <v>31</v>
      </c>
      <c r="G146" s="16"/>
      <c r="K146" s="444">
        <f t="shared" si="13"/>
        <v>6728914.8524818104</v>
      </c>
      <c r="L146" s="445"/>
      <c r="M146" s="446"/>
      <c r="N146" s="447"/>
      <c r="P146" s="13"/>
      <c r="Q146" s="31"/>
      <c r="R146" s="31"/>
      <c r="S146" s="31"/>
      <c r="T146" s="31"/>
      <c r="U146" s="31"/>
      <c r="V146" s="31"/>
      <c r="W146" s="31"/>
      <c r="Z146" s="31"/>
    </row>
    <row r="147" spans="1:26" x14ac:dyDescent="0.25">
      <c r="A147" s="47"/>
      <c r="C147" s="17"/>
      <c r="D147" s="52" t="s">
        <v>48</v>
      </c>
      <c r="E147" s="10"/>
      <c r="F147" s="16"/>
      <c r="G147" s="16"/>
      <c r="K147" s="46">
        <f>SUM(K3:K146)</f>
        <v>753277167.59036052</v>
      </c>
      <c r="P147" s="13"/>
      <c r="Q147" s="31"/>
      <c r="R147" s="31"/>
      <c r="S147" s="31"/>
      <c r="T147" s="31"/>
      <c r="U147" s="31"/>
      <c r="V147" s="31"/>
      <c r="W147" s="31"/>
      <c r="Z147" s="31"/>
    </row>
    <row r="148" spans="1:26" x14ac:dyDescent="0.25">
      <c r="A148" s="47"/>
      <c r="E148" s="10"/>
      <c r="F148" s="16"/>
      <c r="G148" s="16"/>
      <c r="P148" s="13"/>
      <c r="Q148" s="31"/>
      <c r="R148" s="31"/>
      <c r="S148" s="31"/>
      <c r="T148" s="31"/>
      <c r="U148" s="31"/>
      <c r="V148" s="31"/>
      <c r="W148" s="31"/>
      <c r="Z148" s="31"/>
    </row>
    <row r="149" spans="1:26" x14ac:dyDescent="0.25">
      <c r="A149" s="37">
        <v>2010</v>
      </c>
      <c r="B149" s="443">
        <f>SUM(B3:B14)</f>
        <v>64797090.100000001</v>
      </c>
      <c r="K149" s="443">
        <f>SUM(K3:K14)</f>
        <v>62750541.387813456</v>
      </c>
      <c r="L149" s="33">
        <f t="shared" ref="L149:L155" si="15">K149-B149</f>
        <v>-2046548.7121865451</v>
      </c>
      <c r="M149" s="5">
        <f t="shared" ref="M149:M155" si="16">L149/B149</f>
        <v>-3.158396015975639E-2</v>
      </c>
      <c r="N149" s="5">
        <f t="shared" ref="N149:N155" si="17">ABS(M149)</f>
        <v>3.158396015975639E-2</v>
      </c>
      <c r="P149" s="13"/>
      <c r="Q149" s="31"/>
      <c r="R149" s="31"/>
      <c r="S149" s="31"/>
      <c r="T149" s="31"/>
      <c r="U149" s="31"/>
      <c r="V149" s="31"/>
      <c r="W149" s="31"/>
      <c r="Z149" s="31"/>
    </row>
    <row r="150" spans="1:26" x14ac:dyDescent="0.25">
      <c r="A150" s="48">
        <v>2011</v>
      </c>
      <c r="B150" s="443">
        <f>SUM(B15:B26)</f>
        <v>66398183.261319995</v>
      </c>
      <c r="K150" s="26">
        <f>SUM(K15:K26)</f>
        <v>62750541.387813456</v>
      </c>
      <c r="L150" s="33">
        <f t="shared" si="15"/>
        <v>-3647641.8735065386</v>
      </c>
      <c r="M150" s="5">
        <f t="shared" si="16"/>
        <v>-5.4935868638915884E-2</v>
      </c>
      <c r="N150" s="5">
        <f t="shared" si="17"/>
        <v>5.4935868638915884E-2</v>
      </c>
      <c r="P150" s="13"/>
      <c r="Q150" s="31"/>
      <c r="R150" s="31"/>
      <c r="S150" s="31"/>
      <c r="T150" s="31"/>
      <c r="U150" s="31"/>
      <c r="V150" s="31"/>
      <c r="W150" s="31"/>
      <c r="Z150" s="31"/>
    </row>
    <row r="151" spans="1:26" x14ac:dyDescent="0.25">
      <c r="A151" s="37">
        <v>2012</v>
      </c>
      <c r="B151" s="443">
        <f>SUM(B27:B38)</f>
        <v>63284544.89452</v>
      </c>
      <c r="I151" s="394">
        <v>1427.53</v>
      </c>
      <c r="K151" s="26">
        <f>SUM(K27:K38)</f>
        <v>62840765.033346348</v>
      </c>
      <c r="L151" s="33">
        <f t="shared" si="15"/>
        <v>-443779.86117365211</v>
      </c>
      <c r="M151" s="5">
        <f t="shared" si="16"/>
        <v>-7.0124524386376737E-3</v>
      </c>
      <c r="N151" s="5">
        <f t="shared" si="17"/>
        <v>7.0124524386376737E-3</v>
      </c>
      <c r="O151" s="100"/>
      <c r="P151" s="13"/>
      <c r="Q151" s="31"/>
      <c r="R151" s="31"/>
      <c r="S151" s="31"/>
      <c r="T151" s="31"/>
      <c r="U151" s="31"/>
      <c r="V151" s="31"/>
      <c r="W151" s="31"/>
      <c r="Z151" s="31"/>
    </row>
    <row r="152" spans="1:26" x14ac:dyDescent="0.25">
      <c r="A152" s="48">
        <v>2013</v>
      </c>
      <c r="B152" s="443">
        <f>SUM(B39:B50)</f>
        <v>63602962.210319996</v>
      </c>
      <c r="I152" s="394">
        <v>1429.14</v>
      </c>
      <c r="K152" s="443">
        <f>SUM(K39:K50)</f>
        <v>62750541.387813456</v>
      </c>
      <c r="L152" s="33">
        <f t="shared" si="15"/>
        <v>-852420.82250653952</v>
      </c>
      <c r="M152" s="5">
        <f t="shared" si="16"/>
        <v>-1.3402218904330035E-2</v>
      </c>
      <c r="N152" s="5">
        <f t="shared" si="17"/>
        <v>1.3402218904330035E-2</v>
      </c>
      <c r="P152" s="13"/>
      <c r="Q152" s="31"/>
      <c r="R152" s="31"/>
      <c r="S152" s="31"/>
      <c r="T152" s="31"/>
      <c r="U152" s="31"/>
      <c r="V152" s="31"/>
      <c r="W152" s="31"/>
      <c r="Z152" s="31"/>
    </row>
    <row r="153" spans="1:26" x14ac:dyDescent="0.25">
      <c r="A153" s="37">
        <v>2014</v>
      </c>
      <c r="B153" s="443">
        <f>SUM(B51:B62)</f>
        <v>65352027.278520003</v>
      </c>
      <c r="I153" s="394">
        <v>1430.73</v>
      </c>
      <c r="K153" s="443">
        <f>SUM(K51:K62)</f>
        <v>62750541.387813456</v>
      </c>
      <c r="L153" s="33">
        <f t="shared" si="15"/>
        <v>-2601485.8907065466</v>
      </c>
      <c r="M153" s="5">
        <f t="shared" si="16"/>
        <v>-3.9807271465649031E-2</v>
      </c>
      <c r="N153" s="5">
        <f t="shared" si="17"/>
        <v>3.9807271465649031E-2</v>
      </c>
      <c r="P153" s="13"/>
      <c r="Q153" s="31"/>
      <c r="R153" s="31"/>
      <c r="S153" s="31"/>
      <c r="T153" s="31"/>
      <c r="U153" s="31"/>
      <c r="V153" s="31"/>
      <c r="W153" s="31"/>
      <c r="Z153" s="31"/>
    </row>
    <row r="154" spans="1:26" x14ac:dyDescent="0.25">
      <c r="A154" s="48">
        <v>2015</v>
      </c>
      <c r="B154" s="443">
        <f>SUM(B63:B74)</f>
        <v>61104721.271502577</v>
      </c>
      <c r="I154" s="394">
        <v>1432.3300000000002</v>
      </c>
      <c r="K154" s="443">
        <f>SUM(K63:K74)</f>
        <v>62750541.387813456</v>
      </c>
      <c r="L154" s="33">
        <f t="shared" si="15"/>
        <v>1645820.1163108796</v>
      </c>
      <c r="M154" s="5">
        <f t="shared" si="16"/>
        <v>2.6934418193286826E-2</v>
      </c>
      <c r="N154" s="5">
        <f t="shared" si="17"/>
        <v>2.6934418193286826E-2</v>
      </c>
      <c r="P154" s="13"/>
      <c r="Q154" s="31"/>
      <c r="R154" s="31"/>
      <c r="S154" s="31"/>
      <c r="T154" s="31"/>
      <c r="U154" s="31"/>
      <c r="V154" s="31"/>
      <c r="W154" s="31"/>
      <c r="Z154" s="31"/>
    </row>
    <row r="155" spans="1:26" x14ac:dyDescent="0.25">
      <c r="A155" s="37">
        <v>2016</v>
      </c>
      <c r="B155" s="443">
        <f>SUM(B75:B86)</f>
        <v>59794103.869807422</v>
      </c>
      <c r="I155" s="394">
        <v>1433.95</v>
      </c>
      <c r="K155" s="443">
        <f>SUM(K75:K86)</f>
        <v>62840765.033346348</v>
      </c>
      <c r="L155" s="33">
        <f t="shared" si="15"/>
        <v>3046661.1635389253</v>
      </c>
      <c r="M155" s="5">
        <f t="shared" si="16"/>
        <v>5.0952534888265358E-2</v>
      </c>
      <c r="N155" s="5">
        <f t="shared" si="17"/>
        <v>5.0952534888265358E-2</v>
      </c>
      <c r="P155" s="13"/>
      <c r="Q155" s="31"/>
      <c r="R155" s="31"/>
      <c r="S155" s="31"/>
      <c r="T155" s="31"/>
      <c r="U155" s="31"/>
      <c r="V155" s="31"/>
      <c r="W155" s="31"/>
      <c r="Z155" s="31"/>
    </row>
    <row r="156" spans="1:26" x14ac:dyDescent="0.25">
      <c r="A156" s="37">
        <v>2017</v>
      </c>
      <c r="B156" s="450">
        <f>SUM(B87:B98)</f>
        <v>59491334.831652001</v>
      </c>
      <c r="I156" s="394">
        <v>1435.57</v>
      </c>
      <c r="K156" s="443">
        <f>SUM(K87:K98)</f>
        <v>62750541.387813456</v>
      </c>
      <c r="L156" s="33">
        <f t="shared" ref="L156:L158" si="18">K156-B156</f>
        <v>3259206.5561614558</v>
      </c>
      <c r="M156" s="5">
        <f t="shared" ref="M156:M158" si="19">L156/B156</f>
        <v>5.478455921999946E-2</v>
      </c>
      <c r="N156" s="5">
        <f t="shared" ref="N156:N158" si="20">ABS(M156)</f>
        <v>5.478455921999946E-2</v>
      </c>
      <c r="P156" s="13"/>
      <c r="Q156" s="31"/>
      <c r="R156" s="31"/>
      <c r="S156" s="31"/>
      <c r="T156" s="31"/>
      <c r="U156" s="31"/>
      <c r="V156" s="31"/>
      <c r="W156" s="31"/>
      <c r="Z156" s="31"/>
    </row>
    <row r="157" spans="1:26" x14ac:dyDescent="0.25">
      <c r="A157" s="37">
        <v>2018</v>
      </c>
      <c r="B157" s="450">
        <f>SUM(B99:B110)</f>
        <v>61810132.542415701</v>
      </c>
      <c r="K157" s="450">
        <f>SUM(K99:K110)</f>
        <v>62750541.387813456</v>
      </c>
      <c r="L157" s="33">
        <f t="shared" si="18"/>
        <v>940408.8453977555</v>
      </c>
      <c r="M157" s="5">
        <f t="shared" si="19"/>
        <v>1.521447708840331E-2</v>
      </c>
      <c r="N157" s="5">
        <f t="shared" si="20"/>
        <v>1.521447708840331E-2</v>
      </c>
      <c r="P157" s="13"/>
      <c r="Q157" s="31"/>
      <c r="R157" s="31"/>
      <c r="S157" s="31"/>
      <c r="T157" s="31"/>
      <c r="U157" s="31"/>
      <c r="V157" s="31"/>
      <c r="W157" s="31"/>
      <c r="Z157" s="31"/>
    </row>
    <row r="158" spans="1:26" x14ac:dyDescent="0.25">
      <c r="A158" s="37">
        <v>2019</v>
      </c>
      <c r="B158" s="450">
        <f>SUM(B111:B122)</f>
        <v>62050760.909142859</v>
      </c>
      <c r="K158" s="450">
        <f>SUM(K111:K122)</f>
        <v>62750541.387813456</v>
      </c>
      <c r="L158" s="33">
        <f t="shared" si="18"/>
        <v>699780.47867059708</v>
      </c>
      <c r="M158" s="5">
        <f t="shared" si="19"/>
        <v>1.127754871040571E-2</v>
      </c>
      <c r="N158" s="5">
        <f t="shared" si="20"/>
        <v>1.127754871040571E-2</v>
      </c>
      <c r="P158" s="13"/>
      <c r="Q158" s="31"/>
      <c r="R158" s="31"/>
      <c r="S158" s="31"/>
      <c r="T158" s="31"/>
      <c r="U158" s="31"/>
      <c r="V158" s="31"/>
      <c r="W158" s="31"/>
      <c r="Z158" s="31"/>
    </row>
    <row r="159" spans="1:26" x14ac:dyDescent="0.25">
      <c r="A159" s="37">
        <v>2020</v>
      </c>
      <c r="B159" s="450">
        <f>SUM(B123:B134)</f>
        <v>0</v>
      </c>
      <c r="K159" s="450">
        <f>SUM(K123:K134)</f>
        <v>62840765.033346348</v>
      </c>
      <c r="L159" s="33"/>
      <c r="M159" s="5"/>
      <c r="N159" s="5"/>
      <c r="P159" s="13"/>
      <c r="Q159" s="31"/>
      <c r="R159" s="31"/>
      <c r="S159" s="31"/>
      <c r="T159" s="31"/>
      <c r="U159" s="31"/>
      <c r="V159" s="31"/>
      <c r="W159" s="31"/>
      <c r="Z159" s="31"/>
    </row>
    <row r="160" spans="1:26" x14ac:dyDescent="0.25">
      <c r="A160" s="37">
        <v>2021</v>
      </c>
      <c r="B160" s="450">
        <f>SUM(B135:B146)</f>
        <v>0</v>
      </c>
      <c r="K160" s="462">
        <f>SUM(K135:K146)</f>
        <v>62750541.387813456</v>
      </c>
      <c r="L160" s="33"/>
      <c r="M160" s="5"/>
      <c r="N160" s="5"/>
      <c r="P160" s="13"/>
      <c r="Q160" s="31"/>
      <c r="R160" s="31"/>
      <c r="S160" s="31"/>
      <c r="T160" s="31"/>
      <c r="U160" s="31"/>
      <c r="V160" s="31"/>
      <c r="W160" s="31"/>
      <c r="Z160" s="31"/>
    </row>
    <row r="161" spans="1:26" x14ac:dyDescent="0.25">
      <c r="I161" s="394">
        <v>1437.1999999999998</v>
      </c>
      <c r="K161" s="443"/>
      <c r="P161" s="13"/>
      <c r="Q161" s="31"/>
      <c r="R161" s="31"/>
      <c r="S161" s="31"/>
      <c r="T161" s="31"/>
      <c r="U161" s="31"/>
      <c r="V161" s="31"/>
      <c r="W161" s="31"/>
      <c r="Z161" s="31"/>
    </row>
    <row r="162" spans="1:26" x14ac:dyDescent="0.25">
      <c r="A162" s="355" t="s">
        <v>268</v>
      </c>
      <c r="B162" s="26">
        <f>SUM(B149:B158)</f>
        <v>627685861.16920054</v>
      </c>
      <c r="I162" s="394">
        <v>1438.82</v>
      </c>
      <c r="K162" s="26">
        <f>SUM(K149:K158)</f>
        <v>627685861.1692003</v>
      </c>
      <c r="L162" s="26">
        <f>SUM(L149:L158)</f>
        <v>-2.0861625671386719E-7</v>
      </c>
      <c r="P162" s="13"/>
      <c r="Q162" s="31"/>
      <c r="R162" s="31"/>
      <c r="S162" s="31"/>
      <c r="T162" s="31"/>
      <c r="U162" s="31"/>
      <c r="V162" s="31"/>
      <c r="W162" s="31"/>
      <c r="Z162" s="31"/>
    </row>
    <row r="163" spans="1:26" x14ac:dyDescent="0.25">
      <c r="I163" s="394">
        <v>1440.4500000000003</v>
      </c>
      <c r="P163" s="13"/>
      <c r="Q163" s="31"/>
      <c r="R163" s="31"/>
      <c r="S163" s="31"/>
      <c r="T163" s="31"/>
      <c r="U163" s="31"/>
      <c r="V163" s="31"/>
      <c r="W163" s="31"/>
      <c r="Z163" s="31"/>
    </row>
    <row r="164" spans="1:26" x14ac:dyDescent="0.25">
      <c r="I164" s="394">
        <v>1442.0899999999997</v>
      </c>
      <c r="K164" s="443">
        <f>SUM(K149:K160)</f>
        <v>753277167.59036005</v>
      </c>
      <c r="L164" s="46">
        <f>K147-K164</f>
        <v>0</v>
      </c>
      <c r="P164" s="13"/>
      <c r="Q164" s="31"/>
      <c r="R164" s="31"/>
      <c r="S164" s="31"/>
      <c r="T164" s="31"/>
      <c r="U164" s="31"/>
      <c r="V164" s="31"/>
      <c r="W164" s="31"/>
      <c r="Z164" s="31"/>
    </row>
    <row r="165" spans="1:26" x14ac:dyDescent="0.25">
      <c r="I165" s="394">
        <v>1443.74</v>
      </c>
      <c r="K165" s="17"/>
      <c r="L165" s="17" t="s">
        <v>109</v>
      </c>
      <c r="M165" s="17"/>
      <c r="N165" s="17"/>
      <c r="P165" s="13"/>
      <c r="Q165" s="31"/>
      <c r="R165" s="31"/>
      <c r="S165" s="31"/>
      <c r="T165" s="31"/>
      <c r="U165" s="31"/>
      <c r="V165" s="31"/>
      <c r="W165" s="31"/>
      <c r="Z165" s="31"/>
    </row>
    <row r="166" spans="1:26" x14ac:dyDescent="0.25">
      <c r="I166" s="394">
        <v>1445.3700000000001</v>
      </c>
      <c r="P166" s="13"/>
    </row>
    <row r="168" spans="1:26" customFormat="1" x14ac:dyDescent="0.25">
      <c r="B168" s="805"/>
      <c r="C168" s="805"/>
      <c r="D168" s="805"/>
    </row>
    <row r="169" spans="1:26" customFormat="1" x14ac:dyDescent="0.25"/>
    <row r="170" spans="1:26" customFormat="1" x14ac:dyDescent="0.25"/>
    <row r="171" spans="1:26" customFormat="1" x14ac:dyDescent="0.25"/>
    <row r="172" spans="1:26" customFormat="1" x14ac:dyDescent="0.25"/>
    <row r="173" spans="1:26" customFormat="1" x14ac:dyDescent="0.25"/>
    <row r="174" spans="1:26" customFormat="1" x14ac:dyDescent="0.25"/>
    <row r="175" spans="1:26" customFormat="1" x14ac:dyDescent="0.25"/>
    <row r="176" spans="1:26" customFormat="1" x14ac:dyDescent="0.25"/>
    <row r="177" spans="2:4" customFormat="1" x14ac:dyDescent="0.25"/>
    <row r="178" spans="2:4" customFormat="1" x14ac:dyDescent="0.25"/>
    <row r="179" spans="2:4" customFormat="1" x14ac:dyDescent="0.25"/>
    <row r="180" spans="2:4" customFormat="1" x14ac:dyDescent="0.25"/>
    <row r="181" spans="2:4" customFormat="1" x14ac:dyDescent="0.25"/>
    <row r="182" spans="2:4" customFormat="1" x14ac:dyDescent="0.25">
      <c r="B182" s="805"/>
      <c r="C182" s="805"/>
      <c r="D182" s="805"/>
    </row>
    <row r="183" spans="2:4" customFormat="1" x14ac:dyDescent="0.25"/>
    <row r="184" spans="2:4" customFormat="1" x14ac:dyDescent="0.25"/>
    <row r="185" spans="2:4" customFormat="1" x14ac:dyDescent="0.25"/>
    <row r="186" spans="2:4" customFormat="1" x14ac:dyDescent="0.25"/>
    <row r="187" spans="2:4" customFormat="1" x14ac:dyDescent="0.25"/>
    <row r="188" spans="2:4" customFormat="1" x14ac:dyDescent="0.25"/>
    <row r="189" spans="2:4" customFormat="1" x14ac:dyDescent="0.25"/>
    <row r="190" spans="2:4" customFormat="1" x14ac:dyDescent="0.25"/>
    <row r="191" spans="2:4" customFormat="1" x14ac:dyDescent="0.25"/>
    <row r="192" spans="2:4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50" spans="16:16" x14ac:dyDescent="0.25">
      <c r="P250" s="5"/>
    </row>
    <row r="251" spans="16:16" x14ac:dyDescent="0.25">
      <c r="P251" s="5"/>
    </row>
    <row r="252" spans="16:16" x14ac:dyDescent="0.25">
      <c r="P252" s="5"/>
    </row>
    <row r="253" spans="16:16" x14ac:dyDescent="0.25">
      <c r="P253" s="5"/>
    </row>
    <row r="254" spans="16:16" x14ac:dyDescent="0.25">
      <c r="P254" s="5"/>
    </row>
    <row r="255" spans="16:16" x14ac:dyDescent="0.25">
      <c r="P255" s="5"/>
    </row>
    <row r="256" spans="16:16" x14ac:dyDescent="0.25">
      <c r="P256" s="5"/>
    </row>
    <row r="257" spans="16:18" x14ac:dyDescent="0.25">
      <c r="P257" s="5"/>
    </row>
    <row r="258" spans="16:18" x14ac:dyDescent="0.25">
      <c r="P258" s="5"/>
    </row>
    <row r="259" spans="16:18" x14ac:dyDescent="0.25">
      <c r="P259" s="5"/>
    </row>
    <row r="260" spans="16:18" x14ac:dyDescent="0.25">
      <c r="P260" s="5"/>
      <c r="Q260" s="443"/>
      <c r="R260" s="53"/>
    </row>
    <row r="261" spans="16:18" x14ac:dyDescent="0.25">
      <c r="P261" s="5"/>
      <c r="Q261" s="443"/>
      <c r="R261" s="53"/>
    </row>
    <row r="262" spans="16:18" x14ac:dyDescent="0.25">
      <c r="P262" s="5"/>
      <c r="Q262" s="443"/>
      <c r="R262" s="53"/>
    </row>
    <row r="263" spans="16:18" x14ac:dyDescent="0.25">
      <c r="P263" s="5"/>
      <c r="Q263" s="443"/>
      <c r="R263" s="53"/>
    </row>
    <row r="264" spans="16:18" x14ac:dyDescent="0.25">
      <c r="P264" s="5"/>
      <c r="Q264" s="443"/>
      <c r="R264" s="53"/>
    </row>
    <row r="265" spans="16:18" x14ac:dyDescent="0.25">
      <c r="P265" s="5"/>
      <c r="Q265" s="443"/>
      <c r="R265" s="53"/>
    </row>
    <row r="266" spans="16:18" x14ac:dyDescent="0.25">
      <c r="P266" s="5"/>
      <c r="Q266" s="443"/>
      <c r="R266" s="53"/>
    </row>
    <row r="267" spans="16:18" x14ac:dyDescent="0.25">
      <c r="P267" s="5"/>
      <c r="Q267" s="443"/>
      <c r="R267" s="53"/>
    </row>
    <row r="268" spans="16:18" x14ac:dyDescent="0.25">
      <c r="P268" s="5"/>
      <c r="Q268" s="443"/>
      <c r="R268" s="53"/>
    </row>
    <row r="273" spans="16:16" x14ac:dyDescent="0.25">
      <c r="P273" s="17"/>
    </row>
  </sheetData>
  <customSheetViews>
    <customSheetView guid="{7481AE0E-2D6B-416C-8D95-7DAA8CA7C9F5}" scale="85" showPageBreaks="1" fitToPage="1" printArea="1" hiddenColumns="1">
      <pane xSplit="1" ySplit="2" topLeftCell="B125" activePane="bottomRight" state="frozen"/>
      <selection pane="bottomRight" activeCell="C15" sqref="C15:D122"/>
      <pageMargins left="0.38" right="0.75" top="0.73" bottom="0.74" header="0.5" footer="0.5"/>
      <printOptions gridLines="1"/>
      <pageSetup scale="23" orientation="landscape" r:id="rId1"/>
      <headerFooter alignWithMargins="0">
        <oddFooter>&amp;L&amp;Z&amp;F</oddFooter>
      </headerFooter>
    </customSheetView>
    <customSheetView guid="{4115F855-0BCB-4789-890B-F67D0AF20543}" scale="85" fitToPage="1" hiddenColumns="1">
      <pane xSplit="1" ySplit="2" topLeftCell="B158" activePane="bottomRight" state="frozen"/>
      <selection pane="bottomRight" activeCell="A168" sqref="A168:XFD227"/>
      <pageMargins left="0.38" right="0.75" top="0.73" bottom="0.74" header="0.5" footer="0.5"/>
      <printOptions gridLines="1"/>
      <pageSetup scale="23" orientation="landscape" r:id="rId2"/>
      <headerFooter alignWithMargins="0">
        <oddFooter>&amp;L&amp;Z&amp;F</oddFooter>
      </headerFooter>
    </customSheetView>
    <customSheetView guid="{DE47F5DD-3736-469D-8704-852547698004}" scale="85" showPageBreaks="1" fitToPage="1" printArea="1" hiddenColumns="1">
      <pane xSplit="1" ySplit="2" topLeftCell="B135" activePane="bottomRight" state="frozen"/>
      <selection pane="bottomRight" activeCell="K146" sqref="K146"/>
      <pageMargins left="0.38" right="0.75" top="0.73" bottom="0.74" header="0.5" footer="0.5"/>
      <printOptions gridLines="1"/>
      <pageSetup scale="23" orientation="landscape" r:id="rId3"/>
      <headerFooter alignWithMargins="0">
        <oddFooter>&amp;L&amp;Z&amp;F</oddFooter>
      </headerFooter>
    </customSheetView>
  </customSheetViews>
  <mergeCells count="2">
    <mergeCell ref="B168:D168"/>
    <mergeCell ref="B182:D182"/>
  </mergeCells>
  <printOptions gridLines="1"/>
  <pageMargins left="0.38" right="0.75" top="0.73" bottom="0.74" header="0.5" footer="0.5"/>
  <pageSetup scale="23" orientation="landscape" r:id="rId4"/>
  <headerFooter alignWithMargins="0">
    <oddFooter>&amp;L&amp;Z&amp;F</oddFooter>
  </headerFooter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zoomScaleNormal="100" workbookViewId="0">
      <selection activeCell="L8" sqref="L8"/>
    </sheetView>
  </sheetViews>
  <sheetFormatPr defaultRowHeight="12.5" x14ac:dyDescent="0.25"/>
  <sheetData/>
  <customSheetViews>
    <customSheetView guid="{7481AE0E-2D6B-416C-8D95-7DAA8CA7C9F5}">
      <selection activeCell="C51" sqref="C51"/>
      <pageMargins left="0.7" right="0.7" top="0.75" bottom="0.75" header="0.3" footer="0.3"/>
    </customSheetView>
    <customSheetView guid="{4115F855-0BCB-4789-890B-F67D0AF20543}">
      <selection activeCell="C51" sqref="C51"/>
      <pageMargins left="0.7" right="0.7" top="0.75" bottom="0.75" header="0.3" footer="0.3"/>
    </customSheetView>
    <customSheetView guid="{DE47F5DD-3736-469D-8704-852547698004}">
      <selection activeCell="U19" sqref="S19:U19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B91"/>
  <sheetViews>
    <sheetView zoomScaleNormal="10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A10" sqref="A10"/>
    </sheetView>
  </sheetViews>
  <sheetFormatPr defaultRowHeight="12.5" x14ac:dyDescent="0.25"/>
  <cols>
    <col min="1" max="1" width="34.36328125" customWidth="1"/>
    <col min="2" max="2" width="14.36328125" style="1" bestFit="1" customWidth="1"/>
    <col min="3" max="3" width="12.90625" style="157" customWidth="1"/>
    <col min="4" max="4" width="14" style="31" bestFit="1" customWidth="1"/>
    <col min="5" max="5" width="14" bestFit="1" customWidth="1"/>
    <col min="6" max="8" width="12.6328125" style="31" bestFit="1" customWidth="1"/>
    <col min="9" max="12" width="12.6328125" style="31" customWidth="1"/>
    <col min="13" max="13" width="14.54296875" style="31" customWidth="1"/>
    <col min="14" max="14" width="12.6328125" style="181" customWidth="1"/>
    <col min="15" max="15" width="19.36328125" style="31" customWidth="1"/>
    <col min="16" max="16" width="12.6328125" style="31" customWidth="1"/>
    <col min="17" max="17" width="13.36328125" style="31" bestFit="1" customWidth="1"/>
    <col min="18" max="18" width="12.6328125" style="31" customWidth="1"/>
    <col min="19" max="19" width="11.08984375" bestFit="1" customWidth="1"/>
    <col min="20" max="20" width="11.6328125" customWidth="1"/>
    <col min="21" max="21" width="14.90625" style="534" customWidth="1"/>
    <col min="22" max="22" width="10.54296875" style="534" bestFit="1" customWidth="1"/>
    <col min="23" max="23" width="13.36328125" style="534" bestFit="1" customWidth="1"/>
    <col min="26" max="26" width="15" style="50" bestFit="1" customWidth="1"/>
    <col min="27" max="27" width="9.08984375" style="163"/>
    <col min="28" max="28" width="15" style="50" bestFit="1" customWidth="1"/>
  </cols>
  <sheetData>
    <row r="1" spans="1:26" ht="15.5" x14ac:dyDescent="0.35">
      <c r="A1" s="40" t="s">
        <v>108</v>
      </c>
      <c r="C1" s="22"/>
    </row>
    <row r="2" spans="1:26" ht="13" thickBot="1" x14ac:dyDescent="0.3">
      <c r="C2" s="22"/>
    </row>
    <row r="3" spans="1:26" ht="52" x14ac:dyDescent="0.3">
      <c r="B3" s="42" t="s">
        <v>72</v>
      </c>
      <c r="C3" s="42" t="s">
        <v>73</v>
      </c>
      <c r="D3" s="42" t="s">
        <v>74</v>
      </c>
      <c r="E3" s="42" t="s">
        <v>100</v>
      </c>
      <c r="F3" s="42" t="s">
        <v>101</v>
      </c>
      <c r="G3" s="357" t="s">
        <v>206</v>
      </c>
      <c r="H3" s="103" t="s">
        <v>207</v>
      </c>
      <c r="I3" s="103" t="s">
        <v>271</v>
      </c>
      <c r="J3" s="103" t="s">
        <v>272</v>
      </c>
      <c r="K3" s="103" t="s">
        <v>273</v>
      </c>
      <c r="L3" s="357" t="s">
        <v>278</v>
      </c>
      <c r="M3" s="357" t="s">
        <v>274</v>
      </c>
      <c r="N3" s="182" t="s">
        <v>175</v>
      </c>
      <c r="O3" s="103" t="s">
        <v>308</v>
      </c>
      <c r="P3" s="103" t="s">
        <v>176</v>
      </c>
      <c r="Q3" s="103"/>
      <c r="R3" s="103" t="s">
        <v>177</v>
      </c>
      <c r="T3" s="537" t="s">
        <v>175</v>
      </c>
      <c r="U3" s="538" t="s">
        <v>309</v>
      </c>
      <c r="V3" s="539" t="s">
        <v>176</v>
      </c>
      <c r="W3" s="540"/>
      <c r="X3" s="541"/>
    </row>
    <row r="4" spans="1:26" ht="13" x14ac:dyDescent="0.3">
      <c r="A4" s="18" t="s">
        <v>41</v>
      </c>
      <c r="B4" s="28">
        <f>'Purchased Power Model'!B149</f>
        <v>64797090.100000001</v>
      </c>
      <c r="C4" s="66">
        <f>'Purchased Power Model'!B150</f>
        <v>66398183.261319995</v>
      </c>
      <c r="D4" s="26">
        <f>'Purchased Power Model'!B151</f>
        <v>63284544.89452</v>
      </c>
      <c r="E4" s="6">
        <f>'Purchased Power Model'!B152</f>
        <v>63602962.210319996</v>
      </c>
      <c r="F4" s="26">
        <f>'Purchased Power Model'!B153</f>
        <v>65352027.278520003</v>
      </c>
      <c r="G4" s="26">
        <f>'Purchased Power Model'!B154</f>
        <v>61104721.271502577</v>
      </c>
      <c r="H4" s="26">
        <f>'Purchased Power Model'!B155</f>
        <v>59794103.869807422</v>
      </c>
      <c r="I4" s="26">
        <f>'Purchased Power Model'!B156</f>
        <v>59491334.831652001</v>
      </c>
      <c r="J4" s="26">
        <f>'Purchased Power Model'!B157</f>
        <v>61810132.542415701</v>
      </c>
      <c r="K4" s="26">
        <f>'Purchased Power Model'!B158</f>
        <v>62050760.909142859</v>
      </c>
      <c r="L4" s="26">
        <f>'Purchased Power Model WN'!B160</f>
        <v>0</v>
      </c>
      <c r="M4" s="394">
        <f>L4</f>
        <v>0</v>
      </c>
      <c r="N4" s="180"/>
      <c r="O4" s="26"/>
      <c r="P4" s="26"/>
      <c r="Q4" s="26"/>
      <c r="R4" s="26"/>
      <c r="T4" s="463"/>
      <c r="U4" s="55"/>
      <c r="V4" s="55"/>
      <c r="W4" s="55"/>
      <c r="X4" s="542"/>
    </row>
    <row r="5" spans="1:26" ht="13" x14ac:dyDescent="0.3">
      <c r="A5" s="18" t="s">
        <v>42</v>
      </c>
      <c r="B5" s="28">
        <f>'Purchased Power Model'!K149</f>
        <v>61581067.223135889</v>
      </c>
      <c r="C5" s="66">
        <f>'Purchased Power Model'!K150</f>
        <v>62738096.736301839</v>
      </c>
      <c r="D5" s="66">
        <f>'Purchased Power Model'!K151</f>
        <v>61624254.163418382</v>
      </c>
      <c r="E5" s="6">
        <f>'Purchased Power Model'!K152</f>
        <v>62892003.896134011</v>
      </c>
      <c r="F5" s="26">
        <f>'Purchased Power Model'!K153</f>
        <v>64340113.997318804</v>
      </c>
      <c r="G5" s="26">
        <f>'Purchased Power Model'!K154</f>
        <v>63174013.199874789</v>
      </c>
      <c r="H5" s="26">
        <f>'Purchased Power Model'!$K155</f>
        <v>62605890.315318771</v>
      </c>
      <c r="I5" s="26">
        <f>'Purchased Power Model'!K156</f>
        <v>62123262.01324112</v>
      </c>
      <c r="J5" s="26">
        <f>'Purchased Power Model'!K157</f>
        <v>63845097.46661216</v>
      </c>
      <c r="K5" s="26">
        <f>'Purchased Power Model'!K158</f>
        <v>62762062.157844543</v>
      </c>
      <c r="L5" s="510">
        <f>'Purchased Power Model'!K159</f>
        <v>62840765.033346348</v>
      </c>
      <c r="M5" s="552">
        <f>'Rate Class Energy Model'!C24</f>
        <v>62626608.32622347</v>
      </c>
      <c r="N5" s="180"/>
      <c r="O5" s="26"/>
      <c r="P5" s="26"/>
      <c r="Q5" s="26"/>
      <c r="R5" s="26"/>
      <c r="T5" s="463"/>
      <c r="U5" s="55"/>
      <c r="V5" s="55"/>
      <c r="W5" s="55"/>
      <c r="X5" s="542"/>
    </row>
    <row r="6" spans="1:26" ht="13" x14ac:dyDescent="0.3">
      <c r="A6" s="18" t="s">
        <v>10</v>
      </c>
      <c r="B6" s="41">
        <f t="shared" ref="B6:K6" si="0">(B5-B4)/B4</f>
        <v>-4.9632211445003037E-2</v>
      </c>
      <c r="C6" s="104">
        <f t="shared" si="0"/>
        <v>-5.51232932174264E-2</v>
      </c>
      <c r="D6" s="104">
        <f t="shared" si="0"/>
        <v>-2.623532702761661E-2</v>
      </c>
      <c r="E6" s="41">
        <f t="shared" si="0"/>
        <v>-1.1178069220031183E-2</v>
      </c>
      <c r="F6" s="104">
        <f t="shared" si="0"/>
        <v>-1.5484038113899427E-2</v>
      </c>
      <c r="G6" s="104">
        <f t="shared" si="0"/>
        <v>3.3864681571459325E-2</v>
      </c>
      <c r="H6" s="104">
        <f t="shared" si="0"/>
        <v>4.7024476721544091E-2</v>
      </c>
      <c r="I6" s="104">
        <f t="shared" si="0"/>
        <v>4.4240513161066586E-2</v>
      </c>
      <c r="J6" s="104">
        <f t="shared" si="0"/>
        <v>3.2922837089857625E-2</v>
      </c>
      <c r="K6" s="104">
        <f t="shared" si="0"/>
        <v>1.1463215571896035E-2</v>
      </c>
      <c r="L6" s="157"/>
      <c r="M6" s="394"/>
      <c r="N6" s="180"/>
      <c r="O6" s="157"/>
      <c r="P6" s="157"/>
      <c r="Q6" s="157"/>
      <c r="R6" s="157"/>
      <c r="T6" s="463"/>
      <c r="U6" s="55"/>
      <c r="V6" s="55"/>
      <c r="W6" s="55"/>
      <c r="X6" s="542"/>
    </row>
    <row r="7" spans="1:26" ht="13" x14ac:dyDescent="0.3">
      <c r="A7" s="18" t="s">
        <v>75</v>
      </c>
      <c r="B7" s="41"/>
      <c r="C7" s="104"/>
      <c r="D7" s="104"/>
      <c r="E7" s="41"/>
      <c r="F7" s="104"/>
      <c r="G7" s="110"/>
      <c r="H7" s="110"/>
      <c r="I7" s="110"/>
      <c r="J7" s="110"/>
      <c r="K7" s="110"/>
      <c r="L7" s="110"/>
      <c r="M7" s="394"/>
      <c r="N7" s="180"/>
      <c r="O7" s="110"/>
      <c r="P7" s="110"/>
      <c r="Q7" s="110"/>
      <c r="R7" s="110"/>
      <c r="T7" s="463"/>
      <c r="U7" s="55"/>
      <c r="V7" s="55"/>
      <c r="W7" s="55"/>
      <c r="X7" s="542"/>
    </row>
    <row r="8" spans="1:26" ht="13" x14ac:dyDescent="0.3">
      <c r="A8" s="18" t="s">
        <v>76</v>
      </c>
      <c r="B8" s="41"/>
      <c r="C8" s="104"/>
      <c r="D8" s="104"/>
      <c r="E8" s="41"/>
      <c r="F8" s="104"/>
      <c r="G8" s="26"/>
      <c r="H8" s="26"/>
      <c r="I8" s="26"/>
      <c r="J8" s="26"/>
      <c r="K8" s="26"/>
      <c r="L8" s="26"/>
      <c r="M8" s="394"/>
      <c r="N8" s="180"/>
      <c r="O8" s="26"/>
      <c r="P8" s="26"/>
      <c r="Q8" s="26"/>
      <c r="R8" s="26"/>
      <c r="T8" s="463"/>
      <c r="U8" s="55"/>
      <c r="V8" s="55"/>
      <c r="W8" s="55"/>
      <c r="X8" s="542"/>
    </row>
    <row r="9" spans="1:26" ht="13" x14ac:dyDescent="0.3">
      <c r="A9" s="18"/>
      <c r="B9" s="38"/>
      <c r="C9" s="67"/>
      <c r="E9" s="1"/>
      <c r="F9" s="22"/>
      <c r="G9" s="22"/>
      <c r="H9" s="22"/>
      <c r="I9" s="157"/>
      <c r="J9" s="157"/>
      <c r="K9" s="157"/>
      <c r="L9" s="157"/>
      <c r="M9" s="394"/>
      <c r="N9" s="180"/>
      <c r="O9" s="157"/>
      <c r="P9" s="157"/>
      <c r="Q9" s="157"/>
      <c r="R9" s="157"/>
      <c r="T9" s="463"/>
      <c r="U9" s="55"/>
      <c r="V9" s="55"/>
      <c r="W9" s="55"/>
      <c r="X9" s="542"/>
      <c r="Y9">
        <v>738</v>
      </c>
      <c r="Z9" s="50" t="s">
        <v>174</v>
      </c>
    </row>
    <row r="10" spans="1:26" ht="13" x14ac:dyDescent="0.3">
      <c r="A10" s="18" t="s">
        <v>77</v>
      </c>
      <c r="B10" s="28">
        <f>'Rate Class Energy Model'!G12</f>
        <v>60770606</v>
      </c>
      <c r="C10" s="66">
        <f>'Rate Class Energy Model'!G13</f>
        <v>61388101.75</v>
      </c>
      <c r="D10" s="111">
        <f>'Rate Class Energy Model'!G14</f>
        <v>60305436</v>
      </c>
      <c r="E10" s="6">
        <f>'Rate Class Energy Model'!G15</f>
        <v>61423308</v>
      </c>
      <c r="F10" s="26">
        <f>'Rate Class Energy Model'!G16</f>
        <v>61248309</v>
      </c>
      <c r="G10" s="26">
        <f>'Rate Class Energy Model'!G17</f>
        <v>58546499.379999995</v>
      </c>
      <c r="H10" s="26">
        <f>'Rate Class Energy Model'!G18</f>
        <v>56466454.350000001</v>
      </c>
      <c r="I10" s="26">
        <f>'Rate Class Energy Model'!G19</f>
        <v>54872263.289999984</v>
      </c>
      <c r="J10" s="26">
        <f>'Rate Class Energy Model'!G20</f>
        <v>57121172.049999982</v>
      </c>
      <c r="K10" s="26">
        <f>'Rate Class Energy Model'!G21</f>
        <v>57482828.099999994</v>
      </c>
      <c r="L10" s="510">
        <f>'Rate Class Energy Model'!G22</f>
        <v>58878258.252924532</v>
      </c>
      <c r="M10" s="552">
        <f>'Rate Class Energy Model'!G24</f>
        <v>58677605.477582194</v>
      </c>
      <c r="N10" s="180"/>
      <c r="O10" s="26"/>
      <c r="P10" s="26"/>
      <c r="Q10" s="26"/>
      <c r="R10" s="26"/>
      <c r="T10" s="463"/>
      <c r="U10" s="55"/>
      <c r="V10" s="55"/>
      <c r="W10" s="55"/>
      <c r="X10" s="542"/>
      <c r="Y10">
        <v>107.4</v>
      </c>
      <c r="Z10" s="50" t="s">
        <v>51</v>
      </c>
    </row>
    <row r="11" spans="1:26" ht="13" x14ac:dyDescent="0.3">
      <c r="A11" s="18"/>
      <c r="B11" s="38"/>
      <c r="C11" s="22"/>
      <c r="E11" s="1"/>
      <c r="F11" s="105"/>
      <c r="G11" s="22"/>
      <c r="H11" s="22"/>
      <c r="I11" s="157"/>
      <c r="J11" s="157"/>
      <c r="K11" s="157"/>
      <c r="M11" s="394"/>
      <c r="N11" s="180"/>
      <c r="O11" s="157"/>
      <c r="P11" s="157"/>
      <c r="Q11" s="157"/>
      <c r="R11" s="157"/>
      <c r="T11" s="463"/>
      <c r="U11" s="55"/>
      <c r="V11" s="55"/>
      <c r="W11" s="55"/>
      <c r="X11" s="542"/>
    </row>
    <row r="12" spans="1:26" ht="15.5" x14ac:dyDescent="0.35">
      <c r="A12" s="40" t="s">
        <v>43</v>
      </c>
      <c r="C12" s="22"/>
      <c r="E12" s="1"/>
      <c r="F12" s="22"/>
      <c r="G12" s="22"/>
      <c r="H12" s="22"/>
      <c r="I12" s="157"/>
      <c r="J12" s="157"/>
      <c r="K12" s="157"/>
      <c r="L12" s="157"/>
      <c r="M12" s="394"/>
      <c r="N12" s="180"/>
      <c r="O12" s="157"/>
      <c r="P12" s="157"/>
      <c r="Q12" s="157"/>
      <c r="R12" s="157"/>
      <c r="T12" s="463"/>
      <c r="U12" s="55"/>
      <c r="V12" s="55"/>
      <c r="W12" s="55"/>
      <c r="X12" s="542"/>
    </row>
    <row r="13" spans="1:26" ht="13" x14ac:dyDescent="0.3">
      <c r="A13" s="39" t="str">
        <f>'Rate Class Energy Model'!H2</f>
        <v>Residential</v>
      </c>
      <c r="C13" s="22"/>
      <c r="E13" s="1"/>
      <c r="F13" s="22"/>
      <c r="G13" s="22"/>
      <c r="H13" s="22"/>
      <c r="I13" s="157"/>
      <c r="J13" s="157"/>
      <c r="K13" s="157"/>
      <c r="L13" s="157"/>
      <c r="M13" s="394"/>
      <c r="N13" s="180"/>
      <c r="O13" s="157"/>
      <c r="P13" s="157"/>
      <c r="Q13" s="157"/>
      <c r="R13" s="157"/>
      <c r="T13" s="463"/>
      <c r="U13" s="55"/>
      <c r="V13" s="55"/>
      <c r="W13" s="55"/>
      <c r="X13" s="542"/>
    </row>
    <row r="14" spans="1:26" x14ac:dyDescent="0.25">
      <c r="A14" t="s">
        <v>36</v>
      </c>
      <c r="B14" s="6">
        <f>'Rate Class Customer Model'!B6</f>
        <v>2850</v>
      </c>
      <c r="C14" s="26">
        <f>'Rate Class Customer Model'!B7</f>
        <v>2847</v>
      </c>
      <c r="D14" s="26">
        <f>'Rate Class Customer Model'!B8</f>
        <v>2857</v>
      </c>
      <c r="E14" s="6">
        <f>'Rate Class Customer Model'!B9</f>
        <v>2858</v>
      </c>
      <c r="F14" s="26">
        <f>'Rate Class Customer Model'!B10</f>
        <v>2857</v>
      </c>
      <c r="G14" s="26">
        <f>'Rate Class Customer Model'!B11</f>
        <v>2856</v>
      </c>
      <c r="H14" s="26">
        <f>'Rate Class Customer Model'!B12</f>
        <v>2861</v>
      </c>
      <c r="I14" s="26">
        <f>'Rate Class Customer Model'!B13</f>
        <v>2872</v>
      </c>
      <c r="J14" s="26">
        <f>'Rate Class Customer Model'!B14</f>
        <v>2888</v>
      </c>
      <c r="K14" s="26">
        <f>'Rate Class Customer Model'!B15</f>
        <v>2901</v>
      </c>
      <c r="L14" s="510">
        <f>'Rate Class Customer Model'!B16</f>
        <v>2905.3354231059589</v>
      </c>
      <c r="M14" s="552">
        <f>'Rate Class Customer Model'!B17</f>
        <v>2910</v>
      </c>
      <c r="N14" s="482">
        <v>14.07</v>
      </c>
      <c r="O14" s="485">
        <f>N14*L14*12</f>
        <v>490536.83283721004</v>
      </c>
      <c r="P14" s="179">
        <v>1.39</v>
      </c>
      <c r="Q14" s="489">
        <f>P14*L14*12</f>
        <v>48460.994857407386</v>
      </c>
      <c r="R14" s="488">
        <f>L14*0.79*12</f>
        <v>27542.579811044488</v>
      </c>
      <c r="S14" s="53"/>
      <c r="T14" s="543">
        <v>14.07</v>
      </c>
      <c r="U14" s="544">
        <f>M14*T14*12</f>
        <v>491324.4</v>
      </c>
      <c r="V14" s="545">
        <v>1.39</v>
      </c>
      <c r="W14" s="544">
        <f>$M$14*V14*12</f>
        <v>48538.799999999996</v>
      </c>
      <c r="X14" s="542"/>
    </row>
    <row r="15" spans="1:26" ht="14" x14ac:dyDescent="0.4">
      <c r="A15" t="s">
        <v>37</v>
      </c>
      <c r="B15" s="6">
        <f>'Rate Class Energy Model'!H12</f>
        <v>31226253</v>
      </c>
      <c r="C15" s="26">
        <f>'Rate Class Energy Model'!H13</f>
        <v>31700917.039999999</v>
      </c>
      <c r="D15" s="26">
        <f>'Rate Class Energy Model'!H14</f>
        <v>30758632</v>
      </c>
      <c r="E15" s="51">
        <f>'Rate Class Energy Model'!H15</f>
        <v>32605812</v>
      </c>
      <c r="F15" s="26">
        <f>'Rate Class Energy Model'!H16</f>
        <v>32890577</v>
      </c>
      <c r="G15" s="26">
        <f>'Rate Class Energy Model'!H17</f>
        <v>30963982.239999995</v>
      </c>
      <c r="H15" s="26">
        <f>'Rate Class Energy Model'!H18</f>
        <v>29475507.110000003</v>
      </c>
      <c r="I15" s="26">
        <f>'Rate Class Energy Model'!H19</f>
        <v>28877055.70999999</v>
      </c>
      <c r="J15" s="26">
        <f>'Rate Class Energy Model'!H20</f>
        <v>31054130.409999982</v>
      </c>
      <c r="K15" s="26">
        <f>'Rate Class Energy Model'!H21</f>
        <v>31777563.039999995</v>
      </c>
      <c r="L15" s="510">
        <f>'Rate Class Energy Model'!H71</f>
        <v>32702467.451466747</v>
      </c>
      <c r="M15" s="552">
        <f>'Rate Class Energy Model'!H73</f>
        <v>32639691.743550409</v>
      </c>
      <c r="N15" s="483">
        <v>1.7000000000000001E-2</v>
      </c>
      <c r="O15" s="555">
        <f>N15*L15</f>
        <v>555941.9466749347</v>
      </c>
      <c r="P15" s="184">
        <v>1.6999999999999999E-3</v>
      </c>
      <c r="Q15" s="490">
        <f>P15*L15</f>
        <v>55594.194667493466</v>
      </c>
      <c r="R15" s="492"/>
      <c r="S15" s="163">
        <f>H15/$H$42</f>
        <v>0.52200031769836108</v>
      </c>
      <c r="T15" s="546">
        <v>1.7000000000000001E-2</v>
      </c>
      <c r="U15" s="547">
        <f>M15*T15</f>
        <v>554874.75964035699</v>
      </c>
      <c r="V15" s="545">
        <v>1.6999999999999999E-3</v>
      </c>
      <c r="W15" s="547">
        <f>V15*M15</f>
        <v>55487.475964035693</v>
      </c>
      <c r="X15" s="542"/>
    </row>
    <row r="16" spans="1:26" x14ac:dyDescent="0.25">
      <c r="C16" s="22"/>
      <c r="E16" s="51"/>
      <c r="F16" s="22"/>
      <c r="G16" s="22"/>
      <c r="H16" s="22"/>
      <c r="I16" s="157"/>
      <c r="J16" s="157"/>
      <c r="K16" s="26"/>
      <c r="M16" s="394"/>
      <c r="N16" s="180"/>
      <c r="O16" s="485">
        <f>SUM(O14:O15)</f>
        <v>1046478.7795121447</v>
      </c>
      <c r="P16" s="26"/>
      <c r="Q16" s="489">
        <f>SUM(Q14:Q15)</f>
        <v>104055.18952490085</v>
      </c>
      <c r="R16" s="488"/>
      <c r="T16" s="543"/>
      <c r="U16" s="557">
        <f>SUM(U14:U15)</f>
        <v>1046199.159640357</v>
      </c>
      <c r="V16" s="545"/>
      <c r="W16" s="544">
        <f>SUM(W14:W15)</f>
        <v>104026.27596403568</v>
      </c>
      <c r="X16" s="542"/>
    </row>
    <row r="17" spans="1:28" ht="13" x14ac:dyDescent="0.3">
      <c r="A17" s="39" t="str">
        <f>'Rate Class Energy Model'!I2</f>
        <v>General Service &lt;50</v>
      </c>
      <c r="C17" s="22"/>
      <c r="E17" s="70"/>
      <c r="F17" s="22"/>
      <c r="G17" s="22"/>
      <c r="H17" s="22"/>
      <c r="I17" s="157"/>
      <c r="J17" s="157"/>
      <c r="K17" s="157"/>
      <c r="L17" s="157"/>
      <c r="M17" s="394"/>
      <c r="N17" s="180"/>
      <c r="O17" s="485"/>
      <c r="P17" s="157"/>
      <c r="Q17" s="486"/>
      <c r="R17" s="485"/>
      <c r="T17" s="543"/>
      <c r="U17" s="544"/>
      <c r="V17" s="545"/>
      <c r="W17" s="544"/>
      <c r="X17" s="542"/>
    </row>
    <row r="18" spans="1:28" x14ac:dyDescent="0.25">
      <c r="A18" t="s">
        <v>36</v>
      </c>
      <c r="B18" s="6">
        <f>'Rate Class Customer Model'!C6</f>
        <v>425</v>
      </c>
      <c r="C18" s="26">
        <f>'Rate Class Customer Model'!C7</f>
        <v>425</v>
      </c>
      <c r="D18" s="26">
        <f>'Rate Class Customer Model'!C8</f>
        <v>402</v>
      </c>
      <c r="E18" s="6">
        <f>'Rate Class Customer Model'!C9</f>
        <v>401</v>
      </c>
      <c r="F18" s="26">
        <f>'Rate Class Customer Model'!C10</f>
        <v>402</v>
      </c>
      <c r="G18" s="26">
        <f>'Rate Class Customer Model'!C11</f>
        <v>406</v>
      </c>
      <c r="H18" s="26">
        <f>'Rate Class Customer Model'!C12</f>
        <v>393</v>
      </c>
      <c r="I18" s="26">
        <f>'Rate Class Customer Model'!C13</f>
        <v>388</v>
      </c>
      <c r="J18" s="26">
        <f>'Rate Class Customer Model'!C14</f>
        <v>388</v>
      </c>
      <c r="K18" s="26">
        <f>'Rate Class Customer Model'!C15</f>
        <v>380</v>
      </c>
      <c r="L18" s="510">
        <f>'Rate Class Customer Model'!C16</f>
        <v>374.55491835736069</v>
      </c>
      <c r="M18" s="552">
        <f>'Rate Class Customer Model'!C17</f>
        <v>369</v>
      </c>
      <c r="N18" s="482">
        <v>25.22</v>
      </c>
      <c r="O18" s="485">
        <f>N18*L18*12</f>
        <v>113355.30049167163</v>
      </c>
      <c r="P18" s="179">
        <v>2.48</v>
      </c>
      <c r="Q18" s="489">
        <f>P18*L18*12</f>
        <v>11146.754370315053</v>
      </c>
      <c r="R18" s="488">
        <f>L18*0.79*12</f>
        <v>3550.7806260277794</v>
      </c>
      <c r="S18" s="53"/>
      <c r="T18" s="543">
        <v>25.22</v>
      </c>
      <c r="U18" s="544">
        <f>M18*T18*12</f>
        <v>111674.16</v>
      </c>
      <c r="V18" s="545">
        <v>2.48</v>
      </c>
      <c r="W18" s="544">
        <f>V18*M18*12</f>
        <v>10981.44</v>
      </c>
      <c r="X18" s="542"/>
    </row>
    <row r="19" spans="1:28" ht="14" x14ac:dyDescent="0.4">
      <c r="A19" t="s">
        <v>37</v>
      </c>
      <c r="B19" s="6">
        <f>'Rate Class Energy Model'!I12</f>
        <v>11572990</v>
      </c>
      <c r="C19" s="26">
        <f>'Rate Class Energy Model'!I13</f>
        <v>11929201.25</v>
      </c>
      <c r="D19" s="26">
        <f>'Rate Class Energy Model'!I14</f>
        <v>11730167</v>
      </c>
      <c r="E19" s="6">
        <f>'Rate Class Energy Model'!I15</f>
        <v>11192454</v>
      </c>
      <c r="F19" s="26">
        <f>'Rate Class Energy Model'!I16</f>
        <v>10747812</v>
      </c>
      <c r="G19" s="26">
        <f>'Rate Class Energy Model'!I17</f>
        <v>10393804.160000002</v>
      </c>
      <c r="H19" s="26">
        <f>'Rate Class Energy Model'!I18</f>
        <v>10122402.630000001</v>
      </c>
      <c r="I19" s="26">
        <f>'Rate Class Energy Model'!I19</f>
        <v>9915384.9499999993</v>
      </c>
      <c r="J19" s="26">
        <f>'Rate Class Energy Model'!I20</f>
        <v>10221049.75</v>
      </c>
      <c r="K19" s="26">
        <f>'Rate Class Energy Model'!I21</f>
        <v>10266815.940000001</v>
      </c>
      <c r="L19" s="510">
        <f>'Rate Class Energy Model'!I71</f>
        <v>10389918.544066932</v>
      </c>
      <c r="M19" s="681">
        <f>'Rate Class Energy Model'!I73</f>
        <v>10191189.978466244</v>
      </c>
      <c r="N19" s="484">
        <v>2.07E-2</v>
      </c>
      <c r="O19" s="555">
        <f>N19*L19</f>
        <v>215071.31386218549</v>
      </c>
      <c r="P19" s="184">
        <v>2E-3</v>
      </c>
      <c r="Q19" s="490">
        <f>P19*L19</f>
        <v>20779.837088133863</v>
      </c>
      <c r="R19" s="492"/>
      <c r="S19" s="163">
        <f>H19/$H$42</f>
        <v>0.17926400278752408</v>
      </c>
      <c r="T19" s="548">
        <v>2.07E-2</v>
      </c>
      <c r="U19" s="547">
        <f>M19*T19</f>
        <v>210957.63255425126</v>
      </c>
      <c r="V19" s="545">
        <v>2E-3</v>
      </c>
      <c r="W19" s="547">
        <f>V19*M19</f>
        <v>20382.379956932491</v>
      </c>
      <c r="X19" s="542"/>
      <c r="Z19" s="50" t="s">
        <v>173</v>
      </c>
    </row>
    <row r="20" spans="1:28" x14ac:dyDescent="0.25">
      <c r="C20" s="22"/>
      <c r="D20" s="26"/>
      <c r="E20" s="1"/>
      <c r="F20" s="22"/>
      <c r="G20" s="22"/>
      <c r="H20" s="22"/>
      <c r="I20" s="157"/>
      <c r="J20" s="157"/>
      <c r="K20" s="157"/>
      <c r="L20" s="157"/>
      <c r="M20" s="394"/>
      <c r="N20" s="180"/>
      <c r="O20" s="485">
        <f>SUM(O18:O19)</f>
        <v>328426.61435385712</v>
      </c>
      <c r="P20" s="26"/>
      <c r="Q20" s="489">
        <f>SUM(Q18:Q19)</f>
        <v>31926.591458448915</v>
      </c>
      <c r="R20" s="488"/>
      <c r="T20" s="543"/>
      <c r="U20" s="544">
        <f>SUM(U18:U19)</f>
        <v>322631.79255425127</v>
      </c>
      <c r="V20" s="545"/>
      <c r="W20" s="544">
        <f>SUM(W18:W19)</f>
        <v>31363.819956932493</v>
      </c>
      <c r="X20" s="542"/>
    </row>
    <row r="21" spans="1:28" ht="13" x14ac:dyDescent="0.3">
      <c r="A21" s="39" t="str">
        <f>'Rate Class Energy Model'!J2</f>
        <v>General Service &gt;50</v>
      </c>
      <c r="C21" s="22"/>
      <c r="D21" s="26"/>
      <c r="E21" s="1"/>
      <c r="F21" s="22"/>
      <c r="G21" s="22"/>
      <c r="H21" s="22"/>
      <c r="I21" s="157"/>
      <c r="J21" s="157"/>
      <c r="K21" s="157"/>
      <c r="L21" s="157"/>
      <c r="M21" s="394"/>
      <c r="N21" s="180"/>
      <c r="O21" s="485"/>
      <c r="P21" s="157"/>
      <c r="Q21" s="486"/>
      <c r="R21" s="485"/>
      <c r="T21" s="543"/>
      <c r="U21" s="544"/>
      <c r="V21" s="545"/>
      <c r="W21" s="544"/>
      <c r="X21" s="542"/>
    </row>
    <row r="22" spans="1:28" x14ac:dyDescent="0.25">
      <c r="A22" t="s">
        <v>36</v>
      </c>
      <c r="B22" s="6">
        <f>'Rate Class Customer Model'!D6</f>
        <v>25</v>
      </c>
      <c r="C22" s="26">
        <f>'Rate Class Customer Model'!D7</f>
        <v>25</v>
      </c>
      <c r="D22" s="26">
        <f>'Rate Class Customer Model'!D8</f>
        <v>29</v>
      </c>
      <c r="E22" s="6">
        <f>'Rate Class Customer Model'!D9</f>
        <v>29</v>
      </c>
      <c r="F22" s="26">
        <f>'Rate Class Customer Model'!D10</f>
        <v>29</v>
      </c>
      <c r="G22" s="26">
        <f>'Rate Class Customer Model'!D11</f>
        <v>29</v>
      </c>
      <c r="H22" s="26">
        <f>'Rate Class Customer Model'!D12</f>
        <v>29</v>
      </c>
      <c r="I22" s="26">
        <f>'Rate Class Customer Model'!D13</f>
        <v>28</v>
      </c>
      <c r="J22" s="26">
        <f>'Rate Class Customer Model'!D14</f>
        <v>27</v>
      </c>
      <c r="K22" s="26">
        <f>'Rate Class Customer Model'!D15</f>
        <v>28</v>
      </c>
      <c r="L22" s="510">
        <f>'Rate Class Customer Model'!D16</f>
        <v>28.958151435622646</v>
      </c>
      <c r="M22" s="552">
        <f>'Rate Class Customer Model'!D17</f>
        <v>30</v>
      </c>
      <c r="N22" s="482">
        <v>196.43</v>
      </c>
      <c r="O22" s="485">
        <f>N22*L22*12</f>
        <v>68258.99623799228</v>
      </c>
      <c r="P22" s="179">
        <v>19.34</v>
      </c>
      <c r="Q22" s="489">
        <f>P22*L22*12</f>
        <v>6720.6077851793043</v>
      </c>
      <c r="R22" s="488">
        <f>L22*0.79*12</f>
        <v>274.52327560970269</v>
      </c>
      <c r="S22" s="53"/>
      <c r="T22" s="543">
        <v>196.43</v>
      </c>
      <c r="U22" s="544">
        <f>M22*T22*12</f>
        <v>70714.8</v>
      </c>
      <c r="V22" s="545">
        <v>19.34</v>
      </c>
      <c r="W22" s="544">
        <f>V22*M22*12</f>
        <v>6962.4000000000005</v>
      </c>
      <c r="X22" s="542"/>
      <c r="Z22" s="50">
        <f>14163523+2686530</f>
        <v>16850053</v>
      </c>
    </row>
    <row r="23" spans="1:28" x14ac:dyDescent="0.25">
      <c r="A23" t="s">
        <v>37</v>
      </c>
      <c r="B23" s="6">
        <f>'Rate Class Energy Model'!J12</f>
        <v>17160375</v>
      </c>
      <c r="C23" s="26">
        <f>'Rate Class Energy Model'!J13</f>
        <v>16948662.530000001</v>
      </c>
      <c r="D23" s="26">
        <f>'Rate Class Energy Model'!J14</f>
        <v>17041535</v>
      </c>
      <c r="E23" s="6">
        <f>'Rate Class Energy Model'!J15</f>
        <v>16850053</v>
      </c>
      <c r="F23" s="26">
        <f>'Rate Class Energy Model'!J16</f>
        <v>17091907</v>
      </c>
      <c r="G23" s="26">
        <f>'Rate Class Energy Model'!J17</f>
        <v>16669657.210000003</v>
      </c>
      <c r="H23" s="26">
        <f>'Rate Class Energy Model'!J18</f>
        <v>16378057.41</v>
      </c>
      <c r="I23" s="26">
        <f>'Rate Class Energy Model'!J19</f>
        <v>15590914.83</v>
      </c>
      <c r="J23" s="26">
        <f>'Rate Class Energy Model'!J20</f>
        <v>15357083.889999999</v>
      </c>
      <c r="K23" s="26">
        <f>'Rate Class Energy Model'!J21</f>
        <v>14949541.120000001</v>
      </c>
      <c r="L23" s="510">
        <f>'Rate Class Energy Model'!J71</f>
        <v>15417467.870985707</v>
      </c>
      <c r="M23" s="552">
        <f>'Rate Class Energy Model'!J73</f>
        <v>15482365.194211636</v>
      </c>
      <c r="N23" s="180"/>
      <c r="O23" s="485"/>
      <c r="P23" s="179"/>
      <c r="Q23" s="489"/>
      <c r="R23" s="488"/>
      <c r="S23" s="163">
        <f>H23/$H$42</f>
        <v>0.29004933280355683</v>
      </c>
      <c r="T23" s="543"/>
      <c r="U23" s="544"/>
      <c r="V23" s="545"/>
      <c r="W23" s="544"/>
      <c r="X23" s="542"/>
    </row>
    <row r="24" spans="1:28" ht="14" x14ac:dyDescent="0.4">
      <c r="A24" t="s">
        <v>38</v>
      </c>
      <c r="B24" s="6">
        <f>'Rate Class Load Model'!B5</f>
        <v>43226</v>
      </c>
      <c r="C24" s="26">
        <f>'Rate Class Load Model'!B6</f>
        <v>40289</v>
      </c>
      <c r="D24" s="26">
        <f>'Rate Class Load Model'!B7</f>
        <v>42772</v>
      </c>
      <c r="E24" s="6">
        <f>'Rate Class Load Model'!B8</f>
        <v>42806</v>
      </c>
      <c r="F24" s="26">
        <f>'Rate Class Load Model'!B9</f>
        <v>40172</v>
      </c>
      <c r="G24" s="26">
        <f>'Rate Class Load Model'!B10</f>
        <v>41215</v>
      </c>
      <c r="H24" s="26">
        <f>'Rate Class Load Model'!B11</f>
        <v>41066.9</v>
      </c>
      <c r="I24" s="26">
        <f>'Rate Class Load Model'!B12</f>
        <v>39273</v>
      </c>
      <c r="J24" s="26">
        <f>'Rate Class Load Model'!B13</f>
        <v>38316.800000000003</v>
      </c>
      <c r="K24" s="26">
        <f>'Rate Class Load Model'!B14</f>
        <v>37231.699999999997</v>
      </c>
      <c r="L24" s="510">
        <f>'Rate Class Load Model'!B15</f>
        <v>38397.067436687881</v>
      </c>
      <c r="M24" s="552">
        <f>'Rate Class Load Model'!B16</f>
        <v>38558.693646466199</v>
      </c>
      <c r="N24" s="484">
        <v>3.7949000000000002</v>
      </c>
      <c r="O24" s="555">
        <f>N24*L24</f>
        <v>145713.03121548684</v>
      </c>
      <c r="P24" s="184">
        <v>0.37359999999999999</v>
      </c>
      <c r="Q24" s="490">
        <f>P24*L24</f>
        <v>14345.144394346591</v>
      </c>
      <c r="R24" s="492"/>
      <c r="S24" s="53"/>
      <c r="T24" s="548">
        <v>3.7949000000000002</v>
      </c>
      <c r="U24" s="547">
        <f>M24*T24</f>
        <v>146326.38651897458</v>
      </c>
      <c r="V24" s="545">
        <v>0.37359999999999999</v>
      </c>
      <c r="W24" s="547">
        <f>V24*M24</f>
        <v>14405.527946319771</v>
      </c>
      <c r="X24" s="542"/>
      <c r="Z24" s="50">
        <v>14163523</v>
      </c>
      <c r="AA24" s="163">
        <f>Z24/Z22</f>
        <v>0.84056251929890069</v>
      </c>
      <c r="AB24" s="50">
        <f>H23*AA24</f>
        <v>13766781.197771629</v>
      </c>
    </row>
    <row r="25" spans="1:28" x14ac:dyDescent="0.25">
      <c r="C25" s="437"/>
      <c r="D25" s="437"/>
      <c r="E25" s="437"/>
      <c r="F25" s="437"/>
      <c r="G25" s="437"/>
      <c r="H25" s="22"/>
      <c r="I25" s="157"/>
      <c r="J25" s="157"/>
      <c r="K25" s="157"/>
      <c r="L25" s="157"/>
      <c r="M25" s="394"/>
      <c r="N25" s="180"/>
      <c r="O25" s="485">
        <f>SUM(O22:O24)</f>
        <v>213972.02745347912</v>
      </c>
      <c r="P25" s="179"/>
      <c r="Q25" s="489">
        <f>SUM(Q22:Q24)</f>
        <v>21065.752179525894</v>
      </c>
      <c r="R25" s="488"/>
      <c r="T25" s="543"/>
      <c r="U25" s="549">
        <f>SUM(U22:U24)</f>
        <v>217041.1865189746</v>
      </c>
      <c r="V25" s="545"/>
      <c r="W25" s="549">
        <f>SUM(W22:W24)</f>
        <v>21367.927946319771</v>
      </c>
      <c r="X25" s="542"/>
      <c r="Z25" s="50">
        <v>2686530</v>
      </c>
      <c r="AA25" s="163">
        <f>Z25/Z22</f>
        <v>0.15943748070109928</v>
      </c>
      <c r="AB25" s="50">
        <f>AA25*H23</f>
        <v>2611276.2122283713</v>
      </c>
    </row>
    <row r="26" spans="1:28" ht="13" x14ac:dyDescent="0.3">
      <c r="A26" s="39" t="str">
        <f>'Rate Class Energy Model'!K2</f>
        <v>Sentinel Lights</v>
      </c>
      <c r="C26" s="22"/>
      <c r="D26" s="26"/>
      <c r="E26" s="1"/>
      <c r="F26" s="22"/>
      <c r="G26" s="22"/>
      <c r="H26" s="22"/>
      <c r="I26" s="26"/>
      <c r="J26" s="157"/>
      <c r="K26" s="157"/>
      <c r="L26" s="157"/>
      <c r="M26" s="394"/>
      <c r="N26" s="180"/>
      <c r="O26" s="485"/>
      <c r="P26" s="157"/>
      <c r="Q26" s="486"/>
      <c r="R26" s="485"/>
      <c r="T26" s="543"/>
      <c r="U26" s="544"/>
      <c r="V26" s="545"/>
      <c r="W26" s="544"/>
      <c r="X26" s="542"/>
      <c r="AA26" s="163">
        <f>SUM(AA24:AA25)</f>
        <v>1</v>
      </c>
      <c r="AB26" s="50">
        <f>SUM(AB24:AB25)</f>
        <v>16378057.41</v>
      </c>
    </row>
    <row r="27" spans="1:28" x14ac:dyDescent="0.25">
      <c r="A27" t="s">
        <v>36</v>
      </c>
      <c r="B27" s="6">
        <f>'Rate Class Customer Model'!E6</f>
        <v>26</v>
      </c>
      <c r="C27" s="26">
        <f>'Rate Class Customer Model'!E7</f>
        <v>26</v>
      </c>
      <c r="D27" s="26">
        <f>'Rate Class Customer Model'!E8</f>
        <v>26</v>
      </c>
      <c r="E27" s="6">
        <f>'Rate Class Customer Model'!E9</f>
        <v>27</v>
      </c>
      <c r="F27" s="26">
        <f>'Rate Class Customer Model'!E10</f>
        <v>26</v>
      </c>
      <c r="G27" s="26">
        <f>'Rate Class Customer Model'!E11</f>
        <v>26</v>
      </c>
      <c r="H27" s="26">
        <f>'Rate Class Customer Model'!E12</f>
        <v>26</v>
      </c>
      <c r="I27" s="26">
        <f>'Rate Class Customer Model'!E13</f>
        <v>25</v>
      </c>
      <c r="J27" s="26">
        <f>'Rate Class Customer Model'!E14</f>
        <v>25</v>
      </c>
      <c r="K27" s="26">
        <f>'Rate Class Customer Model'!E15</f>
        <v>25</v>
      </c>
      <c r="L27" s="510">
        <f>'Rate Class Customer Model'!E16</f>
        <v>24.90214024902302</v>
      </c>
      <c r="M27" s="552">
        <f>'Rate Class Customer Model'!E17</f>
        <v>25</v>
      </c>
      <c r="N27" s="482">
        <v>2.14</v>
      </c>
      <c r="O27" s="485">
        <f>N27*L27*12</f>
        <v>639.48696159491124</v>
      </c>
      <c r="P27" s="179">
        <v>0.21</v>
      </c>
      <c r="Q27" s="489">
        <f>P27*L27*12</f>
        <v>62.753393427538015</v>
      </c>
      <c r="R27" s="488">
        <f>L27*0.79*12</f>
        <v>236.07228956073823</v>
      </c>
      <c r="S27" s="53"/>
      <c r="T27" s="543">
        <v>2.14</v>
      </c>
      <c r="U27" s="544">
        <f>M27*T27*12</f>
        <v>642</v>
      </c>
      <c r="V27" s="545">
        <v>0.21</v>
      </c>
      <c r="W27" s="544">
        <f>V27*M27*12</f>
        <v>63</v>
      </c>
      <c r="X27" s="542"/>
    </row>
    <row r="28" spans="1:28" x14ac:dyDescent="0.25">
      <c r="A28" t="s">
        <v>37</v>
      </c>
      <c r="B28" s="6">
        <f>'Rate Class Energy Model'!K12</f>
        <v>25100</v>
      </c>
      <c r="C28" s="26">
        <f>'Rate Class Energy Model'!K13</f>
        <v>25877</v>
      </c>
      <c r="D28" s="26">
        <f>'Rate Class Energy Model'!K14</f>
        <v>25725</v>
      </c>
      <c r="E28" s="6">
        <f>'Rate Class Energy Model'!K15</f>
        <v>25771</v>
      </c>
      <c r="F28" s="26">
        <f>'Rate Class Energy Model'!K16</f>
        <v>25771</v>
      </c>
      <c r="G28" s="26">
        <f>'Rate Class Energy Model'!K17</f>
        <v>24668.039999999997</v>
      </c>
      <c r="H28" s="26">
        <f>'Rate Class Energy Model'!K18</f>
        <v>24566.399999999994</v>
      </c>
      <c r="I28" s="26">
        <f>'Rate Class Energy Model'!K19</f>
        <v>24235</v>
      </c>
      <c r="J28" s="26">
        <f>'Rate Class Energy Model'!K20</f>
        <v>24235.199999999997</v>
      </c>
      <c r="K28" s="26">
        <f>'Rate Class Energy Model'!K21</f>
        <v>24235.199999999997</v>
      </c>
      <c r="L28" s="510">
        <f>'Rate Class Energy Model'!K71</f>
        <v>24151.492038982986</v>
      </c>
      <c r="M28" s="552">
        <f>'Rate Class Energy Model'!K73</f>
        <v>24257.609003941219</v>
      </c>
      <c r="N28" s="180"/>
      <c r="O28" s="485"/>
      <c r="P28" s="179"/>
      <c r="Q28" s="489"/>
      <c r="R28" s="488"/>
      <c r="S28" s="163">
        <f>H28/$H$42</f>
        <v>4.3506184836271719E-4</v>
      </c>
      <c r="T28" s="543"/>
      <c r="U28" s="544"/>
      <c r="V28" s="545"/>
      <c r="W28" s="544"/>
      <c r="X28" s="542"/>
    </row>
    <row r="29" spans="1:28" ht="14" x14ac:dyDescent="0.4">
      <c r="A29" t="s">
        <v>38</v>
      </c>
      <c r="B29" s="6">
        <f>'Rate Class Load Model'!C5</f>
        <v>72</v>
      </c>
      <c r="C29" s="26">
        <f>'Rate Class Load Model'!C6</f>
        <v>72</v>
      </c>
      <c r="D29" s="26">
        <f>'Rate Class Load Model'!C7</f>
        <v>72</v>
      </c>
      <c r="E29" s="6">
        <f>'Rate Class Load Model'!C8</f>
        <v>72</v>
      </c>
      <c r="F29" s="26">
        <f>'Rate Class Load Model'!C9</f>
        <v>72</v>
      </c>
      <c r="G29" s="26">
        <f>'Rate Class Load Model'!C10</f>
        <v>72</v>
      </c>
      <c r="H29" s="26">
        <f>'Rate Class Load Model'!C11</f>
        <v>72</v>
      </c>
      <c r="I29" s="26">
        <f>'Rate Class Load Model'!C12</f>
        <v>67.319999999999993</v>
      </c>
      <c r="J29" s="26">
        <f>'Rate Class Load Model'!C13</f>
        <v>67.319999999999993</v>
      </c>
      <c r="K29" s="26">
        <f>'Rate Class Load Model'!C14</f>
        <v>67.319999999999993</v>
      </c>
      <c r="L29" s="510">
        <f>'Rate Class Load Model'!C16</f>
        <v>67.382247233170062</v>
      </c>
      <c r="M29" s="552">
        <f t="shared" ref="M29" si="1">L29</f>
        <v>67.382247233170062</v>
      </c>
      <c r="N29" s="484">
        <v>17.257100000000001</v>
      </c>
      <c r="O29" s="555">
        <f>N29*L29</f>
        <v>1162.8221787275393</v>
      </c>
      <c r="P29" s="184">
        <v>1.6991000000000001</v>
      </c>
      <c r="Q29" s="490">
        <f>P29*L29</f>
        <v>114.48917627387925</v>
      </c>
      <c r="R29" s="492"/>
      <c r="S29" s="53"/>
      <c r="T29" s="548">
        <v>17.257100000000001</v>
      </c>
      <c r="U29" s="547">
        <f>M29*T29</f>
        <v>1162.8221787275393</v>
      </c>
      <c r="V29" s="545">
        <v>1.6991000000000001</v>
      </c>
      <c r="W29" s="547">
        <f>V29*M29</f>
        <v>114.48917627387925</v>
      </c>
      <c r="X29" s="542"/>
      <c r="Z29" s="50">
        <f>35981+6825</f>
        <v>42806</v>
      </c>
    </row>
    <row r="30" spans="1:28" x14ac:dyDescent="0.25">
      <c r="C30" s="22"/>
      <c r="E30" s="1"/>
      <c r="F30" s="22"/>
      <c r="G30" s="22"/>
      <c r="H30" s="22"/>
      <c r="I30" s="157"/>
      <c r="J30" s="157"/>
      <c r="K30" s="157"/>
      <c r="L30" s="157"/>
      <c r="M30" s="394"/>
      <c r="N30" s="180"/>
      <c r="O30" s="485">
        <f>SUM(O27:O29)</f>
        <v>1802.3091403224505</v>
      </c>
      <c r="P30" s="179"/>
      <c r="Q30" s="489">
        <f>SUM(Q27:Q29)</f>
        <v>177.24256970141727</v>
      </c>
      <c r="R30" s="488"/>
      <c r="T30" s="543"/>
      <c r="U30" s="544">
        <f>U29+U27</f>
        <v>1804.8221787275393</v>
      </c>
      <c r="V30" s="545"/>
      <c r="W30" s="544">
        <f>SUM(W27:W29)</f>
        <v>177.48917627387925</v>
      </c>
      <c r="X30" s="542"/>
    </row>
    <row r="31" spans="1:28" ht="13" x14ac:dyDescent="0.3">
      <c r="A31" s="39" t="str">
        <f>'Rate Class Energy Model'!L2</f>
        <v>Street Lights</v>
      </c>
      <c r="C31" s="22"/>
      <c r="E31" s="1"/>
      <c r="F31" s="22"/>
      <c r="G31" s="22"/>
      <c r="H31" s="22"/>
      <c r="I31" s="157"/>
      <c r="J31" s="157"/>
      <c r="K31" s="157"/>
      <c r="L31" s="157"/>
      <c r="M31" s="394"/>
      <c r="N31" s="180"/>
      <c r="O31" s="485"/>
      <c r="P31" s="157"/>
      <c r="Q31" s="486"/>
      <c r="R31" s="485"/>
      <c r="T31" s="543"/>
      <c r="U31" s="544"/>
      <c r="V31" s="545"/>
      <c r="W31" s="544"/>
      <c r="X31" s="542"/>
      <c r="Z31" s="50">
        <v>35981</v>
      </c>
      <c r="AA31" s="163">
        <f>Z31/$Z$29</f>
        <v>0.84055973461664257</v>
      </c>
      <c r="AB31" s="50">
        <f>AA31*$H$24</f>
        <v>34519.182565528201</v>
      </c>
    </row>
    <row r="32" spans="1:28" x14ac:dyDescent="0.25">
      <c r="A32" t="s">
        <v>36</v>
      </c>
      <c r="B32" s="6">
        <f>'Rate Class Customer Model'!F6</f>
        <v>1045</v>
      </c>
      <c r="C32" s="26">
        <f>'Rate Class Customer Model'!F7</f>
        <v>1048</v>
      </c>
      <c r="D32" s="26">
        <f>'Rate Class Customer Model'!F8</f>
        <v>1048</v>
      </c>
      <c r="E32" s="6">
        <f>'Rate Class Customer Model'!F9</f>
        <v>1064</v>
      </c>
      <c r="F32" s="26">
        <f>'Rate Class Customer Model'!F10</f>
        <v>1064</v>
      </c>
      <c r="G32" s="26">
        <f>'Rate Class Customer Model'!F11</f>
        <v>1064</v>
      </c>
      <c r="H32" s="26">
        <f>'Rate Class Customer Model'!F12</f>
        <v>1065</v>
      </c>
      <c r="I32" s="26">
        <f>'Rate Class Customer Model'!F13</f>
        <v>1065</v>
      </c>
      <c r="J32" s="26">
        <f>'Rate Class Customer Model'!F14</f>
        <v>1062</v>
      </c>
      <c r="K32" s="26">
        <f>'Rate Class Customer Model'!F15</f>
        <v>1062</v>
      </c>
      <c r="L32" s="510">
        <f>'Rate Class Customer Model'!F16</f>
        <v>799</v>
      </c>
      <c r="M32" s="552">
        <f>'Rate Class Customer Model'!F17</f>
        <v>799</v>
      </c>
      <c r="N32" s="482">
        <v>1.99</v>
      </c>
      <c r="O32" s="485">
        <f>N32*L32*12</f>
        <v>19080.12</v>
      </c>
      <c r="P32" s="179">
        <v>0.2</v>
      </c>
      <c r="Q32" s="489">
        <f>P32*L32*12</f>
        <v>1917.6000000000001</v>
      </c>
      <c r="R32" s="488">
        <f>L32*0.79*12</f>
        <v>7574.52</v>
      </c>
      <c r="S32" s="53"/>
      <c r="T32" s="543">
        <v>1.99</v>
      </c>
      <c r="U32" s="544">
        <f>M32*T32*12</f>
        <v>19080.12</v>
      </c>
      <c r="V32" s="545">
        <v>0.2</v>
      </c>
      <c r="W32" s="544">
        <f>V32*M32*12</f>
        <v>1917.6000000000001</v>
      </c>
      <c r="X32" s="542"/>
      <c r="Z32" s="50">
        <v>6825</v>
      </c>
      <c r="AA32" s="163">
        <f>Z32/$Z$29</f>
        <v>0.15944026538335748</v>
      </c>
      <c r="AB32" s="50">
        <f>AA32*$H$24</f>
        <v>6547.7174344718032</v>
      </c>
    </row>
    <row r="33" spans="1:28" x14ac:dyDescent="0.25">
      <c r="A33" t="s">
        <v>37</v>
      </c>
      <c r="B33" s="6">
        <f>'Rate Class Energy Model'!L12</f>
        <v>615845</v>
      </c>
      <c r="C33" s="26">
        <f>'Rate Class Energy Model'!L13</f>
        <v>613577.35</v>
      </c>
      <c r="D33" s="26">
        <f>'Rate Class Energy Model'!L14</f>
        <v>618217</v>
      </c>
      <c r="E33" s="6">
        <f>'Rate Class Energy Model'!L15</f>
        <v>617088</v>
      </c>
      <c r="F33" s="26">
        <f>'Rate Class Energy Model'!L16</f>
        <v>368606</v>
      </c>
      <c r="G33" s="26">
        <f>'Rate Class Energy Model'!L17</f>
        <v>370751.73000000004</v>
      </c>
      <c r="H33" s="26">
        <f>'Rate Class Energy Model'!L18</f>
        <v>342284.79999999999</v>
      </c>
      <c r="I33" s="26">
        <f>'Rate Class Energy Model'!L19</f>
        <v>341036.79999999999</v>
      </c>
      <c r="J33" s="26">
        <f>'Rate Class Energy Model'!L20</f>
        <v>341036.79999999999</v>
      </c>
      <c r="K33" s="26">
        <f>'Rate Class Energy Model'!L21</f>
        <v>341036.79999999999</v>
      </c>
      <c r="L33" s="510">
        <f>'Rate Class Energy Model'!L71</f>
        <v>224918.5</v>
      </c>
      <c r="M33" s="552">
        <f>'Rate Class Energy Model'!L73</f>
        <v>224918.5</v>
      </c>
      <c r="N33" s="180"/>
      <c r="O33" s="485"/>
      <c r="P33" s="179"/>
      <c r="Q33" s="489"/>
      <c r="R33" s="488"/>
      <c r="S33" s="163">
        <f>H33/$H$42</f>
        <v>6.0617370780604004E-3</v>
      </c>
      <c r="T33" s="543"/>
      <c r="U33" s="544"/>
      <c r="V33" s="545"/>
      <c r="W33" s="544"/>
      <c r="X33" s="542"/>
      <c r="AA33" s="163">
        <f>SUM(AA31:AA32)</f>
        <v>1</v>
      </c>
      <c r="AB33" s="50">
        <f>SUM(AB31:AB32)</f>
        <v>41066.9</v>
      </c>
    </row>
    <row r="34" spans="1:28" ht="14" x14ac:dyDescent="0.4">
      <c r="A34" t="s">
        <v>38</v>
      </c>
      <c r="B34" s="6">
        <f>'Rate Class Load Model'!D5</f>
        <v>1728</v>
      </c>
      <c r="C34" s="26">
        <f>'Rate Class Load Model'!D6</f>
        <v>1728</v>
      </c>
      <c r="D34" s="26">
        <f>'Rate Class Load Model'!D7</f>
        <v>1728</v>
      </c>
      <c r="E34" s="6">
        <f>'Rate Class Load Model'!D8</f>
        <v>1728</v>
      </c>
      <c r="F34" s="26">
        <f>'Rate Class Load Model'!D9</f>
        <v>1070</v>
      </c>
      <c r="G34" s="26">
        <f>'Rate Class Load Model'!D10</f>
        <v>1040</v>
      </c>
      <c r="H34" s="26">
        <f>'Rate Class Load Model'!D11</f>
        <v>1081.5999999999999</v>
      </c>
      <c r="I34" s="26">
        <f>'Rate Class Load Model'!D12</f>
        <v>1081.5999999999999</v>
      </c>
      <c r="J34" s="26">
        <f>'Rate Class Load Model'!D13</f>
        <v>1081.5999999999999</v>
      </c>
      <c r="K34" s="26">
        <f>'Rate Class Load Model'!D14</f>
        <v>1081.5999999999999</v>
      </c>
      <c r="L34" s="510">
        <f>'Rate Class Load Model'!D15</f>
        <v>659.99999999999829</v>
      </c>
      <c r="M34" s="552">
        <f>'Rate Class Load Model'!D16</f>
        <v>659.99999999999829</v>
      </c>
      <c r="N34" s="484">
        <v>25.080100000000002</v>
      </c>
      <c r="O34" s="555">
        <f>N34*L34</f>
        <v>16552.865999999958</v>
      </c>
      <c r="P34" s="184">
        <v>2.4693000000000001</v>
      </c>
      <c r="Q34" s="490">
        <f>P34*L34</f>
        <v>1629.7379999999957</v>
      </c>
      <c r="R34" s="492"/>
      <c r="S34" s="53"/>
      <c r="T34" s="548">
        <v>25.080100000000002</v>
      </c>
      <c r="U34" s="547">
        <f>M34*T34</f>
        <v>16552.865999999958</v>
      </c>
      <c r="V34" s="545">
        <v>2.4693000000000001</v>
      </c>
      <c r="W34" s="547">
        <f>V34*M34</f>
        <v>1629.7379999999957</v>
      </c>
      <c r="X34" s="542"/>
    </row>
    <row r="35" spans="1:28" x14ac:dyDescent="0.25">
      <c r="C35" s="22"/>
      <c r="D35" s="26"/>
      <c r="E35" s="1"/>
      <c r="F35" s="22"/>
      <c r="G35" s="22"/>
      <c r="H35" s="22"/>
      <c r="I35" s="157"/>
      <c r="J35" s="157"/>
      <c r="K35" s="157"/>
      <c r="L35" s="157"/>
      <c r="M35" s="394"/>
      <c r="N35" s="180"/>
      <c r="O35" s="485">
        <f>SUM(O32:O34)</f>
        <v>35632.985999999961</v>
      </c>
      <c r="P35" s="179"/>
      <c r="Q35" s="489">
        <f>SUM(Q32:Q34)</f>
        <v>3547.3379999999961</v>
      </c>
      <c r="R35" s="488"/>
      <c r="T35" s="543"/>
      <c r="U35" s="549">
        <f>SUM(U32:U34)</f>
        <v>35632.985999999961</v>
      </c>
      <c r="V35" s="545"/>
      <c r="W35" s="549">
        <f>SUM(W32:W34)</f>
        <v>3547.3379999999961</v>
      </c>
      <c r="X35" s="542"/>
    </row>
    <row r="36" spans="1:28" ht="13" x14ac:dyDescent="0.3">
      <c r="A36" s="39" t="str">
        <f>'Rate Class Energy Model'!M2</f>
        <v>USL</v>
      </c>
      <c r="B36" s="107"/>
      <c r="C36" s="22"/>
      <c r="D36" s="26"/>
      <c r="E36" s="107"/>
      <c r="F36" s="22"/>
      <c r="G36" s="22"/>
      <c r="H36" s="22"/>
      <c r="I36" s="157"/>
      <c r="J36" s="157"/>
      <c r="K36" s="157"/>
      <c r="L36" s="157"/>
      <c r="M36" s="394"/>
      <c r="N36" s="180"/>
      <c r="O36" s="485"/>
      <c r="P36" s="157"/>
      <c r="Q36" s="486"/>
      <c r="R36" s="485"/>
      <c r="T36" s="543"/>
      <c r="U36" s="544"/>
      <c r="V36" s="545"/>
      <c r="W36" s="544"/>
      <c r="X36" s="542"/>
    </row>
    <row r="37" spans="1:28" x14ac:dyDescent="0.25">
      <c r="A37" t="s">
        <v>36</v>
      </c>
      <c r="B37" s="26">
        <f>'Rate Class Customer Model'!G6</f>
        <v>21</v>
      </c>
      <c r="C37" s="26">
        <f>'Rate Class Customer Model'!G7</f>
        <v>21</v>
      </c>
      <c r="D37" s="26">
        <f>'Rate Class Customer Model'!G8</f>
        <v>21</v>
      </c>
      <c r="E37" s="26">
        <f>'Rate Class Customer Model'!G9</f>
        <v>21</v>
      </c>
      <c r="F37" s="26">
        <f>'Rate Class Customer Model'!G10</f>
        <v>21</v>
      </c>
      <c r="G37" s="26">
        <f>'Rate Class Customer Model'!G11</f>
        <v>21</v>
      </c>
      <c r="H37" s="26">
        <f>'Rate Class Customer Model'!G12</f>
        <v>21</v>
      </c>
      <c r="I37" s="26">
        <f>'Rate Class Customer Model'!G13</f>
        <v>21</v>
      </c>
      <c r="J37" s="26">
        <f>'Rate Class Customer Model'!G14</f>
        <v>21</v>
      </c>
      <c r="K37" s="26">
        <f>'Rate Class Customer Model'!G15</f>
        <v>21</v>
      </c>
      <c r="L37" s="510">
        <f>'Rate Class Customer Model'!G16</f>
        <v>21</v>
      </c>
      <c r="M37" s="552">
        <f>'Rate Class Customer Model'!G17</f>
        <v>21</v>
      </c>
      <c r="N37" s="482">
        <v>12.26</v>
      </c>
      <c r="O37" s="485">
        <f>N37*L37*12</f>
        <v>3089.5199999999995</v>
      </c>
      <c r="P37" s="179">
        <v>1.21</v>
      </c>
      <c r="Q37" s="489">
        <f>P37*L37*12</f>
        <v>304.92</v>
      </c>
      <c r="R37" s="488">
        <f>L37*0.79*12</f>
        <v>199.07999999999998</v>
      </c>
      <c r="S37" s="53"/>
      <c r="T37" s="543">
        <v>12.26</v>
      </c>
      <c r="U37" s="544">
        <f>M37*T37*12</f>
        <v>3089.5199999999995</v>
      </c>
      <c r="V37" s="545">
        <v>1.21</v>
      </c>
      <c r="W37" s="544">
        <f>V37*M37*12</f>
        <v>304.92</v>
      </c>
      <c r="X37" s="542"/>
    </row>
    <row r="38" spans="1:28" ht="14" x14ac:dyDescent="0.4">
      <c r="A38" t="s">
        <v>37</v>
      </c>
      <c r="B38" s="26">
        <f>'Rate Class Energy Model'!M12</f>
        <v>170043</v>
      </c>
      <c r="C38" s="26">
        <f>'Rate Class Energy Model'!M13</f>
        <v>169866.58</v>
      </c>
      <c r="D38" s="26">
        <f>'Rate Class Energy Model'!M14</f>
        <v>131160</v>
      </c>
      <c r="E38" s="26">
        <f>'Rate Class Energy Model'!M15</f>
        <v>132130</v>
      </c>
      <c r="F38" s="26">
        <f>'Rate Class Energy Model'!M16</f>
        <v>123636</v>
      </c>
      <c r="G38" s="26">
        <f>'Rate Class Energy Model'!M17</f>
        <v>123636</v>
      </c>
      <c r="H38" s="26">
        <f>'Rate Class Energy Model'!M18</f>
        <v>123636</v>
      </c>
      <c r="I38" s="26">
        <f>'Rate Class Energy Model'!M19</f>
        <v>123636</v>
      </c>
      <c r="J38" s="26">
        <f>'Rate Class Energy Model'!M20</f>
        <v>123636</v>
      </c>
      <c r="K38" s="26">
        <f>'Rate Class Energy Model'!M21</f>
        <v>123636</v>
      </c>
      <c r="L38" s="510">
        <f>'Rate Class Energy Model'!M71</f>
        <v>119334.39436616548</v>
      </c>
      <c r="M38" s="552">
        <f>'Rate Class Energy Model'!M73</f>
        <v>115182.4523499588</v>
      </c>
      <c r="N38" s="484">
        <v>1.5699999999999999E-2</v>
      </c>
      <c r="O38" s="555">
        <f>N38*L38</f>
        <v>1873.5499915487978</v>
      </c>
      <c r="P38" s="184">
        <v>1.6000000000000001E-3</v>
      </c>
      <c r="Q38" s="490">
        <f>P38*L38</f>
        <v>190.93503098586478</v>
      </c>
      <c r="R38" s="188"/>
      <c r="S38" s="163">
        <f>H38/$H$42</f>
        <v>2.1895477841349532E-3</v>
      </c>
      <c r="T38" s="548">
        <v>1.5699999999999999E-2</v>
      </c>
      <c r="U38" s="547">
        <f>M38*T38</f>
        <v>1808.364501894353</v>
      </c>
      <c r="V38" s="545">
        <v>1.6000000000000001E-3</v>
      </c>
      <c r="W38" s="547">
        <f>V38*M38</f>
        <v>184.29192375993409</v>
      </c>
      <c r="X38" s="542"/>
    </row>
    <row r="39" spans="1:28" x14ac:dyDescent="0.25">
      <c r="C39" s="22"/>
      <c r="E39" s="22"/>
      <c r="F39" s="22"/>
      <c r="G39" s="22"/>
      <c r="H39" s="22"/>
      <c r="I39" s="157"/>
      <c r="J39" s="157"/>
      <c r="K39" s="157"/>
      <c r="L39" s="157"/>
      <c r="M39" s="394"/>
      <c r="N39" s="180"/>
      <c r="O39" s="485">
        <f>SUM(O37:O38)</f>
        <v>4963.0699915487976</v>
      </c>
      <c r="P39" s="179"/>
      <c r="Q39" s="489">
        <f>SUM(Q37:Q38)</f>
        <v>495.8550309858648</v>
      </c>
      <c r="R39" s="179"/>
      <c r="T39" s="463"/>
      <c r="U39" s="486">
        <f>SUM(U37:U38)</f>
        <v>4897.8845018943521</v>
      </c>
      <c r="V39" s="55"/>
      <c r="W39" s="486">
        <f>SUM(W37:W38)</f>
        <v>489.21192375993411</v>
      </c>
      <c r="X39" s="542"/>
    </row>
    <row r="40" spans="1:28" ht="13" x14ac:dyDescent="0.3">
      <c r="A40" s="39" t="s">
        <v>11</v>
      </c>
      <c r="C40" s="22"/>
      <c r="E40" s="22"/>
      <c r="F40" s="22"/>
      <c r="G40" s="22"/>
      <c r="H40" s="22"/>
      <c r="I40" s="157"/>
      <c r="J40" s="157"/>
      <c r="K40" s="157"/>
      <c r="L40" s="157"/>
      <c r="M40" s="394"/>
      <c r="N40" s="180"/>
      <c r="O40" s="485"/>
      <c r="P40" s="157"/>
      <c r="Q40" s="486"/>
      <c r="R40" s="157"/>
      <c r="T40" s="463"/>
      <c r="U40" s="544"/>
      <c r="V40" s="55"/>
      <c r="W40" s="544"/>
      <c r="X40" s="542"/>
    </row>
    <row r="41" spans="1:28" ht="13" x14ac:dyDescent="0.3">
      <c r="A41" t="s">
        <v>40</v>
      </c>
      <c r="B41" s="26">
        <f t="shared" ref="B41:H41" si="2">B14+B18+B22+B27+B32+B37</f>
        <v>4392</v>
      </c>
      <c r="C41" s="26">
        <f t="shared" si="2"/>
        <v>4392</v>
      </c>
      <c r="D41" s="26">
        <f t="shared" si="2"/>
        <v>4383</v>
      </c>
      <c r="E41" s="26">
        <f t="shared" si="2"/>
        <v>4400</v>
      </c>
      <c r="F41" s="26">
        <f t="shared" si="2"/>
        <v>4399</v>
      </c>
      <c r="G41" s="26">
        <f t="shared" si="2"/>
        <v>4402</v>
      </c>
      <c r="H41" s="26">
        <f t="shared" si="2"/>
        <v>4395</v>
      </c>
      <c r="I41" s="26">
        <f t="shared" ref="I41:K41" si="3">I14+I18+I22+I27+I32+I37</f>
        <v>4399</v>
      </c>
      <c r="J41" s="26">
        <f t="shared" si="3"/>
        <v>4411</v>
      </c>
      <c r="K41" s="26">
        <f t="shared" si="3"/>
        <v>4417</v>
      </c>
      <c r="L41" s="510">
        <f>L14+L18+L22+L27+L32+L37</f>
        <v>4153.7506331479653</v>
      </c>
      <c r="M41" s="552">
        <f>M14+M18+M22+M27+M32+M37</f>
        <v>4154</v>
      </c>
      <c r="N41" s="180"/>
      <c r="O41" s="556">
        <f>O16+O20+O25+O30+O35+O39</f>
        <v>1631275.7864513523</v>
      </c>
      <c r="P41" s="183"/>
      <c r="Q41" s="491">
        <f>Q16+Q20+Q25+Q30+Q35+Q39</f>
        <v>161267.96876356297</v>
      </c>
      <c r="R41" s="183"/>
      <c r="T41" s="463"/>
      <c r="U41" s="487">
        <f>U16+U20+U25+U30+U35+U39</f>
        <v>1628207.8313942046</v>
      </c>
      <c r="V41" s="55"/>
      <c r="W41" s="487">
        <f>W16+W20+W25+W30+W35+W39</f>
        <v>160972.06296732172</v>
      </c>
      <c r="X41" s="542"/>
    </row>
    <row r="42" spans="1:28" x14ac:dyDescent="0.25">
      <c r="A42" t="s">
        <v>37</v>
      </c>
      <c r="B42" s="26">
        <f t="shared" ref="B42:H42" si="4">B15+B19+B23+B28+B33+B38</f>
        <v>60770606</v>
      </c>
      <c r="C42" s="26">
        <f t="shared" si="4"/>
        <v>61388101.75</v>
      </c>
      <c r="D42" s="26">
        <f t="shared" si="4"/>
        <v>60305436</v>
      </c>
      <c r="E42" s="26">
        <f t="shared" si="4"/>
        <v>61423308</v>
      </c>
      <c r="F42" s="26">
        <f t="shared" si="4"/>
        <v>61248309</v>
      </c>
      <c r="G42" s="26">
        <f t="shared" si="4"/>
        <v>58546499.379999995</v>
      </c>
      <c r="H42" s="26">
        <f t="shared" si="4"/>
        <v>56466454.350000001</v>
      </c>
      <c r="I42" s="26">
        <f t="shared" ref="I42:J42" si="5">I15+I19+I23+I28+I33+I38</f>
        <v>54872263.289999984</v>
      </c>
      <c r="J42" s="26">
        <f t="shared" si="5"/>
        <v>57121172.049999982</v>
      </c>
      <c r="K42" s="26">
        <f>K15+K19+K23+K28+K33+K38</f>
        <v>57482828.099999994</v>
      </c>
      <c r="L42" s="510">
        <f>L15+L19+L23+L28+L33+L38</f>
        <v>58878258.252924532</v>
      </c>
      <c r="M42" s="552">
        <f>M15+M19+M23+M28+M33+M38</f>
        <v>58677605.477582194</v>
      </c>
      <c r="N42" s="180"/>
      <c r="O42" s="26"/>
      <c r="P42" s="26"/>
      <c r="Q42" s="26"/>
      <c r="R42" s="26"/>
      <c r="T42" s="463"/>
      <c r="U42" s="55"/>
      <c r="V42" s="55"/>
      <c r="W42" s="55"/>
      <c r="X42" s="542"/>
    </row>
    <row r="43" spans="1:28" x14ac:dyDescent="0.25">
      <c r="A43" t="s">
        <v>39</v>
      </c>
      <c r="B43" s="26">
        <f t="shared" ref="B43:H43" si="6">B24+B29+B34</f>
        <v>45026</v>
      </c>
      <c r="C43" s="26">
        <f t="shared" si="6"/>
        <v>42089</v>
      </c>
      <c r="D43" s="26">
        <f t="shared" si="6"/>
        <v>44572</v>
      </c>
      <c r="E43" s="26">
        <f t="shared" si="6"/>
        <v>44606</v>
      </c>
      <c r="F43" s="26">
        <f t="shared" si="6"/>
        <v>41314</v>
      </c>
      <c r="G43" s="26">
        <f t="shared" si="6"/>
        <v>42327</v>
      </c>
      <c r="H43" s="26">
        <f t="shared" si="6"/>
        <v>42220.5</v>
      </c>
      <c r="I43" s="26">
        <f t="shared" ref="I43:K43" si="7">I24+I29+I34</f>
        <v>40421.919999999998</v>
      </c>
      <c r="J43" s="26">
        <f t="shared" si="7"/>
        <v>39465.72</v>
      </c>
      <c r="K43" s="26">
        <f t="shared" si="7"/>
        <v>38380.619999999995</v>
      </c>
      <c r="L43" s="510">
        <f t="shared" ref="L43:M43" si="8">L24+L29+L34</f>
        <v>39124.449683921048</v>
      </c>
      <c r="M43" s="552">
        <f t="shared" si="8"/>
        <v>39286.075893699366</v>
      </c>
      <c r="N43" s="180"/>
      <c r="O43" s="26"/>
      <c r="P43" s="26"/>
      <c r="Q43" s="185"/>
      <c r="R43" s="185"/>
      <c r="T43" s="463"/>
      <c r="U43" s="55"/>
      <c r="V43" s="55"/>
      <c r="W43" s="55"/>
      <c r="X43" s="542"/>
    </row>
    <row r="44" spans="1:28" x14ac:dyDescent="0.25">
      <c r="B44" s="6"/>
      <c r="C44" s="26"/>
      <c r="E44" s="106"/>
      <c r="F44" s="22"/>
      <c r="G44" s="22"/>
      <c r="H44" s="22"/>
      <c r="I44" s="157"/>
      <c r="J44" s="157"/>
      <c r="K44" s="157"/>
      <c r="L44" s="157"/>
      <c r="M44" s="394"/>
      <c r="N44" s="180"/>
      <c r="O44" s="489">
        <v>1648673</v>
      </c>
      <c r="P44" s="179"/>
      <c r="Q44" s="179"/>
      <c r="R44" s="179"/>
      <c r="T44" s="463"/>
      <c r="U44" s="55"/>
      <c r="V44" s="55"/>
      <c r="W44" s="55"/>
      <c r="X44" s="542"/>
    </row>
    <row r="45" spans="1:28" x14ac:dyDescent="0.25">
      <c r="B45" s="6">
        <f>'Rate Class Customer Model'!H6</f>
        <v>4392</v>
      </c>
      <c r="C45" s="26">
        <f>'Rate Class Customer Model'!H7</f>
        <v>4392</v>
      </c>
      <c r="D45" s="26">
        <f>'Rate Class Customer Model'!H8</f>
        <v>4383</v>
      </c>
      <c r="E45" s="26">
        <f>'Rate Class Customer Model'!H9</f>
        <v>4400</v>
      </c>
      <c r="F45" s="26">
        <f>'Rate Class Customer Model'!H10</f>
        <v>4399</v>
      </c>
      <c r="G45" s="26">
        <f>'Rate Class Customer Model'!H11</f>
        <v>4402</v>
      </c>
      <c r="H45" s="26">
        <f>'Rate Class Customer Model'!H12</f>
        <v>4395</v>
      </c>
      <c r="I45" s="26">
        <f>'Rate Class Customer Model'!H13</f>
        <v>4399</v>
      </c>
      <c r="J45" s="26">
        <f>'Rate Class Customer Model'!H14</f>
        <v>4411</v>
      </c>
      <c r="K45" s="26">
        <f>'Rate Class Customer Model'!H15</f>
        <v>4417</v>
      </c>
      <c r="L45" s="510">
        <f>'Rate Class Customer Model'!H16</f>
        <v>4153.7506331479653</v>
      </c>
      <c r="M45" s="552">
        <f>'Rate Class Customer Model'!H17</f>
        <v>4154</v>
      </c>
      <c r="N45" s="180"/>
      <c r="O45" s="486">
        <f>O44*1.01</f>
        <v>1665159.73</v>
      </c>
      <c r="P45" s="26"/>
      <c r="Q45" s="26"/>
      <c r="R45" s="26"/>
      <c r="S45">
        <v>2013</v>
      </c>
      <c r="T45" s="463"/>
      <c r="U45" s="55"/>
      <c r="V45" s="55"/>
      <c r="W45" s="55"/>
      <c r="X45" s="542"/>
    </row>
    <row r="46" spans="1:28" x14ac:dyDescent="0.25">
      <c r="B46" s="6">
        <f>'Rate Class Energy Model'!G12</f>
        <v>60770606</v>
      </c>
      <c r="C46" s="26">
        <f>'Rate Class Energy Model'!G13+'Rate Class Energy Model'!O13</f>
        <v>61388101.75</v>
      </c>
      <c r="D46" s="26">
        <f>'Rate Class Energy Model'!G14+'Rate Class Energy Model'!O14</f>
        <v>60305436</v>
      </c>
      <c r="E46" s="26">
        <f>'Rate Class Energy Model'!G15+'Rate Class Energy Model'!O15</f>
        <v>61423308</v>
      </c>
      <c r="F46" s="26">
        <f>'Rate Class Energy Model'!G16+'Rate Class Energy Model'!O16</f>
        <v>61248309</v>
      </c>
      <c r="G46" s="26">
        <f>'Rate Class Energy Model'!G17+'Rate Class Energy Model'!O17</f>
        <v>58546499.379999995</v>
      </c>
      <c r="H46" s="26">
        <f>'Rate Class Energy Model'!G18+'Rate Class Energy Model'!O18</f>
        <v>56466454.350000001</v>
      </c>
      <c r="I46" s="26">
        <f>'Rate Class Energy Model'!G19+'Rate Class Energy Model'!O19</f>
        <v>54872263.289999984</v>
      </c>
      <c r="J46" s="26">
        <f>'Rate Class Energy Model'!G20+'Rate Class Energy Model'!O20</f>
        <v>57121172.049999982</v>
      </c>
      <c r="K46" s="26">
        <f>'Rate Class Energy Model'!G21+'Rate Class Energy Model'!O21</f>
        <v>57482828.099999994</v>
      </c>
      <c r="L46" s="510">
        <f>'Rate Class Energy Model'!N71</f>
        <v>58878258.252924532</v>
      </c>
      <c r="M46" s="552">
        <f>'Rate Class Energy Model'!N73</f>
        <v>58677605.477582194</v>
      </c>
      <c r="N46" s="180"/>
      <c r="O46" s="486">
        <f>O45*1.01</f>
        <v>1681811.3273</v>
      </c>
      <c r="P46" s="26"/>
      <c r="Q46" s="26"/>
      <c r="R46" s="26"/>
      <c r="S46">
        <v>2014</v>
      </c>
      <c r="T46" s="463"/>
      <c r="U46" s="55"/>
      <c r="V46" s="55"/>
      <c r="W46" s="55"/>
      <c r="X46" s="542"/>
    </row>
    <row r="47" spans="1:28" ht="13" thickBot="1" x14ac:dyDescent="0.3">
      <c r="B47" s="6">
        <f>'Rate Class Load Model'!E5</f>
        <v>45026</v>
      </c>
      <c r="C47" s="26">
        <f>'Rate Class Load Model'!E6</f>
        <v>42089</v>
      </c>
      <c r="D47" s="26">
        <f>'Rate Class Load Model'!E7</f>
        <v>44572</v>
      </c>
      <c r="E47" s="26">
        <f>'Rate Class Load Model'!E8</f>
        <v>44606</v>
      </c>
      <c r="F47" s="26">
        <f>'Rate Class Load Model'!E9</f>
        <v>41314</v>
      </c>
      <c r="G47" s="26">
        <f>'Rate Class Load Model'!E10</f>
        <v>42327</v>
      </c>
      <c r="H47" s="26">
        <f>'Rate Class Load Model'!E11</f>
        <v>42220.5</v>
      </c>
      <c r="I47" s="26">
        <f>'Rate Class Load Model'!E12</f>
        <v>40421.919999999998</v>
      </c>
      <c r="J47" s="26">
        <f>'Rate Class Load Model'!E13</f>
        <v>39465.72</v>
      </c>
      <c r="K47" s="26">
        <f>'Rate Class Load Model'!E14</f>
        <v>38380.619999999995</v>
      </c>
      <c r="L47" s="510">
        <f>'Rate Class Load Model'!E15</f>
        <v>39124.154914573948</v>
      </c>
      <c r="M47" s="552">
        <f>'Rate Class Load Model'!E16</f>
        <v>39286.075893699366</v>
      </c>
      <c r="N47" s="180"/>
      <c r="O47" s="486">
        <f>O46*1.01</f>
        <v>1698629.4405730001</v>
      </c>
      <c r="P47" s="26"/>
      <c r="Q47" s="26"/>
      <c r="R47" s="26"/>
      <c r="S47">
        <v>2015</v>
      </c>
      <c r="T47" s="464"/>
      <c r="U47" s="465"/>
      <c r="V47" s="465"/>
      <c r="W47" s="465"/>
      <c r="X47" s="550"/>
    </row>
    <row r="48" spans="1:28" x14ac:dyDescent="0.25">
      <c r="C48" s="22"/>
      <c r="E48" s="31"/>
      <c r="M48" s="624"/>
    </row>
    <row r="49" spans="1:18" x14ac:dyDescent="0.25">
      <c r="A49" s="102" t="s">
        <v>22</v>
      </c>
      <c r="C49"/>
      <c r="D49"/>
      <c r="M49" s="624"/>
    </row>
    <row r="50" spans="1:18" x14ac:dyDescent="0.25">
      <c r="A50" t="s">
        <v>40</v>
      </c>
      <c r="B50" s="6">
        <f t="shared" ref="B50:H50" si="9">B41-B45</f>
        <v>0</v>
      </c>
      <c r="C50" s="6">
        <f t="shared" si="9"/>
        <v>0</v>
      </c>
      <c r="D50" s="6">
        <f t="shared" si="9"/>
        <v>0</v>
      </c>
      <c r="E50" s="6">
        <f t="shared" si="9"/>
        <v>0</v>
      </c>
      <c r="F50" s="26">
        <f t="shared" si="9"/>
        <v>0</v>
      </c>
      <c r="G50" s="26">
        <f t="shared" si="9"/>
        <v>0</v>
      </c>
      <c r="H50" s="26">
        <f t="shared" si="9"/>
        <v>0</v>
      </c>
      <c r="I50" s="26">
        <f t="shared" ref="I50:K50" si="10">I41-I45</f>
        <v>0</v>
      </c>
      <c r="J50" s="26">
        <f t="shared" si="10"/>
        <v>0</v>
      </c>
      <c r="K50" s="26">
        <f t="shared" si="10"/>
        <v>0</v>
      </c>
      <c r="L50" s="26">
        <f t="shared" ref="L50:M50" si="11">L41-L45</f>
        <v>0</v>
      </c>
      <c r="M50" s="394">
        <f t="shared" si="11"/>
        <v>0</v>
      </c>
      <c r="N50" s="180"/>
      <c r="O50" s="26"/>
      <c r="P50" s="26"/>
      <c r="Q50" s="26"/>
      <c r="R50" s="26"/>
    </row>
    <row r="51" spans="1:18" x14ac:dyDescent="0.25">
      <c r="A51" t="s">
        <v>37</v>
      </c>
      <c r="B51" s="6">
        <f t="shared" ref="B51:H51" si="12">B42-B46</f>
        <v>0</v>
      </c>
      <c r="C51" s="6">
        <f t="shared" si="12"/>
        <v>0</v>
      </c>
      <c r="D51" s="6">
        <f t="shared" si="12"/>
        <v>0</v>
      </c>
      <c r="E51" s="6">
        <f t="shared" si="12"/>
        <v>0</v>
      </c>
      <c r="F51" s="26">
        <f t="shared" si="12"/>
        <v>0</v>
      </c>
      <c r="G51" s="26">
        <f t="shared" si="12"/>
        <v>0</v>
      </c>
      <c r="H51" s="26">
        <f t="shared" si="12"/>
        <v>0</v>
      </c>
      <c r="I51" s="26">
        <f t="shared" ref="I51:K51" si="13">I42-I46</f>
        <v>0</v>
      </c>
      <c r="J51" s="26">
        <f t="shared" si="13"/>
        <v>0</v>
      </c>
      <c r="K51" s="26">
        <f t="shared" si="13"/>
        <v>0</v>
      </c>
      <c r="L51" s="26">
        <f t="shared" ref="L51:M51" si="14">L42-L46</f>
        <v>0</v>
      </c>
      <c r="M51" s="394">
        <f t="shared" si="14"/>
        <v>0</v>
      </c>
      <c r="N51" s="180"/>
      <c r="O51" s="26"/>
      <c r="P51" s="26"/>
      <c r="Q51" s="26"/>
      <c r="R51" s="26"/>
    </row>
    <row r="52" spans="1:18" x14ac:dyDescent="0.25">
      <c r="A52" t="s">
        <v>39</v>
      </c>
      <c r="B52" s="6">
        <f t="shared" ref="B52:L52" si="15">B43-B47</f>
        <v>0</v>
      </c>
      <c r="C52" s="6">
        <f t="shared" si="15"/>
        <v>0</v>
      </c>
      <c r="D52" s="6">
        <f t="shared" si="15"/>
        <v>0</v>
      </c>
      <c r="E52" s="6">
        <f t="shared" si="15"/>
        <v>0</v>
      </c>
      <c r="F52" s="26">
        <f t="shared" si="15"/>
        <v>0</v>
      </c>
      <c r="G52" s="26">
        <f t="shared" si="15"/>
        <v>0</v>
      </c>
      <c r="H52" s="26">
        <f t="shared" si="15"/>
        <v>0</v>
      </c>
      <c r="I52" s="26">
        <f t="shared" ref="I52:K52" si="16">I43-I47</f>
        <v>0</v>
      </c>
      <c r="J52" s="26">
        <f t="shared" si="16"/>
        <v>0</v>
      </c>
      <c r="K52" s="26">
        <f t="shared" si="16"/>
        <v>0</v>
      </c>
      <c r="L52" s="26">
        <f t="shared" si="15"/>
        <v>0.29476934709964553</v>
      </c>
      <c r="M52" s="394">
        <f t="shared" ref="M52" si="17">M43-M47</f>
        <v>0</v>
      </c>
      <c r="N52" s="180"/>
      <c r="O52" s="26"/>
      <c r="P52" s="26"/>
      <c r="Q52" s="26"/>
      <c r="R52" s="26"/>
    </row>
    <row r="53" spans="1:18" x14ac:dyDescent="0.25">
      <c r="C53"/>
      <c r="D53"/>
      <c r="M53" s="624"/>
      <c r="Q53" s="111"/>
    </row>
    <row r="54" spans="1:18" x14ac:dyDescent="0.25">
      <c r="C54"/>
      <c r="D54"/>
      <c r="M54" s="624"/>
    </row>
    <row r="55" spans="1:18" x14ac:dyDescent="0.25">
      <c r="B55" s="481">
        <f>B14+B18+B22+B27+B37+2</f>
        <v>3349</v>
      </c>
      <c r="C55" s="481">
        <f t="shared" ref="C55:K55" si="18">C14+C18+C22+C27+C37+2</f>
        <v>3346</v>
      </c>
      <c r="D55" s="481">
        <f t="shared" si="18"/>
        <v>3337</v>
      </c>
      <c r="E55" s="481">
        <f t="shared" si="18"/>
        <v>3338</v>
      </c>
      <c r="F55" s="481">
        <f t="shared" si="18"/>
        <v>3337</v>
      </c>
      <c r="G55" s="481">
        <f t="shared" si="18"/>
        <v>3340</v>
      </c>
      <c r="H55" s="481">
        <f t="shared" si="18"/>
        <v>3332</v>
      </c>
      <c r="I55" s="481">
        <f t="shared" si="18"/>
        <v>3336</v>
      </c>
      <c r="J55" s="481">
        <f t="shared" si="18"/>
        <v>3351</v>
      </c>
      <c r="K55" s="481">
        <f t="shared" si="18"/>
        <v>3357</v>
      </c>
      <c r="L55" s="481">
        <f>L14+L18+L22+L27+L37+2</f>
        <v>3356.7506331479653</v>
      </c>
      <c r="M55" s="625">
        <f>M14+M18+M22+M27+M37+2</f>
        <v>3357</v>
      </c>
    </row>
    <row r="56" spans="1:18" x14ac:dyDescent="0.25">
      <c r="C56"/>
      <c r="D56"/>
    </row>
    <row r="57" spans="1:18" x14ac:dyDescent="0.25">
      <c r="C57"/>
      <c r="D57"/>
    </row>
    <row r="58" spans="1:18" x14ac:dyDescent="0.25">
      <c r="B58" s="1" t="s">
        <v>275</v>
      </c>
      <c r="C58" s="53">
        <v>62249997</v>
      </c>
      <c r="D58" s="496">
        <v>4410</v>
      </c>
    </row>
    <row r="59" spans="1:18" x14ac:dyDescent="0.25">
      <c r="B59" s="1" t="s">
        <v>276</v>
      </c>
      <c r="C59" s="494">
        <f>L42</f>
        <v>58878258.252924532</v>
      </c>
      <c r="D59" s="497">
        <f>M41</f>
        <v>4154</v>
      </c>
    </row>
    <row r="60" spans="1:18" x14ac:dyDescent="0.25">
      <c r="C60" s="53">
        <f>C59-C58</f>
        <v>-3371738.7470754683</v>
      </c>
      <c r="D60">
        <f>D59-D58</f>
        <v>-256</v>
      </c>
    </row>
    <row r="61" spans="1:18" x14ac:dyDescent="0.25">
      <c r="C61" s="495">
        <f>C60/C58</f>
        <v>-5.4164480475002566E-2</v>
      </c>
      <c r="D61" s="495">
        <f>D60/D58</f>
        <v>-5.8049886621315196E-2</v>
      </c>
    </row>
    <row r="62" spans="1:18" x14ac:dyDescent="0.25">
      <c r="C62"/>
      <c r="D62"/>
    </row>
    <row r="63" spans="1:18" x14ac:dyDescent="0.25">
      <c r="C63"/>
      <c r="D63"/>
    </row>
    <row r="64" spans="1:18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  <row r="80" spans="3:4" x14ac:dyDescent="0.25">
      <c r="C80"/>
      <c r="D80"/>
    </row>
    <row r="81" spans="3:4" x14ac:dyDescent="0.25">
      <c r="C81"/>
      <c r="D81"/>
    </row>
    <row r="82" spans="3:4" x14ac:dyDescent="0.25">
      <c r="C82"/>
      <c r="D82"/>
    </row>
    <row r="83" spans="3:4" x14ac:dyDescent="0.25">
      <c r="C83"/>
      <c r="D83"/>
    </row>
    <row r="84" spans="3:4" x14ac:dyDescent="0.25">
      <c r="C84"/>
      <c r="D84"/>
    </row>
    <row r="85" spans="3:4" x14ac:dyDescent="0.25">
      <c r="C85"/>
      <c r="D85"/>
    </row>
    <row r="86" spans="3:4" x14ac:dyDescent="0.25">
      <c r="C86"/>
      <c r="D86"/>
    </row>
    <row r="87" spans="3:4" x14ac:dyDescent="0.25">
      <c r="C87"/>
      <c r="D87"/>
    </row>
    <row r="88" spans="3:4" x14ac:dyDescent="0.25">
      <c r="C88"/>
      <c r="D88"/>
    </row>
    <row r="89" spans="3:4" x14ac:dyDescent="0.25">
      <c r="C89"/>
      <c r="D89"/>
    </row>
    <row r="90" spans="3:4" x14ac:dyDescent="0.25">
      <c r="C90"/>
      <c r="D90"/>
    </row>
    <row r="91" spans="3:4" x14ac:dyDescent="0.25">
      <c r="C91"/>
      <c r="D91"/>
    </row>
  </sheetData>
  <customSheetViews>
    <customSheetView guid="{7481AE0E-2D6B-416C-8D95-7DAA8CA7C9F5}" scale="90" showPageBreaks="1" fitToPage="1" printArea="1">
      <pane xSplit="1" ySplit="3" topLeftCell="B40" activePane="bottomRight" state="frozen"/>
      <selection pane="bottomRight" activeCell="E60" sqref="E60"/>
      <pageMargins left="0.38" right="0.75" top="0.73" bottom="0.74" header="0.5" footer="0.5"/>
      <pageSetup scale="62" orientation="landscape" horizontalDpi="4294967293" verticalDpi="300" r:id="rId1"/>
      <headerFooter alignWithMargins="0">
        <oddFooter>&amp;L&amp;Z&amp;F</oddFooter>
      </headerFooter>
    </customSheetView>
    <customSheetView guid="{4115F855-0BCB-4789-890B-F67D0AF20543}" scale="90" fitToPage="1">
      <pane xSplit="1" ySplit="3" topLeftCell="F7" activePane="bottomRight" state="frozen"/>
      <selection pane="bottomRight" activeCell="O11" sqref="O11"/>
      <pageMargins left="0.38" right="0.75" top="0.73" bottom="0.74" header="0.5" footer="0.5"/>
      <pageSetup scale="36" orientation="landscape" verticalDpi="300" r:id="rId2"/>
      <headerFooter alignWithMargins="0">
        <oddFooter>&amp;L&amp;Z&amp;F</oddFooter>
      </headerFooter>
    </customSheetView>
    <customSheetView guid="{DE47F5DD-3736-469D-8704-852547698004}" showPageBreaks="1" fitToPage="1">
      <pane xSplit="1" ySplit="3" topLeftCell="T32" activePane="bottomRight" state="frozen"/>
      <selection pane="bottomRight" activeCell="U38" sqref="U38"/>
      <pageMargins left="0.38" right="0.75" top="0.73" bottom="0.74" header="0.5" footer="0.5"/>
      <pageSetup scale="32" orientation="landscape" verticalDpi="300" r:id="rId3"/>
      <headerFooter alignWithMargins="0">
        <oddFooter>&amp;L&amp;Z&amp;F</oddFooter>
      </headerFooter>
    </customSheetView>
  </customSheetViews>
  <phoneticPr fontId="0" type="noConversion"/>
  <pageMargins left="0.38" right="0.75" top="0.73" bottom="0.74" header="0.5" footer="0.5"/>
  <pageSetup scale="32" orientation="landscape" horizontalDpi="300" verticalDpi="300" r:id="rId4"/>
  <headerFooter alignWithMargins="0">
    <oddFooter>2</oddFooter>
  </headerFooter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2:R220"/>
  <sheetViews>
    <sheetView zoomScale="90" zoomScaleNormal="90" workbookViewId="0">
      <pane xSplit="1" ySplit="2" topLeftCell="E55" activePane="bottomRight" state="frozen"/>
      <selection pane="topRight" activeCell="B1" sqref="B1"/>
      <selection pane="bottomLeft" activeCell="A3" sqref="A3"/>
      <selection pane="bottomRight" activeCell="J75" sqref="J75"/>
    </sheetView>
  </sheetViews>
  <sheetFormatPr defaultRowHeight="12.5" x14ac:dyDescent="0.25"/>
  <cols>
    <col min="1" max="1" width="28.54296875" customWidth="1"/>
    <col min="2" max="4" width="18" style="1" customWidth="1"/>
    <col min="5" max="5" width="19.08984375" style="1" customWidth="1"/>
    <col min="6" max="6" width="15.6328125" style="1" customWidth="1"/>
    <col min="7" max="7" width="15.6328125" style="6" customWidth="1"/>
    <col min="8" max="8" width="15" style="6" customWidth="1"/>
    <col min="9" max="10" width="14.08984375" style="6" bestFit="1" customWidth="1"/>
    <col min="11" max="11" width="14.6328125" style="6" customWidth="1"/>
    <col min="12" max="13" width="12.54296875" style="6" customWidth="1"/>
    <col min="14" max="14" width="12.6328125" style="6" bestFit="1" customWidth="1"/>
    <col min="15" max="15" width="11.6328125" style="6" bestFit="1" customWidth="1"/>
    <col min="16" max="16" width="10.6328125" style="6" bestFit="1" customWidth="1"/>
    <col min="17" max="17" width="10.08984375" style="6" bestFit="1" customWidth="1"/>
    <col min="18" max="18" width="11.08984375" style="6" bestFit="1" customWidth="1"/>
  </cols>
  <sheetData>
    <row r="2" spans="1:18" ht="25" x14ac:dyDescent="0.25">
      <c r="B2" s="2" t="s">
        <v>8</v>
      </c>
      <c r="C2" s="2" t="s">
        <v>9</v>
      </c>
      <c r="D2" s="2" t="s">
        <v>30</v>
      </c>
      <c r="E2" s="2" t="s">
        <v>10</v>
      </c>
      <c r="F2" s="478" t="s">
        <v>270</v>
      </c>
      <c r="G2" s="7" t="s">
        <v>269</v>
      </c>
      <c r="H2" s="45" t="s">
        <v>103</v>
      </c>
      <c r="I2" s="158" t="s">
        <v>104</v>
      </c>
      <c r="J2" s="158" t="s">
        <v>105</v>
      </c>
      <c r="K2" s="158" t="s">
        <v>107</v>
      </c>
      <c r="L2" s="108" t="s">
        <v>47</v>
      </c>
      <c r="M2" s="108" t="s">
        <v>106</v>
      </c>
      <c r="O2" s="112"/>
    </row>
    <row r="4" spans="1:18" x14ac:dyDescent="0.25">
      <c r="A4" s="17"/>
      <c r="B4" s="37" t="s">
        <v>102</v>
      </c>
    </row>
    <row r="5" spans="1:18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7" spans="1:18" x14ac:dyDescent="0.25">
      <c r="B7" s="6"/>
      <c r="C7" s="6"/>
      <c r="D7" s="33"/>
      <c r="E7" s="5"/>
    </row>
    <row r="8" spans="1:18" x14ac:dyDescent="0.25">
      <c r="B8" s="6"/>
      <c r="C8" s="6"/>
      <c r="D8" s="33"/>
      <c r="E8" s="5"/>
    </row>
    <row r="9" spans="1:18" x14ac:dyDescent="0.25">
      <c r="B9" s="6"/>
      <c r="C9" s="6"/>
      <c r="D9" s="33"/>
      <c r="E9" s="5"/>
    </row>
    <row r="10" spans="1:18" x14ac:dyDescent="0.25">
      <c r="B10" s="6"/>
      <c r="C10" s="6"/>
      <c r="D10" s="33"/>
      <c r="E10" s="5"/>
      <c r="F10" s="23"/>
    </row>
    <row r="11" spans="1:18" x14ac:dyDescent="0.25">
      <c r="B11" s="6"/>
      <c r="C11" s="6"/>
      <c r="D11" s="33"/>
      <c r="E11" s="5"/>
      <c r="F11" s="23"/>
      <c r="G11" s="26"/>
    </row>
    <row r="12" spans="1:18" x14ac:dyDescent="0.25">
      <c r="A12">
        <f>'Purchased Power Model'!A149</f>
        <v>2010</v>
      </c>
      <c r="B12" s="6">
        <f>'Purchased Power Model'!B149</f>
        <v>64797090.100000001</v>
      </c>
      <c r="C12" s="6">
        <f>'Purchased Power Model'!K149</f>
        <v>61581067.223135889</v>
      </c>
      <c r="D12" s="33">
        <f t="shared" ref="D12:D21" si="0">C12-B12</f>
        <v>-3216022.8768641129</v>
      </c>
      <c r="E12" s="5">
        <f t="shared" ref="E12:E21" si="1">D12/B12</f>
        <v>-4.9632211445003037E-2</v>
      </c>
      <c r="F12" s="23">
        <f t="shared" ref="F12:F21" si="2">1 +(B12-G12)/G12</f>
        <v>1.0662570996905971</v>
      </c>
      <c r="G12" s="26">
        <f t="shared" ref="G12:G20" si="3">SUM(H12:M12)</f>
        <v>60770606</v>
      </c>
      <c r="H12" s="35">
        <v>31226253</v>
      </c>
      <c r="I12" s="35">
        <v>11572990</v>
      </c>
      <c r="J12" s="35">
        <v>17160375</v>
      </c>
      <c r="K12" s="35">
        <v>25100</v>
      </c>
      <c r="L12" s="35">
        <v>615845</v>
      </c>
      <c r="M12" s="35">
        <v>170043</v>
      </c>
    </row>
    <row r="13" spans="1:18" x14ac:dyDescent="0.25">
      <c r="A13">
        <f>'Purchased Power Model'!A150</f>
        <v>2011</v>
      </c>
      <c r="B13" s="6">
        <f>'Purchased Power Model'!B150</f>
        <v>66398183.261319995</v>
      </c>
      <c r="C13" s="26">
        <f>'Purchased Power Model'!K150</f>
        <v>62738096.736301839</v>
      </c>
      <c r="D13" s="33">
        <f t="shared" si="0"/>
        <v>-3660086.5250181556</v>
      </c>
      <c r="E13" s="5">
        <f t="shared" si="1"/>
        <v>-5.51232932174264E-2</v>
      </c>
      <c r="F13" s="23">
        <f t="shared" si="2"/>
        <v>1.081613233973634</v>
      </c>
      <c r="G13" s="26">
        <f t="shared" si="3"/>
        <v>61388101.75</v>
      </c>
      <c r="H13" s="63">
        <v>31700917.039999999</v>
      </c>
      <c r="I13" s="63">
        <v>11929201.25</v>
      </c>
      <c r="J13" s="63">
        <v>16948662.530000001</v>
      </c>
      <c r="K13" s="63">
        <v>25877</v>
      </c>
      <c r="L13" s="63">
        <v>613577.35</v>
      </c>
      <c r="M13" s="63">
        <v>169866.58</v>
      </c>
    </row>
    <row r="14" spans="1:18" x14ac:dyDescent="0.25">
      <c r="A14">
        <f>'Purchased Power Model'!A151</f>
        <v>2012</v>
      </c>
      <c r="B14" s="6">
        <f>'Purchased Power Model'!B151</f>
        <v>63284544.89452</v>
      </c>
      <c r="C14" s="26">
        <f>'Purchased Power Model'!K151</f>
        <v>61624254.163418382</v>
      </c>
      <c r="D14" s="33">
        <f t="shared" si="0"/>
        <v>-1660290.7311016172</v>
      </c>
      <c r="E14" s="5">
        <f t="shared" si="1"/>
        <v>-2.623532702761661E-2</v>
      </c>
      <c r="F14" s="23">
        <f t="shared" si="2"/>
        <v>1.0494003375503329</v>
      </c>
      <c r="G14" s="26">
        <f t="shared" si="3"/>
        <v>60305436</v>
      </c>
      <c r="H14" s="63">
        <v>30758632</v>
      </c>
      <c r="I14" s="63">
        <v>11730167</v>
      </c>
      <c r="J14" s="63">
        <v>17041535</v>
      </c>
      <c r="K14" s="63">
        <v>25725</v>
      </c>
      <c r="L14" s="63">
        <v>618217</v>
      </c>
      <c r="M14" s="63">
        <v>131160</v>
      </c>
    </row>
    <row r="15" spans="1:18" x14ac:dyDescent="0.25">
      <c r="A15">
        <f>'Purchased Power Model'!A152</f>
        <v>2013</v>
      </c>
      <c r="B15" s="6">
        <f>'Purchased Power Model'!B152</f>
        <v>63602962.210319996</v>
      </c>
      <c r="C15" s="26">
        <f>'Purchased Power Model'!K152</f>
        <v>62892003.896134011</v>
      </c>
      <c r="D15" s="33">
        <f t="shared" si="0"/>
        <v>-710958.31418598443</v>
      </c>
      <c r="E15" s="5">
        <f t="shared" si="1"/>
        <v>-1.1178069220031183E-2</v>
      </c>
      <c r="F15" s="23">
        <f t="shared" si="2"/>
        <v>1.0354857835126692</v>
      </c>
      <c r="G15" s="26">
        <f t="shared" si="3"/>
        <v>61423308</v>
      </c>
      <c r="H15" s="63">
        <v>32605812</v>
      </c>
      <c r="I15" s="63">
        <v>11192454</v>
      </c>
      <c r="J15" s="63">
        <v>16850053</v>
      </c>
      <c r="K15" s="63">
        <v>25771</v>
      </c>
      <c r="L15" s="63">
        <v>617088</v>
      </c>
      <c r="M15" s="63">
        <v>132130</v>
      </c>
    </row>
    <row r="16" spans="1:18" x14ac:dyDescent="0.25">
      <c r="A16">
        <f>'Purchased Power Model'!A153</f>
        <v>2014</v>
      </c>
      <c r="B16" s="6">
        <f>'Purchased Power Model'!B153</f>
        <v>65352027.278520003</v>
      </c>
      <c r="C16" s="26">
        <f>'Purchased Power Model'!K153</f>
        <v>64340113.997318804</v>
      </c>
      <c r="D16" s="33">
        <f t="shared" si="0"/>
        <v>-1011913.2812011987</v>
      </c>
      <c r="E16" s="5">
        <f t="shared" si="1"/>
        <v>-1.5484038113899427E-2</v>
      </c>
      <c r="F16" s="23">
        <f t="shared" si="2"/>
        <v>1.0670013318819953</v>
      </c>
      <c r="G16" s="26">
        <f t="shared" si="3"/>
        <v>61248309</v>
      </c>
      <c r="H16" s="63">
        <v>32890577</v>
      </c>
      <c r="I16" s="63">
        <v>10747812</v>
      </c>
      <c r="J16" s="63">
        <v>17091907</v>
      </c>
      <c r="K16" s="63">
        <v>25771</v>
      </c>
      <c r="L16" s="63">
        <v>368606</v>
      </c>
      <c r="M16" s="63">
        <v>123636</v>
      </c>
    </row>
    <row r="17" spans="1:18" x14ac:dyDescent="0.25">
      <c r="A17">
        <f>'Purchased Power Model'!A154</f>
        <v>2015</v>
      </c>
      <c r="B17" s="6">
        <f>'Purchased Power Model'!B154</f>
        <v>61104721.271502577</v>
      </c>
      <c r="C17" s="26">
        <f>'Purchased Power Model'!K154</f>
        <v>63174013.199874789</v>
      </c>
      <c r="D17" s="33">
        <f t="shared" si="0"/>
        <v>2069291.9283722118</v>
      </c>
      <c r="E17" s="5">
        <f t="shared" si="1"/>
        <v>3.3864681571459325E-2</v>
      </c>
      <c r="F17" s="23">
        <f t="shared" si="2"/>
        <v>1.043695556841038</v>
      </c>
      <c r="G17" s="26">
        <f>SUM(H17:M17)</f>
        <v>58546499.379999995</v>
      </c>
      <c r="H17" s="63">
        <v>30963982.239999995</v>
      </c>
      <c r="I17" s="63">
        <v>10393804.160000002</v>
      </c>
      <c r="J17" s="63">
        <v>16669657.210000003</v>
      </c>
      <c r="K17" s="63">
        <v>24668.039999999997</v>
      </c>
      <c r="L17" s="63">
        <v>370751.73000000004</v>
      </c>
      <c r="M17" s="63">
        <v>123636</v>
      </c>
    </row>
    <row r="18" spans="1:18" x14ac:dyDescent="0.25">
      <c r="A18">
        <f>'Purchased Power Model'!A155</f>
        <v>2016</v>
      </c>
      <c r="B18" s="6">
        <f>'Purchased Power Model'!B155</f>
        <v>59794103.869807422</v>
      </c>
      <c r="C18" s="26">
        <f>'Purchased Power Model'!K155</f>
        <v>62605890.315318771</v>
      </c>
      <c r="D18" s="33">
        <f t="shared" si="0"/>
        <v>2811786.4455113485</v>
      </c>
      <c r="E18" s="5">
        <f t="shared" si="1"/>
        <v>4.7024476721544091E-2</v>
      </c>
      <c r="F18" s="23">
        <f>1 +(B18-G18)/G18</f>
        <v>1.0589314409433506</v>
      </c>
      <c r="G18" s="26">
        <f t="shared" si="3"/>
        <v>56466454.350000001</v>
      </c>
      <c r="H18" s="63">
        <v>29475507.110000003</v>
      </c>
      <c r="I18" s="63">
        <v>10122402.630000001</v>
      </c>
      <c r="J18" s="63">
        <v>16378057.41</v>
      </c>
      <c r="K18" s="63">
        <v>24566.399999999994</v>
      </c>
      <c r="L18" s="63">
        <v>342284.79999999999</v>
      </c>
      <c r="M18" s="63">
        <v>123636</v>
      </c>
    </row>
    <row r="19" spans="1:18" x14ac:dyDescent="0.25">
      <c r="A19">
        <v>2017</v>
      </c>
      <c r="B19" s="451">
        <f>'Purchased Power Model'!B156</f>
        <v>59491334.831652001</v>
      </c>
      <c r="C19" s="26">
        <f>'Purchased Power Model'!K156</f>
        <v>62123262.01324112</v>
      </c>
      <c r="D19" s="33">
        <f t="shared" si="0"/>
        <v>2631927.1815891191</v>
      </c>
      <c r="E19" s="5">
        <f t="shared" si="1"/>
        <v>4.4240513161066586E-2</v>
      </c>
      <c r="F19" s="23">
        <f t="shared" si="2"/>
        <v>1.0841786225809606</v>
      </c>
      <c r="G19" s="26">
        <f t="shared" si="3"/>
        <v>54872263.289999984</v>
      </c>
      <c r="H19" s="63">
        <v>28877055.70999999</v>
      </c>
      <c r="I19" s="63">
        <v>9915384.9499999993</v>
      </c>
      <c r="J19" s="63">
        <v>15590914.83</v>
      </c>
      <c r="K19" s="63">
        <v>24235</v>
      </c>
      <c r="L19" s="63">
        <v>341036.79999999999</v>
      </c>
      <c r="M19" s="63">
        <v>123636</v>
      </c>
    </row>
    <row r="20" spans="1:18" s="362" customFormat="1" x14ac:dyDescent="0.25">
      <c r="A20" s="362">
        <v>2018</v>
      </c>
      <c r="B20" s="451">
        <f>'Purchased Power Model'!B157</f>
        <v>61810132.542415701</v>
      </c>
      <c r="C20" s="26">
        <f>'Purchased Power Model'!K157</f>
        <v>63845097.46661216</v>
      </c>
      <c r="D20" s="33">
        <f t="shared" si="0"/>
        <v>2034964.9241964594</v>
      </c>
      <c r="E20" s="5">
        <f t="shared" si="1"/>
        <v>3.2922837089857625E-2</v>
      </c>
      <c r="F20" s="23">
        <f t="shared" si="2"/>
        <v>1.0820879601054285</v>
      </c>
      <c r="G20" s="26">
        <f t="shared" si="3"/>
        <v>57121172.049999982</v>
      </c>
      <c r="H20" s="63">
        <v>31054130.409999982</v>
      </c>
      <c r="I20" s="63">
        <v>10221049.75</v>
      </c>
      <c r="J20" s="63">
        <v>15357083.889999999</v>
      </c>
      <c r="K20" s="63">
        <v>24235.199999999997</v>
      </c>
      <c r="L20" s="63">
        <v>341036.79999999999</v>
      </c>
      <c r="M20" s="63">
        <v>123636</v>
      </c>
      <c r="N20" s="451"/>
      <c r="O20" s="451"/>
      <c r="P20" s="451"/>
      <c r="Q20" s="451"/>
      <c r="R20" s="451"/>
    </row>
    <row r="21" spans="1:18" s="362" customFormat="1" x14ac:dyDescent="0.25">
      <c r="A21" s="362">
        <v>2019</v>
      </c>
      <c r="B21" s="451">
        <f>'Purchased Power Model'!B158</f>
        <v>62050760.909142859</v>
      </c>
      <c r="C21" s="26">
        <f>'Purchased Power Model'!K158</f>
        <v>62762062.157844543</v>
      </c>
      <c r="D21" s="33">
        <f t="shared" si="0"/>
        <v>711301.24870168418</v>
      </c>
      <c r="E21" s="5">
        <f t="shared" si="1"/>
        <v>1.1463215571896035E-2</v>
      </c>
      <c r="F21" s="480">
        <f t="shared" si="2"/>
        <v>1.0794660416010893</v>
      </c>
      <c r="G21" s="26">
        <f>SUM(H21:M21)</f>
        <v>57482828.099999994</v>
      </c>
      <c r="H21" s="63">
        <v>31777563.039999995</v>
      </c>
      <c r="I21" s="63">
        <v>10266815.940000001</v>
      </c>
      <c r="J21" s="63">
        <v>14949541.120000001</v>
      </c>
      <c r="K21" s="63">
        <v>24235.199999999997</v>
      </c>
      <c r="L21" s="63">
        <v>341036.79999999999</v>
      </c>
      <c r="M21" s="63">
        <v>123636</v>
      </c>
      <c r="N21" s="451"/>
      <c r="O21" s="451"/>
      <c r="P21" s="451"/>
      <c r="Q21" s="451"/>
      <c r="R21" s="451"/>
    </row>
    <row r="22" spans="1:18" s="362" customFormat="1" x14ac:dyDescent="0.25">
      <c r="A22" s="362">
        <v>2020</v>
      </c>
      <c r="B22" s="451">
        <f>'Purchased Power Model'!B159</f>
        <v>0</v>
      </c>
      <c r="C22" s="26">
        <f>'Purchased Power Model'!K159</f>
        <v>62840765.033346348</v>
      </c>
      <c r="D22" s="33"/>
      <c r="E22" s="5"/>
      <c r="F22" s="157"/>
      <c r="G22" s="26">
        <f>C22/F27</f>
        <v>58878258.252924532</v>
      </c>
      <c r="H22" s="26"/>
      <c r="I22" s="26"/>
      <c r="J22" s="26"/>
      <c r="K22" s="26"/>
      <c r="L22" s="26"/>
      <c r="M22" s="26"/>
      <c r="N22" s="451"/>
      <c r="O22" s="451"/>
      <c r="P22" s="451"/>
      <c r="Q22" s="451"/>
      <c r="R22" s="451"/>
    </row>
    <row r="23" spans="1:18" s="362" customFormat="1" x14ac:dyDescent="0.25">
      <c r="A23" s="362">
        <v>2021</v>
      </c>
      <c r="B23" s="451">
        <f>'Purchased Power Model'!B160</f>
        <v>0</v>
      </c>
      <c r="C23" s="26">
        <f>'Purchased Power Model'!K160</f>
        <v>62750541.387813456</v>
      </c>
      <c r="D23" s="33"/>
      <c r="E23" s="5"/>
      <c r="F23" s="157"/>
      <c r="G23" s="26">
        <f>C23/F27</f>
        <v>58793723.777582183</v>
      </c>
      <c r="H23" s="26"/>
      <c r="I23" s="26"/>
      <c r="J23" s="26"/>
      <c r="K23" s="26"/>
      <c r="L23" s="26"/>
      <c r="M23" s="26"/>
      <c r="N23" s="451"/>
      <c r="O23" s="451"/>
      <c r="P23" s="451"/>
      <c r="Q23" s="451"/>
      <c r="R23" s="451"/>
    </row>
    <row r="24" spans="1:18" s="677" customFormat="1" x14ac:dyDescent="0.25">
      <c r="A24" s="102" t="s">
        <v>352</v>
      </c>
      <c r="B24" s="509"/>
      <c r="C24" s="26">
        <f>G24*F27</f>
        <v>62626608.32622347</v>
      </c>
      <c r="D24" s="33"/>
      <c r="E24" s="5"/>
      <c r="F24" s="157"/>
      <c r="G24" s="26">
        <f>G73</f>
        <v>58677605.477582194</v>
      </c>
      <c r="H24" s="26"/>
      <c r="I24" s="26"/>
      <c r="J24" s="26"/>
      <c r="K24" s="26"/>
      <c r="L24" s="26"/>
      <c r="M24" s="26"/>
      <c r="N24" s="509"/>
      <c r="O24" s="509"/>
      <c r="P24" s="509"/>
      <c r="Q24" s="509"/>
      <c r="R24" s="509"/>
    </row>
    <row r="25" spans="1:18" x14ac:dyDescent="0.25">
      <c r="B25" s="354"/>
      <c r="C25" s="354"/>
      <c r="D25" s="354"/>
      <c r="E25" s="354"/>
      <c r="F25" s="157"/>
      <c r="G25" s="26"/>
      <c r="H25" s="49"/>
      <c r="I25" s="49"/>
      <c r="J25" s="49"/>
      <c r="K25" s="49"/>
      <c r="L25" s="49"/>
      <c r="M25" s="49"/>
      <c r="N25" s="156"/>
      <c r="O25" s="156"/>
      <c r="P25" s="156"/>
      <c r="Q25" s="156"/>
      <c r="R25" s="156"/>
    </row>
    <row r="26" spans="1:18" ht="13" x14ac:dyDescent="0.3">
      <c r="A26" s="18" t="s">
        <v>15</v>
      </c>
      <c r="C26" s="51"/>
      <c r="D26" s="60"/>
      <c r="E26" s="661" t="s">
        <v>341</v>
      </c>
      <c r="F26" s="23">
        <f>AVERAGE(F16:F20)</f>
        <v>1.0671789824705546</v>
      </c>
    </row>
    <row r="27" spans="1:18" x14ac:dyDescent="0.25">
      <c r="C27" s="167"/>
      <c r="D27" s="60"/>
      <c r="E27" s="661" t="s">
        <v>342</v>
      </c>
      <c r="F27" s="23">
        <v>1.0672999999999999</v>
      </c>
      <c r="K27" s="156"/>
      <c r="L27" s="156"/>
    </row>
    <row r="28" spans="1:18" x14ac:dyDescent="0.25">
      <c r="C28" s="51"/>
      <c r="E28" s="661" t="s">
        <v>373</v>
      </c>
      <c r="F28" s="23">
        <v>1.0687</v>
      </c>
    </row>
    <row r="29" spans="1:18" ht="13" x14ac:dyDescent="0.3">
      <c r="A29" s="21" t="s">
        <v>17</v>
      </c>
      <c r="B29" s="12"/>
      <c r="N29" s="57"/>
    </row>
    <row r="32" spans="1:18" x14ac:dyDescent="0.25">
      <c r="H32" s="26"/>
      <c r="I32" s="26"/>
      <c r="J32" s="26"/>
      <c r="K32" s="26"/>
      <c r="L32" s="26"/>
      <c r="M32" s="26"/>
    </row>
    <row r="33" spans="1:18" x14ac:dyDescent="0.25">
      <c r="A33">
        <f t="shared" ref="A33:A39" si="4">A12</f>
        <v>2010</v>
      </c>
      <c r="F33" s="23"/>
      <c r="H33" s="26">
        <f>H12/'Rate Class Customer Model'!B6</f>
        <v>10956.58</v>
      </c>
      <c r="I33" s="26">
        <f>I12/'Rate Class Customer Model'!C6</f>
        <v>27230.564705882352</v>
      </c>
      <c r="J33" s="26">
        <f>J12/'Rate Class Customer Model'!D6</f>
        <v>686415</v>
      </c>
      <c r="K33" s="26">
        <f>K12/'Rate Class Customer Model'!E6</f>
        <v>965.38461538461536</v>
      </c>
      <c r="L33" s="26">
        <f>L12/'Rate Class Customer Model'!F6</f>
        <v>589.32535885167465</v>
      </c>
      <c r="M33" s="26">
        <f>M12/'Rate Class Customer Model'!G6</f>
        <v>8097.2857142857147</v>
      </c>
    </row>
    <row r="34" spans="1:18" x14ac:dyDescent="0.25">
      <c r="A34">
        <f t="shared" si="4"/>
        <v>2011</v>
      </c>
      <c r="F34" s="23"/>
      <c r="H34" s="26">
        <f>H13/'Rate Class Customer Model'!B7</f>
        <v>11134.849680365296</v>
      </c>
      <c r="I34" s="26">
        <f>I13/'Rate Class Customer Model'!C7</f>
        <v>28068.70882352941</v>
      </c>
      <c r="J34" s="26">
        <f>J13/'Rate Class Customer Model'!D7</f>
        <v>677946.50120000006</v>
      </c>
      <c r="K34" s="26">
        <f>K13/'Rate Class Customer Model'!E7</f>
        <v>995.26923076923072</v>
      </c>
      <c r="L34" s="26">
        <f>L13/'Rate Class Customer Model'!F7</f>
        <v>585.47457061068701</v>
      </c>
      <c r="M34" s="26">
        <f>M13/'Rate Class Customer Model'!G7</f>
        <v>8088.884761904761</v>
      </c>
    </row>
    <row r="35" spans="1:18" x14ac:dyDescent="0.25">
      <c r="A35">
        <f t="shared" si="4"/>
        <v>2012</v>
      </c>
      <c r="F35" s="23"/>
      <c r="H35" s="26">
        <f>H14/'Rate Class Customer Model'!B8</f>
        <v>10766.059502975149</v>
      </c>
      <c r="I35" s="26">
        <f>I14/'Rate Class Customer Model'!C8</f>
        <v>29179.519900497511</v>
      </c>
      <c r="J35" s="26">
        <f>J14/'Rate Class Customer Model'!D8</f>
        <v>587639.13793103443</v>
      </c>
      <c r="K35" s="26">
        <f>K14/'Rate Class Customer Model'!E8</f>
        <v>989.42307692307691</v>
      </c>
      <c r="L35" s="26">
        <f>L14/'Rate Class Customer Model'!F8</f>
        <v>589.90171755725191</v>
      </c>
      <c r="M35" s="26">
        <f>M14/'Rate Class Customer Model'!G8</f>
        <v>6245.7142857142853</v>
      </c>
      <c r="P35" s="24"/>
    </row>
    <row r="36" spans="1:18" x14ac:dyDescent="0.25">
      <c r="A36">
        <f t="shared" si="4"/>
        <v>2013</v>
      </c>
      <c r="F36" s="23"/>
      <c r="H36" s="26">
        <f>H15/'Rate Class Customer Model'!B9</f>
        <v>11408.611616515045</v>
      </c>
      <c r="I36" s="26">
        <f>I15/'Rate Class Customer Model'!C9</f>
        <v>27911.356608478804</v>
      </c>
      <c r="J36" s="26">
        <f>J15/'Rate Class Customer Model'!D9</f>
        <v>581036.31034482759</v>
      </c>
      <c r="K36" s="26">
        <f>K15/'Rate Class Customer Model'!E9</f>
        <v>954.48148148148152</v>
      </c>
      <c r="L36" s="26">
        <f>L15/'Rate Class Customer Model'!F9</f>
        <v>579.96992481203006</v>
      </c>
      <c r="M36" s="26">
        <f>M15/'Rate Class Customer Model'!G9</f>
        <v>6291.9047619047615</v>
      </c>
      <c r="P36" s="24"/>
    </row>
    <row r="37" spans="1:18" x14ac:dyDescent="0.25">
      <c r="A37">
        <f t="shared" si="4"/>
        <v>2014</v>
      </c>
      <c r="F37" s="23"/>
      <c r="H37" s="26">
        <f>H16/'Rate Class Customer Model'!B10</f>
        <v>11512.277563878193</v>
      </c>
      <c r="I37" s="26">
        <f>I16/'Rate Class Customer Model'!C10</f>
        <v>26735.850746268658</v>
      </c>
      <c r="J37" s="26">
        <f>J16/'Rate Class Customer Model'!D10</f>
        <v>589376.10344827583</v>
      </c>
      <c r="K37" s="26">
        <f>K16/'Rate Class Customer Model'!E10</f>
        <v>991.19230769230774</v>
      </c>
      <c r="L37" s="26">
        <f>L16/'Rate Class Customer Model'!F10</f>
        <v>346.43421052631578</v>
      </c>
      <c r="M37" s="26">
        <f>M16/'Rate Class Customer Model'!G10</f>
        <v>5887.4285714285716</v>
      </c>
      <c r="P37" s="24"/>
    </row>
    <row r="38" spans="1:18" x14ac:dyDescent="0.25">
      <c r="A38">
        <f t="shared" si="4"/>
        <v>2015</v>
      </c>
      <c r="H38" s="26">
        <f>H17/'Rate Class Customer Model'!B11</f>
        <v>10841.730476190474</v>
      </c>
      <c r="I38" s="26">
        <f>I17/'Rate Class Customer Model'!C11</f>
        <v>25600.502857142863</v>
      </c>
      <c r="J38" s="26">
        <f>J17/'Rate Class Customer Model'!D11</f>
        <v>574815.76586206909</v>
      </c>
      <c r="K38" s="26">
        <f>K17/'Rate Class Customer Model'!E11</f>
        <v>948.77076923076913</v>
      </c>
      <c r="L38" s="26">
        <f>L17/'Rate Class Customer Model'!F11</f>
        <v>348.4508740601504</v>
      </c>
      <c r="M38" s="26">
        <f>M17/'Rate Class Customer Model'!G11</f>
        <v>5887.4285714285716</v>
      </c>
    </row>
    <row r="39" spans="1:18" x14ac:dyDescent="0.25">
      <c r="A39">
        <f t="shared" si="4"/>
        <v>2016</v>
      </c>
      <c r="H39" s="26">
        <f>H18/'Rate Class Customer Model'!B12</f>
        <v>10302.519087731564</v>
      </c>
      <c r="I39" s="26">
        <f>I18/'Rate Class Customer Model'!C12</f>
        <v>25756.74969465649</v>
      </c>
      <c r="J39" s="26">
        <f>J18/'Rate Class Customer Model'!D12</f>
        <v>564760.60034482763</v>
      </c>
      <c r="K39" s="26">
        <f>K18/'Rate Class Customer Model'!E12</f>
        <v>944.8615384615382</v>
      </c>
      <c r="L39" s="26">
        <f>L18/'Rate Class Customer Model'!F12</f>
        <v>321.39417840375586</v>
      </c>
      <c r="M39" s="26">
        <f>M18/'Rate Class Customer Model'!G12</f>
        <v>5887.4285714285716</v>
      </c>
    </row>
    <row r="40" spans="1:18" x14ac:dyDescent="0.25">
      <c r="A40">
        <v>2017</v>
      </c>
      <c r="H40" s="26">
        <f>H19/'Rate Class Customer Model'!B13</f>
        <v>10054.685135793869</v>
      </c>
      <c r="I40" s="26">
        <f>I19/'Rate Class Customer Model'!C13</f>
        <v>25555.115850515464</v>
      </c>
      <c r="J40" s="26">
        <f>J19/'Rate Class Customer Model'!D13</f>
        <v>556818.38678571431</v>
      </c>
      <c r="K40" s="26">
        <f>K19/'Rate Class Customer Model'!E13</f>
        <v>969.4</v>
      </c>
      <c r="L40" s="26">
        <f>L19/'Rate Class Customer Model'!F13</f>
        <v>320.22234741784035</v>
      </c>
      <c r="M40" s="26">
        <f>M19/'Rate Class Customer Model'!G13</f>
        <v>5887.4285714285716</v>
      </c>
    </row>
    <row r="41" spans="1:18" s="362" customFormat="1" x14ac:dyDescent="0.25">
      <c r="A41" s="362">
        <v>2018</v>
      </c>
      <c r="B41" s="437"/>
      <c r="C41" s="437"/>
      <c r="D41" s="437"/>
      <c r="E41" s="437"/>
      <c r="F41" s="437"/>
      <c r="G41" s="451"/>
      <c r="H41" s="26">
        <f>H20/'Rate Class Customer Model'!B14</f>
        <v>10752.815238919662</v>
      </c>
      <c r="I41" s="26">
        <f>I20/'Rate Class Customer Model'!C14</f>
        <v>26342.911726804123</v>
      </c>
      <c r="J41" s="26">
        <f>J20/'Rate Class Customer Model'!D14</f>
        <v>568780.88481481478</v>
      </c>
      <c r="K41" s="26">
        <f>K20/'Rate Class Customer Model'!E14</f>
        <v>969.4079999999999</v>
      </c>
      <c r="L41" s="26">
        <f>L20/'Rate Class Customer Model'!F14</f>
        <v>321.12693032015062</v>
      </c>
      <c r="M41" s="26">
        <f>M20/'Rate Class Customer Model'!G14</f>
        <v>5887.4285714285716</v>
      </c>
      <c r="N41" s="451"/>
      <c r="O41" s="451"/>
      <c r="P41" s="451"/>
      <c r="Q41" s="451"/>
      <c r="R41" s="451"/>
    </row>
    <row r="42" spans="1:18" s="362" customFormat="1" x14ac:dyDescent="0.25">
      <c r="A42" s="362">
        <v>2019</v>
      </c>
      <c r="B42" s="437"/>
      <c r="C42" s="437"/>
      <c r="D42" s="437"/>
      <c r="E42" s="437"/>
      <c r="F42" s="437"/>
      <c r="G42" s="451"/>
      <c r="H42" s="26">
        <f>H21/'Rate Class Customer Model'!B15</f>
        <v>10954.003116166838</v>
      </c>
      <c r="I42" s="26">
        <f>I21/'Rate Class Customer Model'!C15</f>
        <v>27017.93668421053</v>
      </c>
      <c r="J42" s="26">
        <f>J21/'Rate Class Customer Model'!D15</f>
        <v>533912.18285714288</v>
      </c>
      <c r="K42" s="26">
        <f>K21/'Rate Class Customer Model'!E15</f>
        <v>969.4079999999999</v>
      </c>
      <c r="L42" s="26">
        <f>L21/'Rate Class Customer Model'!F15</f>
        <v>321.12693032015062</v>
      </c>
      <c r="M42" s="26">
        <f>M21/'Rate Class Customer Model'!G15</f>
        <v>5887.4285714285716</v>
      </c>
      <c r="N42" s="451"/>
      <c r="O42" s="451"/>
      <c r="P42" s="451"/>
      <c r="Q42" s="451"/>
      <c r="R42" s="451"/>
    </row>
    <row r="43" spans="1:18" s="362" customFormat="1" x14ac:dyDescent="0.25">
      <c r="A43" s="362">
        <v>2020</v>
      </c>
      <c r="B43" s="437"/>
      <c r="C43" s="437"/>
      <c r="D43" s="437"/>
      <c r="E43" s="437"/>
      <c r="F43" s="437"/>
      <c r="G43" s="451"/>
      <c r="H43" s="20">
        <f t="shared" ref="H43:M43" si="5">H42*H62</f>
        <v>10953.716833154567</v>
      </c>
      <c r="I43" s="20">
        <f t="shared" si="5"/>
        <v>26994.41407359342</v>
      </c>
      <c r="J43" s="20">
        <f t="shared" si="5"/>
        <v>519213.20221185958</v>
      </c>
      <c r="K43" s="20">
        <f t="shared" si="5"/>
        <v>969.85607652460783</v>
      </c>
      <c r="L43" s="20">
        <f t="shared" si="5"/>
        <v>281.5</v>
      </c>
      <c r="M43" s="20">
        <f t="shared" si="5"/>
        <v>5682.5902079126417</v>
      </c>
      <c r="N43" s="451"/>
      <c r="O43" s="451"/>
      <c r="P43" s="451"/>
      <c r="Q43" s="451"/>
      <c r="R43" s="451"/>
    </row>
    <row r="44" spans="1:18" s="362" customFormat="1" x14ac:dyDescent="0.25">
      <c r="A44" s="362">
        <v>2021</v>
      </c>
      <c r="B44" s="437"/>
      <c r="C44" s="437"/>
      <c r="D44" s="437"/>
      <c r="E44" s="437"/>
      <c r="F44" s="437"/>
      <c r="G44" s="451"/>
      <c r="H44" s="20">
        <f t="shared" ref="H44:M44" si="6">H43*H62</f>
        <v>10953.430557624308</v>
      </c>
      <c r="I44" s="20">
        <f t="shared" si="6"/>
        <v>26970.911942453211</v>
      </c>
      <c r="J44" s="20">
        <f t="shared" si="6"/>
        <v>504918.89491726516</v>
      </c>
      <c r="K44" s="20">
        <f t="shared" si="6"/>
        <v>970.30436015764883</v>
      </c>
      <c r="L44" s="20">
        <f>L43</f>
        <v>281.5</v>
      </c>
      <c r="M44" s="20">
        <f t="shared" si="6"/>
        <v>5484.8786833313716</v>
      </c>
      <c r="N44" s="451"/>
      <c r="O44" s="451"/>
      <c r="P44" s="451"/>
      <c r="Q44" s="451"/>
      <c r="R44" s="451"/>
    </row>
    <row r="45" spans="1:18" s="362" customFormat="1" x14ac:dyDescent="0.25">
      <c r="B45" s="437"/>
      <c r="C45" s="437"/>
      <c r="D45" s="437"/>
      <c r="E45" s="437"/>
      <c r="F45" s="437"/>
      <c r="G45" s="451"/>
      <c r="H45" s="26"/>
      <c r="I45" s="26"/>
      <c r="J45" s="26"/>
      <c r="K45" s="26"/>
      <c r="L45" s="26"/>
      <c r="M45" s="26"/>
      <c r="N45" s="451"/>
      <c r="O45" s="451"/>
      <c r="P45" s="451"/>
      <c r="Q45" s="451"/>
      <c r="R45" s="451"/>
    </row>
    <row r="46" spans="1:18" x14ac:dyDescent="0.25">
      <c r="A46" s="34"/>
      <c r="D46" s="6"/>
      <c r="H46" s="24"/>
      <c r="I46" s="24"/>
      <c r="J46" s="24"/>
      <c r="K46" s="24"/>
      <c r="L46" s="24"/>
      <c r="M46" s="24"/>
    </row>
    <row r="47" spans="1:18" x14ac:dyDescent="0.25">
      <c r="A47" s="34"/>
      <c r="D47" s="6"/>
      <c r="H47" s="24"/>
      <c r="I47" s="24"/>
      <c r="J47" s="24"/>
      <c r="K47" s="24"/>
      <c r="L47" s="24"/>
      <c r="M47" s="24"/>
    </row>
    <row r="48" spans="1:18" x14ac:dyDescent="0.25">
      <c r="A48" s="34">
        <f t="shared" ref="A48:A54" si="7">A33</f>
        <v>2010</v>
      </c>
      <c r="D48" s="6"/>
      <c r="H48" s="24"/>
      <c r="I48" s="24"/>
      <c r="J48" s="24"/>
      <c r="K48" s="24"/>
      <c r="L48" s="24"/>
      <c r="M48" s="24"/>
    </row>
    <row r="49" spans="1:18" x14ac:dyDescent="0.25">
      <c r="A49" s="34">
        <f t="shared" si="7"/>
        <v>2011</v>
      </c>
      <c r="D49" s="6"/>
      <c r="H49" s="24">
        <f t="shared" ref="H49:M54" si="8">H34/H33</f>
        <v>1.0162705589121146</v>
      </c>
      <c r="I49" s="24">
        <f t="shared" si="8"/>
        <v>1.03077953493436</v>
      </c>
      <c r="J49" s="24">
        <f t="shared" si="8"/>
        <v>0.98766271308173637</v>
      </c>
      <c r="K49" s="24">
        <f t="shared" si="8"/>
        <v>1.0309561752988048</v>
      </c>
      <c r="L49" s="24">
        <f t="shared" si="8"/>
        <v>0.99346576864010894</v>
      </c>
      <c r="M49" s="24">
        <f t="shared" si="8"/>
        <v>0.99896249772116452</v>
      </c>
    </row>
    <row r="50" spans="1:18" x14ac:dyDescent="0.25">
      <c r="A50" s="34">
        <f t="shared" si="7"/>
        <v>2012</v>
      </c>
      <c r="D50" s="6"/>
      <c r="H50" s="24">
        <f t="shared" si="8"/>
        <v>0.96687964472116272</v>
      </c>
      <c r="I50" s="24">
        <f t="shared" si="8"/>
        <v>1.0395747123229597</v>
      </c>
      <c r="J50" s="24">
        <f t="shared" si="8"/>
        <v>0.86679278806053728</v>
      </c>
      <c r="K50" s="24">
        <f t="shared" si="8"/>
        <v>0.99412605788924535</v>
      </c>
      <c r="L50" s="24">
        <f t="shared" si="8"/>
        <v>1.0075616383166686</v>
      </c>
      <c r="M50" s="24">
        <f t="shared" si="8"/>
        <v>0.77213540179592721</v>
      </c>
      <c r="O50" s="68"/>
    </row>
    <row r="51" spans="1:18" x14ac:dyDescent="0.25">
      <c r="A51" s="34">
        <f t="shared" si="7"/>
        <v>2013</v>
      </c>
      <c r="D51" s="6"/>
      <c r="H51" s="24">
        <f t="shared" si="8"/>
        <v>1.0596831285729313</v>
      </c>
      <c r="I51" s="24">
        <f t="shared" si="8"/>
        <v>0.95653926807763945</v>
      </c>
      <c r="J51" s="24">
        <f t="shared" si="8"/>
        <v>0.9887638056078869</v>
      </c>
      <c r="K51" s="24">
        <f t="shared" si="8"/>
        <v>0.96468487924270241</v>
      </c>
      <c r="L51" s="24">
        <f t="shared" si="8"/>
        <v>0.98316364836781822</v>
      </c>
      <c r="M51" s="24">
        <f t="shared" si="8"/>
        <v>1.0073955474229948</v>
      </c>
      <c r="O51" s="24"/>
    </row>
    <row r="52" spans="1:18" x14ac:dyDescent="0.25">
      <c r="A52" s="34">
        <f t="shared" si="7"/>
        <v>2014</v>
      </c>
      <c r="D52" s="6"/>
      <c r="H52" s="24">
        <f t="shared" si="8"/>
        <v>1.0090866400617129</v>
      </c>
      <c r="I52" s="24">
        <f t="shared" si="8"/>
        <v>0.95788431645586669</v>
      </c>
      <c r="J52" s="24">
        <f t="shared" si="8"/>
        <v>1.0143533079688236</v>
      </c>
      <c r="K52" s="24">
        <f t="shared" si="8"/>
        <v>1.0384615384615385</v>
      </c>
      <c r="L52" s="24">
        <f t="shared" si="8"/>
        <v>0.59733133685957274</v>
      </c>
      <c r="M52" s="24">
        <f t="shared" si="8"/>
        <v>0.93571482630742464</v>
      </c>
      <c r="O52" s="24"/>
    </row>
    <row r="53" spans="1:18" s="362" customFormat="1" x14ac:dyDescent="0.25">
      <c r="A53" s="34">
        <f t="shared" si="7"/>
        <v>2015</v>
      </c>
      <c r="B53" s="377"/>
      <c r="C53" s="377"/>
      <c r="D53" s="156"/>
      <c r="E53" s="377"/>
      <c r="F53" s="377"/>
      <c r="G53" s="156"/>
      <c r="H53" s="24">
        <f t="shared" si="8"/>
        <v>0.94175374212730256</v>
      </c>
      <c r="I53" s="24">
        <f t="shared" si="8"/>
        <v>0.9575346264496839</v>
      </c>
      <c r="J53" s="24">
        <f t="shared" si="8"/>
        <v>0.97529533772913723</v>
      </c>
      <c r="K53" s="24">
        <f t="shared" si="8"/>
        <v>0.95720150556827432</v>
      </c>
      <c r="L53" s="24">
        <f t="shared" si="8"/>
        <v>1.0058212020422892</v>
      </c>
      <c r="M53" s="24">
        <f t="shared" si="8"/>
        <v>1</v>
      </c>
      <c r="N53" s="156"/>
      <c r="O53" s="24"/>
      <c r="P53" s="156"/>
      <c r="Q53" s="156"/>
      <c r="R53" s="156"/>
    </row>
    <row r="54" spans="1:18" s="362" customFormat="1" x14ac:dyDescent="0.25">
      <c r="A54" s="34">
        <f t="shared" si="7"/>
        <v>2016</v>
      </c>
      <c r="B54" s="377"/>
      <c r="C54" s="377"/>
      <c r="D54" s="156"/>
      <c r="E54" s="377"/>
      <c r="F54" s="377"/>
      <c r="G54" s="156"/>
      <c r="H54" s="24">
        <f t="shared" si="8"/>
        <v>0.95026519155377709</v>
      </c>
      <c r="I54" s="24">
        <f t="shared" si="8"/>
        <v>1.0061032722046721</v>
      </c>
      <c r="J54" s="24">
        <f t="shared" si="8"/>
        <v>0.98250715078741546</v>
      </c>
      <c r="K54" s="24">
        <f t="shared" si="8"/>
        <v>0.99587968886056599</v>
      </c>
      <c r="L54" s="24">
        <f t="shared" si="8"/>
        <v>0.92235147715048071</v>
      </c>
      <c r="M54" s="24">
        <f t="shared" si="8"/>
        <v>1</v>
      </c>
      <c r="N54" s="156"/>
      <c r="O54" s="24"/>
      <c r="P54" s="156"/>
      <c r="Q54" s="156"/>
      <c r="R54" s="156"/>
    </row>
    <row r="55" spans="1:18" s="362" customFormat="1" x14ac:dyDescent="0.25">
      <c r="A55" s="34">
        <v>2017</v>
      </c>
      <c r="B55" s="437"/>
      <c r="C55" s="437"/>
      <c r="D55" s="457"/>
      <c r="E55" s="437"/>
      <c r="F55" s="437"/>
      <c r="G55" s="457"/>
      <c r="H55" s="24">
        <f t="shared" ref="H55:M55" si="9">H40/H39</f>
        <v>0.97594433460134811</v>
      </c>
      <c r="I55" s="24">
        <f t="shared" si="9"/>
        <v>0.99217161145985522</v>
      </c>
      <c r="J55" s="24">
        <f t="shared" si="9"/>
        <v>0.98593702614122869</v>
      </c>
      <c r="K55" s="24">
        <f t="shared" si="9"/>
        <v>1.0259704311580047</v>
      </c>
      <c r="L55" s="24">
        <f t="shared" si="9"/>
        <v>0.99635391346621294</v>
      </c>
      <c r="M55" s="24">
        <f t="shared" si="9"/>
        <v>1</v>
      </c>
      <c r="N55" s="457"/>
      <c r="O55" s="24"/>
      <c r="P55" s="457"/>
      <c r="Q55" s="457"/>
      <c r="R55" s="457"/>
    </row>
    <row r="56" spans="1:18" s="362" customFormat="1" x14ac:dyDescent="0.25">
      <c r="A56" s="34">
        <v>2018</v>
      </c>
      <c r="B56" s="437"/>
      <c r="C56" s="437"/>
      <c r="D56" s="457"/>
      <c r="E56" s="437"/>
      <c r="F56" s="437"/>
      <c r="G56" s="457"/>
      <c r="H56" s="24">
        <f t="shared" ref="H56:M56" si="10">H41/H40</f>
        <v>1.0694333132959586</v>
      </c>
      <c r="I56" s="24">
        <f t="shared" si="10"/>
        <v>1.0308273255694425</v>
      </c>
      <c r="J56" s="24">
        <f t="shared" si="10"/>
        <v>1.0214836620215706</v>
      </c>
      <c r="K56" s="24">
        <f t="shared" si="10"/>
        <v>1.0000082525273364</v>
      </c>
      <c r="L56" s="24">
        <f t="shared" si="10"/>
        <v>1.0028248587570621</v>
      </c>
      <c r="M56" s="24">
        <f t="shared" si="10"/>
        <v>1</v>
      </c>
      <c r="N56" s="457"/>
      <c r="O56" s="24"/>
      <c r="P56" s="457"/>
      <c r="Q56" s="457"/>
      <c r="R56" s="457"/>
    </row>
    <row r="57" spans="1:18" s="362" customFormat="1" x14ac:dyDescent="0.25">
      <c r="A57" s="34">
        <v>2019</v>
      </c>
      <c r="B57" s="437"/>
      <c r="C57" s="437"/>
      <c r="D57" s="451"/>
      <c r="E57" s="437"/>
      <c r="F57" s="437"/>
      <c r="G57" s="451"/>
      <c r="H57" s="24">
        <f t="shared" ref="H57:M57" si="11">H42/H41</f>
        <v>1.0187102514808382</v>
      </c>
      <c r="I57" s="24">
        <f t="shared" si="11"/>
        <v>1.025624538563046</v>
      </c>
      <c r="J57" s="24">
        <f t="shared" si="11"/>
        <v>0.9386957211668171</v>
      </c>
      <c r="K57" s="24">
        <f t="shared" si="11"/>
        <v>1</v>
      </c>
      <c r="L57" s="24">
        <f t="shared" si="11"/>
        <v>1</v>
      </c>
      <c r="M57" s="24">
        <f t="shared" si="11"/>
        <v>1</v>
      </c>
      <c r="N57" s="451"/>
      <c r="O57" s="24"/>
      <c r="P57" s="451"/>
      <c r="Q57" s="451"/>
      <c r="R57" s="451"/>
    </row>
    <row r="58" spans="1:18" s="362" customFormat="1" x14ac:dyDescent="0.25">
      <c r="A58" s="458"/>
      <c r="B58" s="437"/>
      <c r="C58" s="437"/>
      <c r="D58" s="451"/>
      <c r="E58" s="437"/>
      <c r="F58" s="437"/>
      <c r="G58" s="451"/>
      <c r="H58" s="24"/>
      <c r="I58" s="24"/>
      <c r="J58" s="24"/>
      <c r="K58" s="24"/>
      <c r="L58" s="24"/>
      <c r="M58" s="24"/>
      <c r="N58" s="451"/>
      <c r="O58" s="24"/>
      <c r="P58" s="451"/>
      <c r="Q58" s="451"/>
      <c r="R58" s="451"/>
    </row>
    <row r="59" spans="1:18" s="362" customFormat="1" x14ac:dyDescent="0.25">
      <c r="A59" s="458"/>
      <c r="B59" s="437"/>
      <c r="C59" s="437"/>
      <c r="D59" s="451"/>
      <c r="E59" s="437"/>
      <c r="F59" s="437"/>
      <c r="G59" s="451"/>
      <c r="H59" s="24"/>
      <c r="I59" s="24"/>
      <c r="J59" s="24"/>
      <c r="K59" s="24"/>
      <c r="L59" s="24"/>
      <c r="M59" s="24"/>
      <c r="N59" s="451"/>
      <c r="O59" s="24"/>
      <c r="P59" s="451"/>
      <c r="Q59" s="451"/>
      <c r="R59" s="451"/>
    </row>
    <row r="60" spans="1:18" s="362" customFormat="1" x14ac:dyDescent="0.25">
      <c r="A60" s="34"/>
      <c r="B60" s="437"/>
      <c r="C60" s="437"/>
      <c r="D60" s="451"/>
      <c r="E60" s="437"/>
      <c r="F60" s="437"/>
      <c r="G60" s="451"/>
      <c r="H60" s="24"/>
      <c r="I60" s="24"/>
      <c r="J60" s="24"/>
      <c r="K60" s="24"/>
      <c r="L60" s="24"/>
      <c r="M60" s="24"/>
      <c r="N60" s="451"/>
      <c r="O60" s="24"/>
      <c r="P60" s="451"/>
      <c r="Q60" s="451"/>
      <c r="R60" s="451"/>
    </row>
    <row r="61" spans="1:18" x14ac:dyDescent="0.25">
      <c r="A61" s="3"/>
      <c r="D61" s="6"/>
      <c r="E61" s="6"/>
      <c r="F61" s="6"/>
    </row>
    <row r="62" spans="1:18" x14ac:dyDescent="0.25">
      <c r="A62" t="s">
        <v>25</v>
      </c>
      <c r="D62" s="6"/>
      <c r="H62" s="24">
        <f>H64</f>
        <v>0.99997386498714358</v>
      </c>
      <c r="I62" s="24">
        <f t="shared" ref="I62:M62" si="12">I64</f>
        <v>0.99912937057732998</v>
      </c>
      <c r="J62" s="24">
        <f t="shared" si="12"/>
        <v>0.97246929154786443</v>
      </c>
      <c r="K62" s="24">
        <f t="shared" si="12"/>
        <v>1.0004622166565655</v>
      </c>
      <c r="L62" s="24">
        <v>0.87660041379698617</v>
      </c>
      <c r="M62" s="24">
        <f t="shared" si="12"/>
        <v>0.96520749916015947</v>
      </c>
    </row>
    <row r="63" spans="1:18" x14ac:dyDescent="0.25">
      <c r="A63" s="3"/>
      <c r="D63" s="6"/>
      <c r="H63" s="12"/>
      <c r="I63" s="12"/>
      <c r="K63" s="11"/>
      <c r="L63" s="11"/>
      <c r="M63" s="11"/>
    </row>
    <row r="64" spans="1:18" x14ac:dyDescent="0.25">
      <c r="A64" t="s">
        <v>16</v>
      </c>
      <c r="D64" s="6"/>
      <c r="H64" s="24">
        <f>GEOMEAN(H49:H57)</f>
        <v>0.99997386498714358</v>
      </c>
      <c r="I64" s="24">
        <f t="shared" ref="I64:M64" si="13">GEOMEAN(I49:I57)</f>
        <v>0.99912937057732998</v>
      </c>
      <c r="J64" s="24">
        <f t="shared" si="13"/>
        <v>0.97246929154786443</v>
      </c>
      <c r="K64" s="24">
        <f t="shared" si="13"/>
        <v>1.0004622166565655</v>
      </c>
      <c r="L64" s="24">
        <f t="shared" si="13"/>
        <v>0.93476490726012884</v>
      </c>
      <c r="M64" s="24">
        <f t="shared" si="13"/>
        <v>0.96520749916015947</v>
      </c>
      <c r="O64" s="24"/>
    </row>
    <row r="65" spans="1:18" x14ac:dyDescent="0.25">
      <c r="D65" s="6"/>
      <c r="H65" s="24"/>
      <c r="I65" s="24"/>
      <c r="J65" s="24"/>
      <c r="K65" s="24"/>
      <c r="L65" s="24"/>
      <c r="M65" s="24"/>
    </row>
    <row r="66" spans="1:18" ht="13" x14ac:dyDescent="0.3">
      <c r="A66" s="18" t="s">
        <v>33</v>
      </c>
    </row>
    <row r="67" spans="1:18" s="362" customFormat="1" x14ac:dyDescent="0.25">
      <c r="A67" s="102">
        <v>2020</v>
      </c>
      <c r="B67" s="437"/>
      <c r="C67" s="437"/>
      <c r="D67" s="437"/>
      <c r="E67" s="437"/>
      <c r="F67" s="437"/>
      <c r="G67" s="509">
        <f>SUM(H67:M67)</f>
        <v>57338971.012906298</v>
      </c>
      <c r="H67" s="510">
        <f>H43*'Rate Class Customer Model'!B16</f>
        <v>31824221.530035987</v>
      </c>
      <c r="I67" s="510">
        <f>I43*'Rate Class Customer Model'!C16</f>
        <v>10110890.559439572</v>
      </c>
      <c r="J67" s="510">
        <f>J43*'Rate Class Customer Model'!D16</f>
        <v>15035454.537025593</v>
      </c>
      <c r="K67" s="510">
        <f>K43*'Rate Class Customer Model'!E16</f>
        <v>24151.492038982986</v>
      </c>
      <c r="L67" s="510">
        <f>L43*'Rate Class Customer Model'!F16</f>
        <v>224918.5</v>
      </c>
      <c r="M67" s="510">
        <f>M43*'Rate Class Customer Model'!G16</f>
        <v>119334.39436616548</v>
      </c>
      <c r="N67" s="509"/>
      <c r="O67" s="509"/>
      <c r="P67" s="509"/>
      <c r="Q67" s="509"/>
      <c r="R67" s="509"/>
    </row>
    <row r="68" spans="1:18" s="362" customFormat="1" x14ac:dyDescent="0.25">
      <c r="A68" s="102">
        <v>2021</v>
      </c>
      <c r="B68" s="363"/>
      <c r="C68" s="363"/>
      <c r="D68" s="363"/>
      <c r="E68" s="363"/>
      <c r="F68" s="363"/>
      <c r="G68" s="156">
        <f>SUM(H68:M68)</f>
        <v>57338674.838323824</v>
      </c>
      <c r="H68" s="156">
        <f>H44*'Rate Class Customer Model'!B17</f>
        <v>31874482.922686737</v>
      </c>
      <c r="I68" s="509">
        <f>I44*'Rate Class Customer Model'!C17</f>
        <v>9952266.5067652352</v>
      </c>
      <c r="J68" s="509">
        <f>J44*'Rate Class Customer Model'!D17</f>
        <v>15147566.847517954</v>
      </c>
      <c r="K68" s="509">
        <f>K44*'Rate Class Customer Model'!E17</f>
        <v>24257.609003941219</v>
      </c>
      <c r="L68" s="509">
        <f>L44*'Rate Class Customer Model'!F17</f>
        <v>224918.5</v>
      </c>
      <c r="M68" s="509">
        <f>M44*'Rate Class Customer Model'!G17</f>
        <v>115182.4523499588</v>
      </c>
      <c r="N68" s="156"/>
      <c r="O68" s="156"/>
      <c r="P68" s="156"/>
      <c r="Q68" s="156"/>
      <c r="R68" s="156"/>
    </row>
    <row r="70" spans="1:18" ht="13" x14ac:dyDescent="0.3">
      <c r="A70" s="18" t="s">
        <v>32</v>
      </c>
      <c r="N70" s="6" t="s">
        <v>24</v>
      </c>
    </row>
    <row r="71" spans="1:18" s="362" customFormat="1" x14ac:dyDescent="0.25">
      <c r="A71" s="102">
        <v>2020</v>
      </c>
      <c r="B71" s="437"/>
      <c r="C71" s="437"/>
      <c r="D71" s="437"/>
      <c r="E71" s="437"/>
      <c r="F71" s="437"/>
      <c r="G71" s="510">
        <f>G22</f>
        <v>58878258.252924532</v>
      </c>
      <c r="H71" s="510">
        <f t="shared" ref="H71:M72" si="14">H67+H80+H88</f>
        <v>32702467.451466747</v>
      </c>
      <c r="I71" s="510">
        <f t="shared" si="14"/>
        <v>10389918.544066932</v>
      </c>
      <c r="J71" s="510">
        <f t="shared" si="14"/>
        <v>15417467.870985707</v>
      </c>
      <c r="K71" s="510">
        <f t="shared" si="14"/>
        <v>24151.492038982986</v>
      </c>
      <c r="L71" s="510">
        <f t="shared" si="14"/>
        <v>224918.5</v>
      </c>
      <c r="M71" s="510">
        <f t="shared" si="14"/>
        <v>119334.39436616548</v>
      </c>
      <c r="N71" s="510">
        <f>SUM(H71:M71)</f>
        <v>58878258.252924532</v>
      </c>
      <c r="O71" s="510">
        <f>N71-G71</f>
        <v>0</v>
      </c>
      <c r="P71" s="509"/>
      <c r="Q71" s="509"/>
      <c r="R71" s="509"/>
    </row>
    <row r="72" spans="1:18" x14ac:dyDescent="0.25">
      <c r="A72" s="102">
        <v>2021</v>
      </c>
      <c r="B72" s="358"/>
      <c r="C72" s="358"/>
      <c r="D72" s="358"/>
      <c r="E72" s="358"/>
      <c r="F72" s="358"/>
      <c r="G72" s="510">
        <f>G23</f>
        <v>58793723.777582183</v>
      </c>
      <c r="H72" s="510">
        <f t="shared" si="14"/>
        <v>32706054.215823736</v>
      </c>
      <c r="I72" s="510">
        <f t="shared" si="14"/>
        <v>10211910.534520878</v>
      </c>
      <c r="J72" s="510">
        <f t="shared" si="14"/>
        <v>15511400.46588367</v>
      </c>
      <c r="K72" s="510">
        <f t="shared" si="14"/>
        <v>24257.609003941219</v>
      </c>
      <c r="L72" s="510">
        <f t="shared" si="14"/>
        <v>224918.5</v>
      </c>
      <c r="M72" s="510">
        <f t="shared" si="14"/>
        <v>115182.4523499588</v>
      </c>
      <c r="N72" s="510">
        <f>SUM(H72:M72)</f>
        <v>58793723.777582183</v>
      </c>
      <c r="O72" s="510">
        <f>N72-G72</f>
        <v>0</v>
      </c>
      <c r="P72" s="156"/>
      <c r="Q72" s="156"/>
      <c r="R72" s="156"/>
    </row>
    <row r="73" spans="1:18" s="677" customFormat="1" x14ac:dyDescent="0.25">
      <c r="A73" s="696" t="s">
        <v>352</v>
      </c>
      <c r="B73" s="437"/>
      <c r="C73" s="437"/>
      <c r="D73" s="437"/>
      <c r="E73" s="437"/>
      <c r="F73" s="437"/>
      <c r="G73" s="510">
        <f>'Street Light Adjustment'!B7</f>
        <v>58677605.477582194</v>
      </c>
      <c r="H73" s="510">
        <f>'Street Light Adjustment'!C7</f>
        <v>32639691.743550409</v>
      </c>
      <c r="I73" s="510">
        <f>'Street Light Adjustment'!D7</f>
        <v>10191189.978466244</v>
      </c>
      <c r="J73" s="510">
        <f>'Street Light Adjustment'!E7</f>
        <v>15482365.194211636</v>
      </c>
      <c r="K73" s="510">
        <f>'Street Light Adjustment'!F7</f>
        <v>24257.609003941219</v>
      </c>
      <c r="L73" s="510">
        <f>'Street Light Adjustment'!G7</f>
        <v>224918.5</v>
      </c>
      <c r="M73" s="510">
        <f>'Street Light Adjustment'!H7</f>
        <v>115182.4523499588</v>
      </c>
      <c r="N73" s="510">
        <f>SUM(H73:M73)</f>
        <v>58677605.477582194</v>
      </c>
      <c r="O73" s="510"/>
      <c r="P73" s="509"/>
      <c r="Q73" s="509"/>
      <c r="R73" s="509"/>
    </row>
    <row r="75" spans="1:18" x14ac:dyDescent="0.25">
      <c r="A75" t="s">
        <v>34</v>
      </c>
      <c r="H75" s="168">
        <v>0.92649999999999999</v>
      </c>
      <c r="I75" s="169">
        <v>0.92649999999999999</v>
      </c>
      <c r="J75" s="169">
        <v>0.85299999999999998</v>
      </c>
      <c r="K75" s="170"/>
      <c r="L75" s="170"/>
      <c r="M75" s="170"/>
      <c r="N75" s="6" t="s">
        <v>24</v>
      </c>
    </row>
    <row r="76" spans="1:18" s="362" customFormat="1" x14ac:dyDescent="0.25">
      <c r="A76" s="102">
        <v>2020</v>
      </c>
      <c r="B76" s="437"/>
      <c r="C76" s="437"/>
      <c r="D76" s="437"/>
      <c r="E76" s="437"/>
      <c r="F76" s="437"/>
      <c r="G76" s="509">
        <f>G71-G67</f>
        <v>1539287.2400182337</v>
      </c>
      <c r="H76" s="510">
        <f t="shared" ref="H76:M77" si="15">H67*H$75</f>
        <v>29485141.247578342</v>
      </c>
      <c r="I76" s="510">
        <f t="shared" si="15"/>
        <v>9367740.1033207625</v>
      </c>
      <c r="J76" s="510">
        <f t="shared" si="15"/>
        <v>12825242.720082831</v>
      </c>
      <c r="K76" s="510">
        <f t="shared" si="15"/>
        <v>0</v>
      </c>
      <c r="L76" s="510">
        <f t="shared" si="15"/>
        <v>0</v>
      </c>
      <c r="M76" s="510">
        <f t="shared" si="15"/>
        <v>0</v>
      </c>
      <c r="N76" s="509">
        <f>SUM(H76:M76)</f>
        <v>51678124.070981935</v>
      </c>
      <c r="O76" s="509"/>
      <c r="P76" s="509"/>
      <c r="Q76" s="509"/>
      <c r="R76" s="509"/>
    </row>
    <row r="77" spans="1:18" x14ac:dyDescent="0.25">
      <c r="A77" s="102">
        <v>2021</v>
      </c>
      <c r="B77" s="358"/>
      <c r="C77" s="358"/>
      <c r="D77" s="358"/>
      <c r="E77" s="358"/>
      <c r="F77" s="358"/>
      <c r="G77" s="156">
        <f>G72-G68</f>
        <v>1455048.9392583594</v>
      </c>
      <c r="H77" s="156">
        <f t="shared" si="15"/>
        <v>29531708.42786926</v>
      </c>
      <c r="I77" s="156">
        <f t="shared" si="15"/>
        <v>9220774.91851799</v>
      </c>
      <c r="J77" s="156">
        <f t="shared" si="15"/>
        <v>12920874.520932814</v>
      </c>
      <c r="K77" s="156">
        <f t="shared" si="15"/>
        <v>0</v>
      </c>
      <c r="L77" s="156">
        <f t="shared" si="15"/>
        <v>0</v>
      </c>
      <c r="M77" s="156">
        <f t="shared" si="15"/>
        <v>0</v>
      </c>
      <c r="N77" s="156">
        <f>SUM(H77:M77)</f>
        <v>51673357.867320068</v>
      </c>
      <c r="O77" s="156"/>
      <c r="P77" s="156"/>
      <c r="Q77" s="156"/>
      <c r="R77" s="156"/>
    </row>
    <row r="78" spans="1:18" ht="12" customHeight="1" x14ac:dyDescent="0.25"/>
    <row r="79" spans="1:18" x14ac:dyDescent="0.25">
      <c r="A79" t="s">
        <v>35</v>
      </c>
    </row>
    <row r="80" spans="1:18" s="362" customFormat="1" x14ac:dyDescent="0.25">
      <c r="A80" s="102">
        <v>2020</v>
      </c>
      <c r="B80" s="437"/>
      <c r="C80" s="437"/>
      <c r="D80" s="437"/>
      <c r="E80" s="437"/>
      <c r="F80" s="437"/>
      <c r="G80" s="509"/>
      <c r="H80" s="510">
        <f t="shared" ref="H80:M80" si="16">H76/$N$76*$G$76</f>
        <v>878245.92143075948</v>
      </c>
      <c r="I80" s="510">
        <f t="shared" si="16"/>
        <v>279027.98462735978</v>
      </c>
      <c r="J80" s="510">
        <f t="shared" si="16"/>
        <v>382013.33396011434</v>
      </c>
      <c r="K80" s="510">
        <f t="shared" si="16"/>
        <v>0</v>
      </c>
      <c r="L80" s="510">
        <f t="shared" si="16"/>
        <v>0</v>
      </c>
      <c r="M80" s="510">
        <f t="shared" si="16"/>
        <v>0</v>
      </c>
      <c r="N80" s="509">
        <f>SUM(H80:M80)</f>
        <v>1539287.2400182334</v>
      </c>
      <c r="O80" s="509"/>
      <c r="P80" s="509"/>
      <c r="Q80" s="509"/>
      <c r="R80" s="509"/>
    </row>
    <row r="81" spans="1:18" x14ac:dyDescent="0.25">
      <c r="A81" s="102">
        <v>2021</v>
      </c>
      <c r="B81" s="358"/>
      <c r="C81" s="358"/>
      <c r="D81" s="358"/>
      <c r="E81" s="358"/>
      <c r="F81" s="358"/>
      <c r="G81" s="25"/>
      <c r="H81" s="156">
        <f t="shared" ref="H81:M81" si="17">H77/$N$77*$G$77</f>
        <v>831571.29313699983</v>
      </c>
      <c r="I81" s="156">
        <f t="shared" si="17"/>
        <v>259644.02775564225</v>
      </c>
      <c r="J81" s="156">
        <f t="shared" si="17"/>
        <v>363833.61836571706</v>
      </c>
      <c r="K81" s="156">
        <f t="shared" si="17"/>
        <v>0</v>
      </c>
      <c r="L81" s="156">
        <f t="shared" si="17"/>
        <v>0</v>
      </c>
      <c r="M81" s="156">
        <f t="shared" si="17"/>
        <v>0</v>
      </c>
      <c r="N81" s="156">
        <f>SUM(H81:M81)</f>
        <v>1455048.9392583591</v>
      </c>
      <c r="O81" s="156"/>
      <c r="P81" s="156"/>
      <c r="Q81" s="156"/>
      <c r="R81" s="156"/>
    </row>
    <row r="82" spans="1:18" s="362" customFormat="1" ht="13" x14ac:dyDescent="0.3">
      <c r="A82" s="18"/>
      <c r="B82" s="432"/>
      <c r="C82" s="432"/>
      <c r="D82" s="432"/>
      <c r="E82" s="432"/>
      <c r="F82" s="432"/>
      <c r="G82" s="25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</row>
    <row r="83" spans="1:18" x14ac:dyDescent="0.25">
      <c r="A83" s="102" t="s">
        <v>287</v>
      </c>
      <c r="H83"/>
      <c r="I83"/>
      <c r="J83"/>
      <c r="K83"/>
      <c r="L83"/>
      <c r="M83"/>
    </row>
    <row r="84" spans="1:18" x14ac:dyDescent="0.25">
      <c r="A84" s="102">
        <v>2020</v>
      </c>
      <c r="B84" s="358"/>
      <c r="C84" s="358"/>
      <c r="D84" s="358"/>
      <c r="E84" s="358"/>
      <c r="F84" s="514" t="s">
        <v>291</v>
      </c>
      <c r="G84" s="510"/>
      <c r="H84" s="511">
        <v>0</v>
      </c>
      <c r="I84" s="511">
        <v>0</v>
      </c>
      <c r="J84" s="511">
        <v>0</v>
      </c>
      <c r="K84" s="511">
        <v>0</v>
      </c>
      <c r="L84" s="511">
        <v>0</v>
      </c>
      <c r="M84" s="511">
        <v>0</v>
      </c>
      <c r="N84" s="156"/>
      <c r="O84" s="156"/>
      <c r="P84" s="156"/>
      <c r="Q84" s="156"/>
      <c r="R84" s="156"/>
    </row>
    <row r="85" spans="1:18" x14ac:dyDescent="0.25">
      <c r="A85" s="102">
        <v>2021</v>
      </c>
      <c r="H85" s="511">
        <v>0</v>
      </c>
      <c r="I85" s="511">
        <v>0</v>
      </c>
      <c r="J85" s="511">
        <v>0</v>
      </c>
      <c r="K85" s="511">
        <v>0</v>
      </c>
      <c r="L85" s="511">
        <v>0</v>
      </c>
      <c r="M85" s="511">
        <v>0</v>
      </c>
    </row>
    <row r="86" spans="1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8" s="362" customFormat="1" x14ac:dyDescent="0.25">
      <c r="A87" s="102" t="s">
        <v>288</v>
      </c>
      <c r="B87" s="437"/>
      <c r="C87" s="437"/>
      <c r="D87" s="437"/>
      <c r="E87" s="437"/>
      <c r="F87" s="437"/>
      <c r="G87" s="509"/>
      <c r="N87" s="509"/>
      <c r="O87" s="509"/>
      <c r="P87" s="509"/>
      <c r="Q87" s="509"/>
      <c r="R87" s="509"/>
    </row>
    <row r="88" spans="1:18" s="362" customFormat="1" x14ac:dyDescent="0.25">
      <c r="A88" s="102">
        <v>2020</v>
      </c>
      <c r="B88" s="437"/>
      <c r="C88" s="437"/>
      <c r="D88" s="437"/>
      <c r="E88" s="437"/>
      <c r="F88" s="437"/>
      <c r="G88" s="513" t="s">
        <v>289</v>
      </c>
      <c r="H88" s="510">
        <f>H67*H84*9.5/12</f>
        <v>0</v>
      </c>
      <c r="I88" s="510">
        <f t="shared" ref="I88:M88" si="18">I67*I84*9.5/12</f>
        <v>0</v>
      </c>
      <c r="J88" s="510">
        <f t="shared" si="18"/>
        <v>0</v>
      </c>
      <c r="K88" s="510">
        <f t="shared" si="18"/>
        <v>0</v>
      </c>
      <c r="L88" s="510">
        <f t="shared" si="18"/>
        <v>0</v>
      </c>
      <c r="M88" s="510">
        <f t="shared" si="18"/>
        <v>0</v>
      </c>
      <c r="N88" s="510">
        <f>SUM(H88:M88)</f>
        <v>0</v>
      </c>
      <c r="O88" s="509"/>
      <c r="P88" s="509"/>
      <c r="Q88" s="509"/>
      <c r="R88" s="509"/>
    </row>
    <row r="89" spans="1:18" s="362" customFormat="1" x14ac:dyDescent="0.25">
      <c r="A89" s="102">
        <v>2021</v>
      </c>
      <c r="B89" s="437"/>
      <c r="C89" s="437"/>
      <c r="D89" s="437"/>
      <c r="E89" s="437"/>
      <c r="F89" s="437"/>
      <c r="G89" s="513" t="s">
        <v>290</v>
      </c>
      <c r="H89" s="510">
        <f>H85*H68</f>
        <v>0</v>
      </c>
      <c r="I89" s="510">
        <f t="shared" ref="I89:M89" si="19">I85*I68</f>
        <v>0</v>
      </c>
      <c r="J89" s="510">
        <f t="shared" si="19"/>
        <v>0</v>
      </c>
      <c r="K89" s="510">
        <f t="shared" si="19"/>
        <v>0</v>
      </c>
      <c r="L89" s="510">
        <f t="shared" si="19"/>
        <v>0</v>
      </c>
      <c r="M89" s="510">
        <f t="shared" si="19"/>
        <v>0</v>
      </c>
      <c r="N89" s="510">
        <f>SUM(H89:M89)</f>
        <v>0</v>
      </c>
      <c r="O89" s="509"/>
      <c r="P89" s="509"/>
      <c r="Q89" s="509"/>
      <c r="R89" s="509"/>
    </row>
    <row r="90" spans="1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1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1:18" x14ac:dyDescent="0.25">
      <c r="B92"/>
      <c r="C92"/>
      <c r="D92"/>
      <c r="E92"/>
      <c r="F92"/>
      <c r="G92"/>
      <c r="H92"/>
      <c r="I92" s="512"/>
      <c r="J92"/>
      <c r="K92"/>
      <c r="L92"/>
      <c r="M92"/>
      <c r="N92"/>
      <c r="O92"/>
      <c r="P92"/>
      <c r="Q92"/>
      <c r="R92"/>
    </row>
    <row r="93" spans="1:18" x14ac:dyDescent="0.25">
      <c r="B93"/>
      <c r="C93"/>
      <c r="D93"/>
      <c r="E93"/>
      <c r="F93"/>
      <c r="G93"/>
      <c r="H93"/>
      <c r="I93" s="512"/>
      <c r="J93" s="362"/>
      <c r="K93"/>
      <c r="L93"/>
      <c r="M93"/>
      <c r="N93"/>
      <c r="O93"/>
      <c r="P93"/>
      <c r="Q93"/>
      <c r="R93"/>
    </row>
    <row r="94" spans="1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1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 ht="13" x14ac:dyDescent="0.3">
      <c r="D100" s="441" t="s">
        <v>244</v>
      </c>
      <c r="E100" s="441"/>
      <c r="F100" s="62"/>
    </row>
    <row r="101" spans="2:18" x14ac:dyDescent="0.25">
      <c r="D101" s="37" t="s">
        <v>234</v>
      </c>
      <c r="G101" s="440">
        <v>8.3000000000000007</v>
      </c>
      <c r="H101" s="440">
        <f>G101</f>
        <v>8.3000000000000007</v>
      </c>
    </row>
    <row r="102" spans="2:18" x14ac:dyDescent="0.25">
      <c r="D102" s="438" t="s">
        <v>235</v>
      </c>
      <c r="G102" s="440">
        <v>91.3</v>
      </c>
      <c r="H102" s="440">
        <f t="shared" ref="H102:H104" si="20">G102</f>
        <v>91.3</v>
      </c>
    </row>
    <row r="103" spans="2:18" x14ac:dyDescent="0.25">
      <c r="D103" s="37" t="s">
        <v>236</v>
      </c>
      <c r="G103" s="440">
        <v>25.6</v>
      </c>
      <c r="H103" s="440">
        <f t="shared" si="20"/>
        <v>25.6</v>
      </c>
    </row>
    <row r="104" spans="2:18" x14ac:dyDescent="0.25">
      <c r="D104" s="100" t="s">
        <v>242</v>
      </c>
      <c r="G104" s="440">
        <v>1.7</v>
      </c>
      <c r="H104" s="440">
        <f t="shared" si="20"/>
        <v>1.7</v>
      </c>
      <c r="I104"/>
    </row>
    <row r="105" spans="2:18" x14ac:dyDescent="0.25">
      <c r="D105" s="439" t="s">
        <v>237</v>
      </c>
      <c r="G105" s="440">
        <v>190.4</v>
      </c>
      <c r="H105"/>
      <c r="I105" s="437">
        <f>G105*0.1</f>
        <v>19.040000000000003</v>
      </c>
      <c r="J105" s="440">
        <f>G105-I105</f>
        <v>171.36</v>
      </c>
    </row>
    <row r="106" spans="2:18" x14ac:dyDescent="0.25">
      <c r="D106" s="439" t="s">
        <v>238</v>
      </c>
      <c r="G106" s="440">
        <v>4.2</v>
      </c>
      <c r="H106"/>
      <c r="I106" s="440">
        <f>G106</f>
        <v>4.2</v>
      </c>
      <c r="J106" s="440"/>
    </row>
    <row r="107" spans="2:18" x14ac:dyDescent="0.25">
      <c r="D107" s="439" t="s">
        <v>239</v>
      </c>
      <c r="G107" s="440">
        <v>4.5999999999999996</v>
      </c>
      <c r="I107"/>
      <c r="J107" s="440">
        <f>G107</f>
        <v>4.5999999999999996</v>
      </c>
    </row>
    <row r="108" spans="2:18" x14ac:dyDescent="0.25">
      <c r="D108" s="439" t="s">
        <v>240</v>
      </c>
      <c r="G108" s="440">
        <v>4.5999999999999996</v>
      </c>
      <c r="J108" s="440">
        <f t="shared" ref="J108:J110" si="21">G108</f>
        <v>4.5999999999999996</v>
      </c>
    </row>
    <row r="109" spans="2:18" x14ac:dyDescent="0.25">
      <c r="D109" s="439" t="s">
        <v>241</v>
      </c>
      <c r="G109" s="440">
        <v>4.3</v>
      </c>
      <c r="J109" s="440">
        <f t="shared" si="21"/>
        <v>4.3</v>
      </c>
    </row>
    <row r="110" spans="2:18" x14ac:dyDescent="0.25">
      <c r="D110" s="37" t="s">
        <v>243</v>
      </c>
      <c r="G110" s="440">
        <v>20.5</v>
      </c>
      <c r="J110" s="440">
        <f t="shared" si="21"/>
        <v>20.5</v>
      </c>
    </row>
    <row r="111" spans="2:18" x14ac:dyDescent="0.25">
      <c r="G111" s="440">
        <f>SUM(G101:G110)</f>
        <v>355.50000000000006</v>
      </c>
      <c r="H111" s="440">
        <f t="shared" ref="H111:J111" si="22">SUM(H101:H110)</f>
        <v>126.89999999999999</v>
      </c>
      <c r="I111" s="440">
        <f t="shared" si="22"/>
        <v>23.240000000000002</v>
      </c>
      <c r="J111" s="440">
        <f t="shared" si="22"/>
        <v>205.36</v>
      </c>
    </row>
    <row r="112" spans="2:18" x14ac:dyDescent="0.25">
      <c r="H112" s="436"/>
    </row>
    <row r="113" spans="8:8" x14ac:dyDescent="0.25">
      <c r="H113" s="436"/>
    </row>
    <row r="115" spans="8:8" x14ac:dyDescent="0.25">
      <c r="H115" s="436"/>
    </row>
    <row r="116" spans="8:8" x14ac:dyDescent="0.25">
      <c r="H116" s="436"/>
    </row>
    <row r="117" spans="8:8" x14ac:dyDescent="0.25">
      <c r="H117" s="436"/>
    </row>
    <row r="118" spans="8:8" x14ac:dyDescent="0.25">
      <c r="H118" s="436"/>
    </row>
    <row r="119" spans="8:8" x14ac:dyDescent="0.25">
      <c r="H119" s="436"/>
    </row>
    <row r="120" spans="8:8" x14ac:dyDescent="0.25">
      <c r="H120" s="436"/>
    </row>
    <row r="121" spans="8:8" x14ac:dyDescent="0.25">
      <c r="H121" s="436"/>
    </row>
    <row r="122" spans="8:8" x14ac:dyDescent="0.25">
      <c r="H122" s="436"/>
    </row>
    <row r="123" spans="8:8" x14ac:dyDescent="0.25">
      <c r="H123" s="436"/>
    </row>
    <row r="124" spans="8:8" x14ac:dyDescent="0.25">
      <c r="H124" s="436"/>
    </row>
    <row r="125" spans="8:8" x14ac:dyDescent="0.25">
      <c r="H125" s="436"/>
    </row>
    <row r="126" spans="8:8" x14ac:dyDescent="0.25">
      <c r="H126" s="436"/>
    </row>
    <row r="127" spans="8:8" x14ac:dyDescent="0.25">
      <c r="H127" s="436"/>
    </row>
    <row r="128" spans="8:8" x14ac:dyDescent="0.25">
      <c r="H128" s="436"/>
    </row>
    <row r="129" spans="8:8" x14ac:dyDescent="0.25">
      <c r="H129" s="436"/>
    </row>
    <row r="131" spans="8:8" x14ac:dyDescent="0.25">
      <c r="H131" s="436"/>
    </row>
    <row r="132" spans="8:8" x14ac:dyDescent="0.25">
      <c r="H132" s="436"/>
    </row>
    <row r="133" spans="8:8" x14ac:dyDescent="0.25">
      <c r="H133" s="436"/>
    </row>
    <row r="134" spans="8:8" x14ac:dyDescent="0.25">
      <c r="H134" s="436"/>
    </row>
    <row r="135" spans="8:8" x14ac:dyDescent="0.25">
      <c r="H135" s="436"/>
    </row>
    <row r="136" spans="8:8" x14ac:dyDescent="0.25">
      <c r="H136" s="436"/>
    </row>
    <row r="137" spans="8:8" x14ac:dyDescent="0.25">
      <c r="H137" s="436"/>
    </row>
    <row r="138" spans="8:8" x14ac:dyDescent="0.25">
      <c r="H138" s="436"/>
    </row>
    <row r="139" spans="8:8" x14ac:dyDescent="0.25">
      <c r="H139" s="436"/>
    </row>
    <row r="140" spans="8:8" x14ac:dyDescent="0.25">
      <c r="H140" s="436"/>
    </row>
    <row r="141" spans="8:8" x14ac:dyDescent="0.25">
      <c r="H141" s="436"/>
    </row>
    <row r="142" spans="8:8" x14ac:dyDescent="0.25">
      <c r="H142" s="436"/>
    </row>
    <row r="143" spans="8:8" x14ac:dyDescent="0.25">
      <c r="H143" s="436"/>
    </row>
    <row r="144" spans="8:8" x14ac:dyDescent="0.25">
      <c r="H144" s="436"/>
    </row>
    <row r="145" spans="8:8" x14ac:dyDescent="0.25">
      <c r="H145" s="436"/>
    </row>
    <row r="146" spans="8:8" x14ac:dyDescent="0.25">
      <c r="H146" s="436"/>
    </row>
    <row r="147" spans="8:8" x14ac:dyDescent="0.25">
      <c r="H147" s="436"/>
    </row>
    <row r="148" spans="8:8" x14ac:dyDescent="0.25">
      <c r="H148" s="436"/>
    </row>
    <row r="150" spans="8:8" x14ac:dyDescent="0.25">
      <c r="H150" s="436"/>
    </row>
    <row r="151" spans="8:8" x14ac:dyDescent="0.25">
      <c r="H151" s="436"/>
    </row>
    <row r="152" spans="8:8" x14ac:dyDescent="0.25">
      <c r="H152" s="436"/>
    </row>
    <row r="153" spans="8:8" x14ac:dyDescent="0.25">
      <c r="H153" s="436"/>
    </row>
    <row r="154" spans="8:8" x14ac:dyDescent="0.25">
      <c r="H154" s="436"/>
    </row>
    <row r="155" spans="8:8" x14ac:dyDescent="0.25">
      <c r="H155" s="436"/>
    </row>
    <row r="156" spans="8:8" x14ac:dyDescent="0.25">
      <c r="H156" s="436"/>
    </row>
    <row r="157" spans="8:8" x14ac:dyDescent="0.25">
      <c r="H157" s="436"/>
    </row>
    <row r="158" spans="8:8" x14ac:dyDescent="0.25">
      <c r="H158" s="436"/>
    </row>
    <row r="159" spans="8:8" x14ac:dyDescent="0.25">
      <c r="H159" s="436"/>
    </row>
    <row r="160" spans="8:8" x14ac:dyDescent="0.25">
      <c r="H160" s="436"/>
    </row>
    <row r="161" spans="8:8" x14ac:dyDescent="0.25">
      <c r="H161" s="436"/>
    </row>
    <row r="162" spans="8:8" x14ac:dyDescent="0.25">
      <c r="H162" s="436"/>
    </row>
    <row r="163" spans="8:8" x14ac:dyDescent="0.25">
      <c r="H163" s="436"/>
    </row>
    <row r="164" spans="8:8" x14ac:dyDescent="0.25">
      <c r="H164" s="436"/>
    </row>
    <row r="165" spans="8:8" x14ac:dyDescent="0.25">
      <c r="H165" s="436"/>
    </row>
    <row r="166" spans="8:8" x14ac:dyDescent="0.25">
      <c r="H166" s="436"/>
    </row>
    <row r="168" spans="8:8" x14ac:dyDescent="0.25">
      <c r="H168" s="436"/>
    </row>
    <row r="169" spans="8:8" x14ac:dyDescent="0.25">
      <c r="H169" s="436"/>
    </row>
    <row r="170" spans="8:8" x14ac:dyDescent="0.25">
      <c r="H170" s="436"/>
    </row>
    <row r="171" spans="8:8" x14ac:dyDescent="0.25">
      <c r="H171" s="436"/>
    </row>
    <row r="172" spans="8:8" x14ac:dyDescent="0.25">
      <c r="H172" s="436"/>
    </row>
    <row r="173" spans="8:8" x14ac:dyDescent="0.25">
      <c r="H173" s="436"/>
    </row>
    <row r="174" spans="8:8" x14ac:dyDescent="0.25">
      <c r="H174" s="436"/>
    </row>
    <row r="175" spans="8:8" x14ac:dyDescent="0.25">
      <c r="H175" s="436"/>
    </row>
    <row r="176" spans="8:8" x14ac:dyDescent="0.25">
      <c r="H176" s="436"/>
    </row>
    <row r="177" spans="8:8" x14ac:dyDescent="0.25">
      <c r="H177" s="436"/>
    </row>
    <row r="178" spans="8:8" x14ac:dyDescent="0.25">
      <c r="H178" s="436"/>
    </row>
    <row r="179" spans="8:8" x14ac:dyDescent="0.25">
      <c r="H179" s="436"/>
    </row>
    <row r="180" spans="8:8" x14ac:dyDescent="0.25">
      <c r="H180" s="436"/>
    </row>
    <row r="181" spans="8:8" x14ac:dyDescent="0.25">
      <c r="H181" s="436"/>
    </row>
    <row r="182" spans="8:8" x14ac:dyDescent="0.25">
      <c r="H182" s="436"/>
    </row>
    <row r="183" spans="8:8" x14ac:dyDescent="0.25">
      <c r="H183" s="436"/>
    </row>
    <row r="184" spans="8:8" x14ac:dyDescent="0.25">
      <c r="H184" s="436"/>
    </row>
    <row r="186" spans="8:8" x14ac:dyDescent="0.25">
      <c r="H186" s="436"/>
    </row>
    <row r="187" spans="8:8" x14ac:dyDescent="0.25">
      <c r="H187" s="436"/>
    </row>
    <row r="188" spans="8:8" x14ac:dyDescent="0.25">
      <c r="H188" s="436"/>
    </row>
    <row r="189" spans="8:8" x14ac:dyDescent="0.25">
      <c r="H189" s="436"/>
    </row>
    <row r="190" spans="8:8" x14ac:dyDescent="0.25">
      <c r="H190" s="436"/>
    </row>
    <row r="191" spans="8:8" x14ac:dyDescent="0.25">
      <c r="H191" s="436"/>
    </row>
    <row r="192" spans="8:8" x14ac:dyDescent="0.25">
      <c r="H192" s="436"/>
    </row>
    <row r="193" spans="8:8" x14ac:dyDescent="0.25">
      <c r="H193" s="436"/>
    </row>
    <row r="194" spans="8:8" x14ac:dyDescent="0.25">
      <c r="H194" s="436"/>
    </row>
    <row r="195" spans="8:8" x14ac:dyDescent="0.25">
      <c r="H195" s="436"/>
    </row>
    <row r="196" spans="8:8" x14ac:dyDescent="0.25">
      <c r="H196" s="436"/>
    </row>
    <row r="197" spans="8:8" x14ac:dyDescent="0.25">
      <c r="H197" s="436"/>
    </row>
    <row r="198" spans="8:8" x14ac:dyDescent="0.25">
      <c r="H198" s="436"/>
    </row>
    <row r="199" spans="8:8" x14ac:dyDescent="0.25">
      <c r="H199" s="436"/>
    </row>
    <row r="200" spans="8:8" x14ac:dyDescent="0.25">
      <c r="H200" s="436"/>
    </row>
    <row r="201" spans="8:8" x14ac:dyDescent="0.25">
      <c r="H201" s="436"/>
    </row>
    <row r="202" spans="8:8" x14ac:dyDescent="0.25">
      <c r="H202" s="436"/>
    </row>
    <row r="203" spans="8:8" x14ac:dyDescent="0.25">
      <c r="H203" s="436"/>
    </row>
    <row r="204" spans="8:8" x14ac:dyDescent="0.25">
      <c r="H204" s="436"/>
    </row>
    <row r="205" spans="8:8" x14ac:dyDescent="0.25">
      <c r="H205" s="436"/>
    </row>
    <row r="206" spans="8:8" x14ac:dyDescent="0.25">
      <c r="H206" s="436"/>
    </row>
    <row r="207" spans="8:8" x14ac:dyDescent="0.25">
      <c r="H207" s="436"/>
    </row>
    <row r="208" spans="8:8" x14ac:dyDescent="0.25">
      <c r="H208" s="436"/>
    </row>
    <row r="209" spans="8:8" x14ac:dyDescent="0.25">
      <c r="H209" s="436"/>
    </row>
    <row r="210" spans="8:8" x14ac:dyDescent="0.25">
      <c r="H210" s="436"/>
    </row>
    <row r="211" spans="8:8" x14ac:dyDescent="0.25">
      <c r="H211" s="436"/>
    </row>
    <row r="212" spans="8:8" x14ac:dyDescent="0.25">
      <c r="H212" s="436"/>
    </row>
    <row r="213" spans="8:8" x14ac:dyDescent="0.25">
      <c r="H213" s="436"/>
    </row>
    <row r="214" spans="8:8" x14ac:dyDescent="0.25">
      <c r="H214" s="436"/>
    </row>
    <row r="215" spans="8:8" x14ac:dyDescent="0.25">
      <c r="H215" s="436"/>
    </row>
    <row r="216" spans="8:8" x14ac:dyDescent="0.25">
      <c r="H216" s="436"/>
    </row>
    <row r="217" spans="8:8" x14ac:dyDescent="0.25">
      <c r="H217" s="436"/>
    </row>
    <row r="218" spans="8:8" x14ac:dyDescent="0.25">
      <c r="H218" s="436"/>
    </row>
    <row r="219" spans="8:8" x14ac:dyDescent="0.25">
      <c r="H219" s="436"/>
    </row>
    <row r="220" spans="8:8" x14ac:dyDescent="0.25">
      <c r="H220" s="436"/>
    </row>
  </sheetData>
  <customSheetViews>
    <customSheetView guid="{7481AE0E-2D6B-416C-8D95-7DAA8CA7C9F5}" scale="80" showPageBreaks="1" fitToPage="1" printArea="1">
      <pane xSplit="1" ySplit="2" topLeftCell="B48" activePane="bottomRight" state="frozen"/>
      <selection pane="bottomRight" activeCell="H63" sqref="H63"/>
      <pageMargins left="0.38" right="0.75" top="0.73" bottom="0.74" header="0.5" footer="0.5"/>
      <pageSetup scale="52" orientation="landscape" r:id="rId1"/>
      <headerFooter alignWithMargins="0">
        <oddFooter>&amp;L&amp;Z&amp;F</oddFooter>
      </headerFooter>
    </customSheetView>
    <customSheetView guid="{4115F855-0BCB-4789-890B-F67D0AF20543}" scale="80" fitToPage="1" printArea="1">
      <pane xSplit="1" ySplit="2" topLeftCell="D55" activePane="bottomRight" state="frozen"/>
      <selection pane="bottomRight" activeCell="E70" sqref="E70"/>
      <pageMargins left="0.38" right="0.75" top="0.73" bottom="0.74" header="0.5" footer="0.5"/>
      <pageSetup scale="54" orientation="landscape" r:id="rId2"/>
      <headerFooter alignWithMargins="0">
        <oddFooter>&amp;L&amp;Z&amp;F</oddFooter>
      </headerFooter>
    </customSheetView>
    <customSheetView guid="{DE47F5DD-3736-469D-8704-852547698004}" scale="90" showPageBreaks="1" fitToPage="1" printArea="1">
      <pane xSplit="1" ySplit="2" topLeftCell="E36" activePane="bottomRight" state="frozen"/>
      <selection pane="bottomRight" activeCell="M62" sqref="M62"/>
      <pageMargins left="0.38" right="0.75" top="0.73" bottom="0.74" header="0.5" footer="0.5"/>
      <pageSetup scale="50" orientation="landscape" r:id="rId3"/>
      <headerFooter alignWithMargins="0">
        <oddFooter>&amp;L&amp;Z&amp;F</oddFooter>
      </headerFooter>
    </customSheetView>
  </customSheetViews>
  <phoneticPr fontId="0" type="noConversion"/>
  <pageMargins left="0.38" right="0.75" top="0.73" bottom="0.74" header="0.5" footer="0.5"/>
  <pageSetup scale="49" orientation="landscape" r:id="rId4"/>
  <headerFooter alignWithMargins="0">
    <oddFooter>&amp;L&amp;Z&amp;F</oddFooter>
  </headerFooter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"/>
  <sheetViews>
    <sheetView zoomScaleNormal="100" workbookViewId="0">
      <selection activeCell="A3" sqref="A3"/>
    </sheetView>
  </sheetViews>
  <sheetFormatPr defaultRowHeight="12.5" x14ac:dyDescent="0.25"/>
  <cols>
    <col min="1" max="1" width="9.90625" bestFit="1" customWidth="1"/>
    <col min="2" max="5" width="12.453125" bestFit="1" customWidth="1"/>
    <col min="6" max="6" width="10.36328125" bestFit="1" customWidth="1"/>
    <col min="7" max="8" width="12.453125" bestFit="1" customWidth="1"/>
    <col min="13" max="13" width="6.08984375" bestFit="1" customWidth="1"/>
    <col min="14" max="17" width="11.36328125" bestFit="1" customWidth="1"/>
    <col min="18" max="18" width="7.6328125" bestFit="1" customWidth="1"/>
    <col min="19" max="20" width="8.6328125" bestFit="1" customWidth="1"/>
  </cols>
  <sheetData>
    <row r="1" spans="1:20" x14ac:dyDescent="0.25">
      <c r="A1" s="677"/>
      <c r="B1" s="677" t="s">
        <v>11</v>
      </c>
      <c r="C1" s="677" t="s">
        <v>348</v>
      </c>
      <c r="D1" s="677" t="s">
        <v>204</v>
      </c>
      <c r="E1" s="677" t="s">
        <v>203</v>
      </c>
      <c r="F1" s="677" t="s">
        <v>205</v>
      </c>
      <c r="G1" s="677" t="s">
        <v>349</v>
      </c>
      <c r="H1" s="677" t="s">
        <v>106</v>
      </c>
      <c r="M1" s="677"/>
      <c r="N1" s="677"/>
      <c r="O1" s="677"/>
      <c r="P1" s="677"/>
      <c r="Q1" s="677"/>
      <c r="R1" s="677"/>
      <c r="S1" s="677"/>
      <c r="T1" s="677"/>
    </row>
    <row r="2" spans="1:20" x14ac:dyDescent="0.25">
      <c r="A2" s="677" t="s">
        <v>350</v>
      </c>
      <c r="B2" s="679">
        <v>58793723.777582183</v>
      </c>
      <c r="C2" s="679">
        <v>32706054.215823736</v>
      </c>
      <c r="D2" s="679">
        <v>10211910.534520878</v>
      </c>
      <c r="E2" s="679">
        <v>15511400.46588367</v>
      </c>
      <c r="F2" s="679">
        <v>24257.609003941219</v>
      </c>
      <c r="G2" s="697">
        <v>224918.5</v>
      </c>
      <c r="H2" s="679">
        <v>115182.4523499588</v>
      </c>
      <c r="M2" s="677"/>
      <c r="N2" s="679"/>
      <c r="O2" s="679"/>
      <c r="P2" s="679"/>
      <c r="Q2" s="679"/>
      <c r="R2" s="679"/>
      <c r="S2" s="679"/>
      <c r="T2" s="679"/>
    </row>
    <row r="3" spans="1:20" x14ac:dyDescent="0.25">
      <c r="A3" s="677" t="s">
        <v>351</v>
      </c>
      <c r="B3" s="679">
        <v>58793723.777582183</v>
      </c>
      <c r="C3" s="697">
        <v>32639691.743550409</v>
      </c>
      <c r="D3" s="697">
        <v>10191189.978466244</v>
      </c>
      <c r="E3" s="697">
        <v>15482365.194211636</v>
      </c>
      <c r="F3" s="697">
        <v>24257.609003941219</v>
      </c>
      <c r="G3" s="679">
        <v>341036.79999999993</v>
      </c>
      <c r="H3" s="697">
        <v>115182.4523499588</v>
      </c>
      <c r="M3" s="677"/>
      <c r="N3" s="679"/>
      <c r="O3" s="679"/>
      <c r="P3" s="679"/>
      <c r="Q3" s="679"/>
      <c r="R3" s="679"/>
      <c r="S3" s="679"/>
      <c r="T3" s="679"/>
    </row>
    <row r="4" spans="1:20" x14ac:dyDescent="0.25">
      <c r="A4" s="102" t="s">
        <v>30</v>
      </c>
      <c r="B4" s="677"/>
      <c r="C4" s="680">
        <f>C2-C3</f>
        <v>66362.47227332741</v>
      </c>
      <c r="D4" s="680">
        <f>D2-D3</f>
        <v>20720.556054633111</v>
      </c>
      <c r="E4" s="680">
        <f>E2-E3</f>
        <v>29035.271672034636</v>
      </c>
      <c r="F4" s="677"/>
      <c r="G4" s="680">
        <f>G2-G3</f>
        <v>-116118.29999999993</v>
      </c>
      <c r="H4" s="677"/>
      <c r="M4" s="677"/>
      <c r="N4" s="677"/>
      <c r="O4" s="680"/>
      <c r="P4" s="680"/>
      <c r="Q4" s="680"/>
      <c r="R4" s="677"/>
      <c r="S4" s="680"/>
      <c r="T4" s="677"/>
    </row>
    <row r="5" spans="1:20" x14ac:dyDescent="0.25">
      <c r="A5" s="677"/>
      <c r="B5" s="677"/>
      <c r="C5" s="677"/>
      <c r="D5" s="677"/>
      <c r="E5" s="677"/>
      <c r="F5" s="677"/>
      <c r="G5" s="677"/>
      <c r="H5" s="677"/>
      <c r="M5" s="677"/>
      <c r="N5" s="677"/>
      <c r="O5" s="677"/>
      <c r="P5" s="677"/>
      <c r="Q5" s="677"/>
      <c r="R5" s="677"/>
      <c r="S5" s="677"/>
      <c r="T5" s="677"/>
    </row>
    <row r="6" spans="1:20" x14ac:dyDescent="0.25">
      <c r="A6" s="677"/>
      <c r="B6" s="677"/>
      <c r="C6" s="677"/>
      <c r="D6" s="677"/>
      <c r="E6" s="677"/>
      <c r="F6" s="677"/>
      <c r="G6" s="677"/>
      <c r="H6" s="677"/>
      <c r="M6" s="677"/>
      <c r="N6" s="677"/>
      <c r="O6" s="677"/>
      <c r="P6" s="677"/>
      <c r="Q6" s="677"/>
      <c r="R6" s="677"/>
      <c r="S6" s="677"/>
      <c r="T6" s="677"/>
    </row>
    <row r="7" spans="1:20" x14ac:dyDescent="0.25">
      <c r="A7" s="677" t="s">
        <v>352</v>
      </c>
      <c r="B7" s="680">
        <f>SUM(C7:H7)</f>
        <v>58677605.477582194</v>
      </c>
      <c r="C7" s="680">
        <f>C3</f>
        <v>32639691.743550409</v>
      </c>
      <c r="D7" s="680">
        <f>D3</f>
        <v>10191189.978466244</v>
      </c>
      <c r="E7" s="680">
        <f>E3</f>
        <v>15482365.194211636</v>
      </c>
      <c r="F7" s="680">
        <f>F3</f>
        <v>24257.609003941219</v>
      </c>
      <c r="G7" s="680">
        <f>G2</f>
        <v>224918.5</v>
      </c>
      <c r="H7" s="680">
        <f>H3</f>
        <v>115182.4523499588</v>
      </c>
      <c r="M7" s="677"/>
      <c r="N7" s="680"/>
      <c r="O7" s="680"/>
      <c r="P7" s="680"/>
      <c r="Q7" s="680"/>
      <c r="R7" s="680"/>
      <c r="S7" s="680"/>
      <c r="T7" s="680"/>
    </row>
    <row r="16" spans="1:20" x14ac:dyDescent="0.25">
      <c r="B16">
        <v>58793723.777582183</v>
      </c>
      <c r="C16">
        <v>32687959.194533776</v>
      </c>
      <c r="D16">
        <v>10206260.671125129</v>
      </c>
      <c r="E16">
        <v>15503483.433243576</v>
      </c>
      <c r="F16">
        <v>24257.609003941219</v>
      </c>
      <c r="G16">
        <v>256580.41732580034</v>
      </c>
      <c r="H16">
        <v>115182.4523499588</v>
      </c>
    </row>
  </sheetData>
  <customSheetViews>
    <customSheetView guid="{DE47F5DD-3736-469D-8704-852547698004}">
      <selection activeCell="N23" sqref="N23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P10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6" sqref="F16"/>
    </sheetView>
  </sheetViews>
  <sheetFormatPr defaultRowHeight="12.5" x14ac:dyDescent="0.25"/>
  <cols>
    <col min="1" max="1" width="11" customWidth="1"/>
    <col min="2" max="2" width="15" style="6" customWidth="1"/>
    <col min="3" max="3" width="14.08984375" style="6" bestFit="1" customWidth="1"/>
    <col min="4" max="4" width="17.90625" style="6" bestFit="1" customWidth="1"/>
    <col min="5" max="5" width="17.54296875" style="6" customWidth="1"/>
    <col min="6" max="7" width="12.54296875" style="6" customWidth="1"/>
    <col min="8" max="8" width="12.6328125" style="6" bestFit="1" customWidth="1"/>
    <col min="9" max="9" width="11.6328125" style="6" bestFit="1" customWidth="1"/>
    <col min="10" max="10" width="10.6328125" style="6" bestFit="1" customWidth="1"/>
    <col min="11" max="12" width="9.08984375" style="6" customWidth="1"/>
  </cols>
  <sheetData>
    <row r="1" spans="1:16" x14ac:dyDescent="0.25">
      <c r="K1" s="177"/>
    </row>
    <row r="2" spans="1:16" ht="25" x14ac:dyDescent="0.25">
      <c r="B2" s="9" t="str">
        <f>'Rate Class Energy Model'!H2</f>
        <v>Residential</v>
      </c>
      <c r="C2" s="9" t="str">
        <f>'Rate Class Energy Model'!I2</f>
        <v>General Service &lt;50</v>
      </c>
      <c r="D2" s="9" t="str">
        <f>'Rate Class Energy Model'!J2</f>
        <v>General Service &gt;50</v>
      </c>
      <c r="E2" s="9" t="str">
        <f>'Rate Class Energy Model'!K2</f>
        <v>Sentinel Lights</v>
      </c>
      <c r="F2" s="9" t="str">
        <f>'Rate Class Energy Model'!L2</f>
        <v>Street Lights</v>
      </c>
      <c r="G2" s="9" t="str">
        <f>'Rate Class Energy Model'!M2</f>
        <v>USL</v>
      </c>
      <c r="H2" s="6" t="s">
        <v>11</v>
      </c>
    </row>
    <row r="3" spans="1:16" x14ac:dyDescent="0.25">
      <c r="A3" s="4">
        <v>2007</v>
      </c>
      <c r="B3" s="36">
        <v>2839</v>
      </c>
      <c r="C3" s="36">
        <v>444</v>
      </c>
      <c r="D3" s="36">
        <v>16</v>
      </c>
      <c r="E3" s="36">
        <v>27</v>
      </c>
      <c r="F3" s="36">
        <v>1037</v>
      </c>
      <c r="G3" s="36">
        <v>12</v>
      </c>
      <c r="H3" s="35">
        <f t="shared" ref="H3:H12" si="0">SUM(B3:G3)</f>
        <v>4375</v>
      </c>
      <c r="I3" s="156">
        <f t="shared" ref="I3:I10" si="1">B3+C3+D3+E3+F3+G3</f>
        <v>4375</v>
      </c>
    </row>
    <row r="4" spans="1:16" x14ac:dyDescent="0.25">
      <c r="A4" s="4">
        <v>2008</v>
      </c>
      <c r="B4" s="36">
        <v>2840</v>
      </c>
      <c r="C4" s="36">
        <v>445</v>
      </c>
      <c r="D4" s="36">
        <v>16</v>
      </c>
      <c r="E4" s="36">
        <v>25</v>
      </c>
      <c r="F4" s="36">
        <v>1039</v>
      </c>
      <c r="G4" s="36">
        <v>12</v>
      </c>
      <c r="H4" s="35">
        <f t="shared" si="0"/>
        <v>4377</v>
      </c>
      <c r="I4" s="156">
        <f t="shared" si="1"/>
        <v>4377</v>
      </c>
      <c r="L4" s="156"/>
      <c r="M4" s="156"/>
      <c r="N4" s="156"/>
      <c r="O4" s="156"/>
      <c r="P4" s="156"/>
    </row>
    <row r="5" spans="1:16" x14ac:dyDescent="0.25">
      <c r="A5" s="4">
        <v>2009</v>
      </c>
      <c r="B5" s="36">
        <v>2858</v>
      </c>
      <c r="C5" s="36">
        <v>439</v>
      </c>
      <c r="D5" s="36">
        <v>20</v>
      </c>
      <c r="E5" s="36">
        <v>26</v>
      </c>
      <c r="F5" s="36">
        <v>1045</v>
      </c>
      <c r="G5" s="36">
        <v>21</v>
      </c>
      <c r="H5" s="35">
        <f t="shared" si="0"/>
        <v>4409</v>
      </c>
      <c r="I5" s="156">
        <f t="shared" si="1"/>
        <v>4409</v>
      </c>
    </row>
    <row r="6" spans="1:16" x14ac:dyDescent="0.25">
      <c r="A6" s="4">
        <v>2010</v>
      </c>
      <c r="B6" s="36">
        <v>2850</v>
      </c>
      <c r="C6" s="36">
        <v>425</v>
      </c>
      <c r="D6" s="36">
        <v>25</v>
      </c>
      <c r="E6" s="36">
        <v>26</v>
      </c>
      <c r="F6" s="36">
        <v>1045</v>
      </c>
      <c r="G6" s="36">
        <v>21</v>
      </c>
      <c r="H6" s="35">
        <f t="shared" si="0"/>
        <v>4392</v>
      </c>
      <c r="I6" s="156">
        <f t="shared" si="1"/>
        <v>4392</v>
      </c>
    </row>
    <row r="7" spans="1:16" x14ac:dyDescent="0.25">
      <c r="A7" s="4">
        <v>2011</v>
      </c>
      <c r="B7" s="36">
        <v>2847</v>
      </c>
      <c r="C7" s="36">
        <v>425</v>
      </c>
      <c r="D7" s="36">
        <v>25</v>
      </c>
      <c r="E7" s="36">
        <v>26</v>
      </c>
      <c r="F7" s="36">
        <v>1048</v>
      </c>
      <c r="G7" s="36">
        <v>21</v>
      </c>
      <c r="H7" s="35">
        <f t="shared" si="0"/>
        <v>4392</v>
      </c>
      <c r="I7" s="156">
        <f t="shared" si="1"/>
        <v>4392</v>
      </c>
    </row>
    <row r="8" spans="1:16" x14ac:dyDescent="0.25">
      <c r="A8" s="4">
        <v>2012</v>
      </c>
      <c r="B8" s="36">
        <v>2857</v>
      </c>
      <c r="C8" s="36">
        <v>402</v>
      </c>
      <c r="D8" s="36">
        <v>29</v>
      </c>
      <c r="E8" s="36">
        <v>26</v>
      </c>
      <c r="F8" s="36">
        <v>1048</v>
      </c>
      <c r="G8" s="36">
        <v>21</v>
      </c>
      <c r="H8" s="35">
        <f t="shared" si="0"/>
        <v>4383</v>
      </c>
      <c r="I8" s="156">
        <f t="shared" si="1"/>
        <v>4383</v>
      </c>
    </row>
    <row r="9" spans="1:16" x14ac:dyDescent="0.25">
      <c r="A9" s="4">
        <v>2013</v>
      </c>
      <c r="B9" s="36">
        <v>2858</v>
      </c>
      <c r="C9" s="36">
        <v>401</v>
      </c>
      <c r="D9" s="36">
        <v>29</v>
      </c>
      <c r="E9" s="36">
        <v>27</v>
      </c>
      <c r="F9" s="36">
        <v>1064</v>
      </c>
      <c r="G9" s="36">
        <v>21</v>
      </c>
      <c r="H9" s="35">
        <f t="shared" si="0"/>
        <v>4400</v>
      </c>
      <c r="I9" s="156">
        <f t="shared" si="1"/>
        <v>4400</v>
      </c>
    </row>
    <row r="10" spans="1:16" x14ac:dyDescent="0.25">
      <c r="A10" s="4">
        <v>2014</v>
      </c>
      <c r="B10" s="36">
        <v>2857</v>
      </c>
      <c r="C10" s="36">
        <v>402</v>
      </c>
      <c r="D10" s="36">
        <v>29</v>
      </c>
      <c r="E10" s="36">
        <v>26</v>
      </c>
      <c r="F10" s="36">
        <v>1064</v>
      </c>
      <c r="G10" s="36">
        <v>21</v>
      </c>
      <c r="H10" s="35">
        <f t="shared" si="0"/>
        <v>4399</v>
      </c>
      <c r="I10" s="156">
        <f t="shared" si="1"/>
        <v>4399</v>
      </c>
    </row>
    <row r="11" spans="1:16" x14ac:dyDescent="0.25">
      <c r="A11" s="4">
        <v>2015</v>
      </c>
      <c r="B11" s="63">
        <v>2856</v>
      </c>
      <c r="C11" s="63">
        <v>406</v>
      </c>
      <c r="D11" s="63">
        <v>29</v>
      </c>
      <c r="E11" s="63">
        <v>26</v>
      </c>
      <c r="F11" s="63">
        <v>1064</v>
      </c>
      <c r="G11" s="63">
        <v>21</v>
      </c>
      <c r="H11" s="63">
        <f t="shared" si="0"/>
        <v>4402</v>
      </c>
    </row>
    <row r="12" spans="1:16" x14ac:dyDescent="0.25">
      <c r="A12" s="4">
        <v>2016</v>
      </c>
      <c r="B12" s="63">
        <v>2861</v>
      </c>
      <c r="C12" s="63">
        <v>393</v>
      </c>
      <c r="D12" s="63">
        <v>29</v>
      </c>
      <c r="E12" s="63">
        <v>26</v>
      </c>
      <c r="F12" s="63">
        <v>1065</v>
      </c>
      <c r="G12" s="63">
        <v>21</v>
      </c>
      <c r="H12" s="63">
        <f t="shared" si="0"/>
        <v>4395</v>
      </c>
    </row>
    <row r="13" spans="1:16" x14ac:dyDescent="0.25">
      <c r="A13" s="4">
        <v>2017</v>
      </c>
      <c r="B13" s="63">
        <v>2872</v>
      </c>
      <c r="C13" s="63">
        <v>388</v>
      </c>
      <c r="D13" s="63">
        <v>28</v>
      </c>
      <c r="E13" s="63">
        <v>25</v>
      </c>
      <c r="F13" s="63">
        <v>1065</v>
      </c>
      <c r="G13" s="63">
        <v>21</v>
      </c>
      <c r="H13" s="63">
        <f t="shared" ref="H13:H17" si="2">SUM(B13:G13)</f>
        <v>4399</v>
      </c>
      <c r="I13" s="156"/>
      <c r="J13" s="156"/>
      <c r="K13" s="156"/>
      <c r="L13" s="156"/>
    </row>
    <row r="14" spans="1:16" s="362" customFormat="1" x14ac:dyDescent="0.25">
      <c r="A14" s="4">
        <v>2018</v>
      </c>
      <c r="B14" s="63">
        <v>2888</v>
      </c>
      <c r="C14" s="63">
        <v>388</v>
      </c>
      <c r="D14" s="63">
        <v>27</v>
      </c>
      <c r="E14" s="63">
        <v>25</v>
      </c>
      <c r="F14" s="63">
        <v>1062</v>
      </c>
      <c r="G14" s="63">
        <v>21</v>
      </c>
      <c r="H14" s="63">
        <f t="shared" si="2"/>
        <v>4411</v>
      </c>
      <c r="I14" s="457"/>
      <c r="J14" s="457"/>
      <c r="K14" s="457"/>
      <c r="L14" s="457"/>
    </row>
    <row r="15" spans="1:16" s="362" customFormat="1" x14ac:dyDescent="0.25">
      <c r="A15" s="4">
        <v>2019</v>
      </c>
      <c r="B15" s="63">
        <v>2901</v>
      </c>
      <c r="C15" s="63">
        <v>380</v>
      </c>
      <c r="D15" s="63">
        <v>28</v>
      </c>
      <c r="E15" s="63">
        <v>25</v>
      </c>
      <c r="F15" s="63">
        <v>1062</v>
      </c>
      <c r="G15" s="63">
        <v>21</v>
      </c>
      <c r="H15" s="63">
        <f t="shared" si="2"/>
        <v>4417</v>
      </c>
      <c r="I15" s="457"/>
      <c r="J15" s="457"/>
      <c r="K15" s="457"/>
      <c r="L15" s="457"/>
    </row>
    <row r="16" spans="1:16" s="362" customFormat="1" x14ac:dyDescent="0.25">
      <c r="A16" s="4">
        <v>2020</v>
      </c>
      <c r="B16" s="459">
        <f t="shared" ref="B16:G16" si="3">B15*B37</f>
        <v>2905.3354231059589</v>
      </c>
      <c r="C16" s="459">
        <f t="shared" si="3"/>
        <v>374.55491835736069</v>
      </c>
      <c r="D16" s="459">
        <f t="shared" si="3"/>
        <v>28.958151435622646</v>
      </c>
      <c r="E16" s="459">
        <f t="shared" si="3"/>
        <v>24.90214024902302</v>
      </c>
      <c r="F16" s="459">
        <v>799</v>
      </c>
      <c r="G16" s="459">
        <f t="shared" si="3"/>
        <v>21</v>
      </c>
      <c r="H16" s="459">
        <f t="shared" si="2"/>
        <v>4153.7506331479653</v>
      </c>
      <c r="I16" s="457"/>
      <c r="J16" s="457"/>
      <c r="K16" s="457"/>
      <c r="L16" s="457"/>
    </row>
    <row r="17" spans="1:13" s="362" customFormat="1" x14ac:dyDescent="0.25">
      <c r="A17" s="4">
        <v>2021</v>
      </c>
      <c r="B17" s="459">
        <f t="shared" ref="B17:G17" si="4">ROUND(B16*B37,0)</f>
        <v>2910</v>
      </c>
      <c r="C17" s="459">
        <f t="shared" si="4"/>
        <v>369</v>
      </c>
      <c r="D17" s="459">
        <f t="shared" si="4"/>
        <v>30</v>
      </c>
      <c r="E17" s="459">
        <f t="shared" si="4"/>
        <v>25</v>
      </c>
      <c r="F17" s="459">
        <f t="shared" si="4"/>
        <v>799</v>
      </c>
      <c r="G17" s="459">
        <f t="shared" si="4"/>
        <v>21</v>
      </c>
      <c r="H17" s="459">
        <f t="shared" si="2"/>
        <v>4154</v>
      </c>
      <c r="I17" s="457"/>
      <c r="J17" s="457"/>
      <c r="K17" s="457"/>
      <c r="L17" s="457"/>
    </row>
    <row r="18" spans="1:13" ht="13" x14ac:dyDescent="0.3">
      <c r="A18" s="19"/>
    </row>
    <row r="19" spans="1:13" ht="13" x14ac:dyDescent="0.3">
      <c r="A19" s="18" t="s">
        <v>31</v>
      </c>
      <c r="B19" s="5"/>
      <c r="C19" s="5"/>
      <c r="D19" s="5"/>
      <c r="E19" s="5"/>
      <c r="F19" s="5"/>
      <c r="G19" s="5"/>
    </row>
    <row r="20" spans="1:13" x14ac:dyDescent="0.25">
      <c r="A20" s="4"/>
      <c r="B20" s="23"/>
      <c r="C20" s="23"/>
      <c r="D20" s="23"/>
      <c r="E20" s="23"/>
      <c r="F20" s="23"/>
      <c r="G20" s="23"/>
    </row>
    <row r="21" spans="1:13" x14ac:dyDescent="0.25">
      <c r="A21" s="4">
        <v>2007</v>
      </c>
      <c r="B21" s="23"/>
      <c r="C21" s="23"/>
      <c r="D21" s="23"/>
      <c r="E21" s="23"/>
      <c r="F21" s="23"/>
      <c r="G21" s="23"/>
    </row>
    <row r="22" spans="1:13" ht="13" x14ac:dyDescent="0.3">
      <c r="A22" s="4">
        <v>2008</v>
      </c>
      <c r="B22" s="23">
        <f t="shared" ref="B22:G30" si="5">B4/B3</f>
        <v>1.0003522367030644</v>
      </c>
      <c r="C22" s="23">
        <f t="shared" si="5"/>
        <v>1.0022522522522523</v>
      </c>
      <c r="D22" s="23">
        <f t="shared" si="5"/>
        <v>1</v>
      </c>
      <c r="E22" s="23">
        <f t="shared" si="5"/>
        <v>0.92592592592592593</v>
      </c>
      <c r="F22" s="23">
        <f t="shared" si="5"/>
        <v>1.0019286403085825</v>
      </c>
      <c r="G22" s="23">
        <f t="shared" si="5"/>
        <v>1</v>
      </c>
      <c r="M22" s="18"/>
    </row>
    <row r="23" spans="1:13" x14ac:dyDescent="0.25">
      <c r="A23" s="4">
        <v>2009</v>
      </c>
      <c r="B23" s="23">
        <f t="shared" si="5"/>
        <v>1.0063380281690142</v>
      </c>
      <c r="C23" s="23">
        <f t="shared" si="5"/>
        <v>0.98651685393258426</v>
      </c>
      <c r="D23" s="23">
        <f t="shared" si="5"/>
        <v>1.25</v>
      </c>
      <c r="E23" s="23">
        <f t="shared" si="5"/>
        <v>1.04</v>
      </c>
      <c r="F23" s="23">
        <f t="shared" si="5"/>
        <v>1.0057747834456208</v>
      </c>
      <c r="G23" s="23">
        <f t="shared" ref="G23:G30" si="6">G5/G4</f>
        <v>1.75</v>
      </c>
    </row>
    <row r="24" spans="1:13" x14ac:dyDescent="0.25">
      <c r="A24" s="4">
        <v>2010</v>
      </c>
      <c r="B24" s="23">
        <f t="shared" si="5"/>
        <v>0.99720083974807561</v>
      </c>
      <c r="C24" s="23">
        <f t="shared" si="5"/>
        <v>0.96810933940774491</v>
      </c>
      <c r="D24" s="23">
        <f t="shared" si="5"/>
        <v>1.25</v>
      </c>
      <c r="E24" s="23">
        <f t="shared" si="5"/>
        <v>1</v>
      </c>
      <c r="F24" s="23">
        <f t="shared" si="5"/>
        <v>1</v>
      </c>
      <c r="G24" s="23">
        <f t="shared" si="6"/>
        <v>1</v>
      </c>
    </row>
    <row r="25" spans="1:13" x14ac:dyDescent="0.25">
      <c r="A25" s="4">
        <v>2011</v>
      </c>
      <c r="B25" s="23">
        <f t="shared" si="5"/>
        <v>0.99894736842105258</v>
      </c>
      <c r="C25" s="23">
        <f t="shared" si="5"/>
        <v>1</v>
      </c>
      <c r="D25" s="23">
        <f t="shared" si="5"/>
        <v>1</v>
      </c>
      <c r="E25" s="23">
        <f t="shared" si="5"/>
        <v>1</v>
      </c>
      <c r="F25" s="23">
        <f t="shared" si="5"/>
        <v>1.0028708133971291</v>
      </c>
      <c r="G25" s="23">
        <f t="shared" si="6"/>
        <v>1</v>
      </c>
    </row>
    <row r="26" spans="1:13" x14ac:dyDescent="0.25">
      <c r="A26" s="4">
        <v>2012</v>
      </c>
      <c r="B26" s="23">
        <f t="shared" si="5"/>
        <v>1.0035124692658939</v>
      </c>
      <c r="C26" s="23">
        <f t="shared" si="5"/>
        <v>0.94588235294117651</v>
      </c>
      <c r="D26" s="23">
        <f t="shared" si="5"/>
        <v>1.1599999999999999</v>
      </c>
      <c r="E26" s="23">
        <f t="shared" si="5"/>
        <v>1</v>
      </c>
      <c r="F26" s="23">
        <f t="shared" si="5"/>
        <v>1</v>
      </c>
      <c r="G26" s="23">
        <f t="shared" si="6"/>
        <v>1</v>
      </c>
    </row>
    <row r="27" spans="1:13" x14ac:dyDescent="0.25">
      <c r="A27" s="4">
        <v>2013</v>
      </c>
      <c r="B27" s="23">
        <f t="shared" si="5"/>
        <v>1.000350017500875</v>
      </c>
      <c r="C27" s="23">
        <f t="shared" si="5"/>
        <v>0.99751243781094523</v>
      </c>
      <c r="D27" s="23">
        <f t="shared" si="5"/>
        <v>1</v>
      </c>
      <c r="E27" s="23">
        <f t="shared" si="5"/>
        <v>1.0384615384615385</v>
      </c>
      <c r="F27" s="23">
        <f t="shared" si="5"/>
        <v>1.0152671755725191</v>
      </c>
      <c r="G27" s="23">
        <f t="shared" si="6"/>
        <v>1</v>
      </c>
    </row>
    <row r="28" spans="1:13" x14ac:dyDescent="0.25">
      <c r="A28" s="4">
        <v>2014</v>
      </c>
      <c r="B28" s="23">
        <f t="shared" si="5"/>
        <v>0.99965010496850948</v>
      </c>
      <c r="C28" s="23">
        <f t="shared" si="5"/>
        <v>1.0024937655860349</v>
      </c>
      <c r="D28" s="23">
        <f t="shared" si="5"/>
        <v>1</v>
      </c>
      <c r="E28" s="23">
        <f t="shared" si="5"/>
        <v>0.96296296296296291</v>
      </c>
      <c r="F28" s="23">
        <f t="shared" si="5"/>
        <v>1</v>
      </c>
      <c r="G28" s="23">
        <f t="shared" si="6"/>
        <v>1</v>
      </c>
    </row>
    <row r="29" spans="1:13" x14ac:dyDescent="0.25">
      <c r="A29" s="4">
        <v>2015</v>
      </c>
      <c r="B29" s="23">
        <f t="shared" si="5"/>
        <v>0.99964998249912496</v>
      </c>
      <c r="C29" s="23">
        <f t="shared" si="5"/>
        <v>1.0099502487562189</v>
      </c>
      <c r="D29" s="23">
        <f t="shared" si="5"/>
        <v>1</v>
      </c>
      <c r="E29" s="23">
        <f t="shared" si="5"/>
        <v>1</v>
      </c>
      <c r="F29" s="23">
        <f t="shared" si="5"/>
        <v>1</v>
      </c>
      <c r="G29" s="23">
        <f t="shared" si="6"/>
        <v>1</v>
      </c>
      <c r="H29" s="156"/>
      <c r="I29" s="156"/>
      <c r="J29" s="156"/>
      <c r="K29" s="156"/>
      <c r="L29" s="156"/>
    </row>
    <row r="30" spans="1:13" x14ac:dyDescent="0.25">
      <c r="A30" s="4">
        <v>2016</v>
      </c>
      <c r="B30" s="23">
        <f t="shared" si="5"/>
        <v>1.001750700280112</v>
      </c>
      <c r="C30" s="23">
        <f t="shared" si="5"/>
        <v>0.96798029556650245</v>
      </c>
      <c r="D30" s="23">
        <f t="shared" si="5"/>
        <v>1</v>
      </c>
      <c r="E30" s="23">
        <f t="shared" si="5"/>
        <v>1</v>
      </c>
      <c r="F30" s="23">
        <f t="shared" si="5"/>
        <v>1.0009398496240602</v>
      </c>
      <c r="G30" s="23">
        <f t="shared" si="6"/>
        <v>1</v>
      </c>
      <c r="H30" s="156"/>
      <c r="I30" s="156"/>
      <c r="J30" s="156"/>
      <c r="K30" s="156"/>
      <c r="L30" s="156"/>
    </row>
    <row r="31" spans="1:13" s="362" customFormat="1" x14ac:dyDescent="0.25">
      <c r="A31" s="4">
        <v>2017</v>
      </c>
      <c r="B31" s="23">
        <f t="shared" ref="B31:G33" si="7">B13/B12</f>
        <v>1.0038448095071653</v>
      </c>
      <c r="C31" s="23">
        <f t="shared" si="7"/>
        <v>0.98727735368956748</v>
      </c>
      <c r="D31" s="23">
        <f t="shared" si="7"/>
        <v>0.96551724137931039</v>
      </c>
      <c r="E31" s="23">
        <f t="shared" si="7"/>
        <v>0.96153846153846156</v>
      </c>
      <c r="F31" s="23">
        <f t="shared" si="7"/>
        <v>1</v>
      </c>
      <c r="G31" s="23">
        <f t="shared" si="7"/>
        <v>1</v>
      </c>
      <c r="H31" s="457"/>
      <c r="I31" s="457"/>
      <c r="J31" s="457"/>
      <c r="K31" s="457"/>
      <c r="L31" s="457"/>
    </row>
    <row r="32" spans="1:13" s="362" customFormat="1" x14ac:dyDescent="0.25">
      <c r="A32" s="4">
        <v>2018</v>
      </c>
      <c r="B32" s="23">
        <f t="shared" si="7"/>
        <v>1.0055710306406684</v>
      </c>
      <c r="C32" s="23">
        <f t="shared" si="7"/>
        <v>1</v>
      </c>
      <c r="D32" s="23">
        <f t="shared" si="7"/>
        <v>0.9642857142857143</v>
      </c>
      <c r="E32" s="23">
        <f t="shared" si="7"/>
        <v>1</v>
      </c>
      <c r="F32" s="23">
        <f t="shared" si="7"/>
        <v>0.9971830985915493</v>
      </c>
      <c r="G32" s="23">
        <f t="shared" si="7"/>
        <v>1</v>
      </c>
      <c r="H32" s="457"/>
      <c r="I32" s="457"/>
      <c r="J32" s="457"/>
      <c r="K32" s="457"/>
      <c r="L32" s="457"/>
    </row>
    <row r="33" spans="1:12" s="362" customFormat="1" x14ac:dyDescent="0.25">
      <c r="A33" s="4">
        <v>2019</v>
      </c>
      <c r="B33" s="23">
        <f t="shared" si="7"/>
        <v>1.0045013850415512</v>
      </c>
      <c r="C33" s="23">
        <f t="shared" si="7"/>
        <v>0.97938144329896903</v>
      </c>
      <c r="D33" s="23">
        <f t="shared" si="7"/>
        <v>1.037037037037037</v>
      </c>
      <c r="E33" s="23">
        <f>E15/E14</f>
        <v>1</v>
      </c>
      <c r="F33" s="23">
        <f t="shared" ref="F33:G33" si="8">F15/F14</f>
        <v>1</v>
      </c>
      <c r="G33" s="23">
        <f t="shared" si="8"/>
        <v>1</v>
      </c>
      <c r="H33" s="457"/>
      <c r="I33" s="457"/>
      <c r="J33" s="457"/>
      <c r="K33" s="457"/>
      <c r="L33" s="457"/>
    </row>
    <row r="34" spans="1:12" s="362" customFormat="1" x14ac:dyDescent="0.25">
      <c r="A34" s="4">
        <v>2020</v>
      </c>
      <c r="B34" s="23">
        <f t="shared" ref="B34:G34" si="9">B16/B15</f>
        <v>1.0014944581544154</v>
      </c>
      <c r="C34" s="23">
        <f t="shared" si="9"/>
        <v>0.98567083778252818</v>
      </c>
      <c r="D34" s="23">
        <f t="shared" si="9"/>
        <v>1.0342196941293802</v>
      </c>
      <c r="E34" s="23">
        <f t="shared" si="9"/>
        <v>0.99608560996092077</v>
      </c>
      <c r="F34" s="23">
        <f t="shared" si="9"/>
        <v>0.75235404896421842</v>
      </c>
      <c r="G34" s="23">
        <f t="shared" si="9"/>
        <v>1</v>
      </c>
      <c r="H34" s="457"/>
      <c r="I34" s="457"/>
      <c r="J34" s="457"/>
      <c r="K34" s="457"/>
      <c r="L34" s="457"/>
    </row>
    <row r="35" spans="1:12" s="362" customFormat="1" x14ac:dyDescent="0.25">
      <c r="A35" s="4">
        <v>2021</v>
      </c>
      <c r="B35" s="23">
        <f t="shared" ref="B35:G35" si="10">B17/B16</f>
        <v>1.0016055209518819</v>
      </c>
      <c r="C35" s="23">
        <f t="shared" si="10"/>
        <v>0.98516928203286658</v>
      </c>
      <c r="D35" s="23">
        <f t="shared" si="10"/>
        <v>1.0359777303704452</v>
      </c>
      <c r="E35" s="23">
        <f t="shared" si="10"/>
        <v>1.0039297727022005</v>
      </c>
      <c r="F35" s="23">
        <f t="shared" si="10"/>
        <v>1</v>
      </c>
      <c r="G35" s="23">
        <f t="shared" si="10"/>
        <v>1</v>
      </c>
      <c r="H35" s="457"/>
      <c r="I35" s="457"/>
      <c r="J35" s="457"/>
      <c r="K35" s="457"/>
      <c r="L35" s="457"/>
    </row>
    <row r="37" spans="1:12" x14ac:dyDescent="0.25">
      <c r="A37" t="s">
        <v>44</v>
      </c>
      <c r="B37" s="24">
        <f>B39</f>
        <v>1.0014944581544154</v>
      </c>
      <c r="C37" s="24">
        <f t="shared" ref="C37:E37" si="11">C39</f>
        <v>0.98567083778252818</v>
      </c>
      <c r="D37" s="24">
        <f t="shared" si="11"/>
        <v>1.0342196941293802</v>
      </c>
      <c r="E37" s="24">
        <f t="shared" si="11"/>
        <v>0.99608560996092077</v>
      </c>
      <c r="F37" s="98">
        <v>1</v>
      </c>
      <c r="G37" s="98">
        <v>1</v>
      </c>
    </row>
    <row r="38" spans="1:12" x14ac:dyDescent="0.25">
      <c r="B38" s="24"/>
      <c r="C38" s="24"/>
      <c r="D38" s="24"/>
      <c r="E38" s="24"/>
      <c r="F38" s="24"/>
      <c r="G38" s="24"/>
    </row>
    <row r="39" spans="1:12" x14ac:dyDescent="0.25">
      <c r="A39" t="s">
        <v>16</v>
      </c>
      <c r="B39" s="24">
        <f>GEOMEAN(B24:B33)</f>
        <v>1.0014944581544154</v>
      </c>
      <c r="C39" s="24">
        <f t="shared" ref="C39:G39" si="12">GEOMEAN(C24:C33)</f>
        <v>0.98567083778252818</v>
      </c>
      <c r="D39" s="24">
        <f t="shared" si="12"/>
        <v>1.0342196941293802</v>
      </c>
      <c r="E39" s="24">
        <f t="shared" si="12"/>
        <v>0.99608560996092077</v>
      </c>
      <c r="F39" s="24">
        <f t="shared" si="12"/>
        <v>1.0016150064608187</v>
      </c>
      <c r="G39" s="24">
        <f t="shared" si="12"/>
        <v>1</v>
      </c>
    </row>
    <row r="40" spans="1:12" x14ac:dyDescent="0.25">
      <c r="A40" s="4"/>
      <c r="B40" s="24"/>
      <c r="C40" s="24"/>
      <c r="D40" s="24"/>
      <c r="E40" s="24"/>
      <c r="F40" s="24"/>
      <c r="G40" s="24"/>
    </row>
    <row r="41" spans="1:12" x14ac:dyDescent="0.25">
      <c r="A41" s="4"/>
      <c r="B41" s="15">
        <f>B39-1</f>
        <v>1.4944581544154012E-3</v>
      </c>
      <c r="C41" s="15">
        <f>C39-1</f>
        <v>-1.4329162217471825E-2</v>
      </c>
      <c r="D41" s="15">
        <f t="shared" ref="D41:G41" si="13">D39-1</f>
        <v>3.4219694129380196E-2</v>
      </c>
      <c r="E41" s="15">
        <f t="shared" si="13"/>
        <v>-3.9143900390792297E-3</v>
      </c>
      <c r="F41" s="15">
        <f t="shared" si="13"/>
        <v>1.6150064608186909E-3</v>
      </c>
      <c r="G41" s="15">
        <f t="shared" si="13"/>
        <v>0</v>
      </c>
    </row>
    <row r="42" spans="1:12" x14ac:dyDescent="0.25">
      <c r="A42" s="4"/>
      <c r="B42" s="24"/>
      <c r="C42" s="24"/>
      <c r="D42" s="24"/>
      <c r="E42" s="24"/>
      <c r="F42" s="24"/>
      <c r="G42" s="24"/>
    </row>
    <row r="43" spans="1:12" x14ac:dyDescent="0.25">
      <c r="A43" s="4"/>
      <c r="B43" s="59"/>
      <c r="C43" s="24"/>
      <c r="D43" s="24"/>
    </row>
    <row r="44" spans="1:12" x14ac:dyDescent="0.25">
      <c r="A44" s="4"/>
      <c r="B44" s="24"/>
      <c r="C44" s="24"/>
      <c r="D44" s="24"/>
      <c r="E44" s="24"/>
      <c r="F44" s="24"/>
      <c r="G44" s="24"/>
    </row>
    <row r="45" spans="1:12" x14ac:dyDescent="0.25">
      <c r="A45" s="4"/>
      <c r="B45" s="24"/>
      <c r="C45" s="24"/>
      <c r="D45" s="24"/>
      <c r="E45" s="24"/>
      <c r="F45" s="24"/>
      <c r="G45" s="24"/>
    </row>
    <row r="46" spans="1:12" x14ac:dyDescent="0.25">
      <c r="A46" s="4">
        <v>1997</v>
      </c>
      <c r="B46" s="98"/>
      <c r="C46" s="98"/>
      <c r="D46" s="98"/>
      <c r="E46" s="98"/>
      <c r="F46" s="98"/>
      <c r="G46" s="98"/>
    </row>
    <row r="47" spans="1:12" x14ac:dyDescent="0.25">
      <c r="A47" s="4">
        <v>1998</v>
      </c>
      <c r="B47" s="98"/>
      <c r="C47" s="98"/>
      <c r="D47" s="98"/>
      <c r="E47" s="98"/>
      <c r="F47" s="98"/>
      <c r="G47" s="98"/>
    </row>
    <row r="48" spans="1:12" x14ac:dyDescent="0.25">
      <c r="A48" s="4">
        <v>1999</v>
      </c>
      <c r="B48" s="98"/>
      <c r="C48" s="98"/>
      <c r="D48" s="98"/>
      <c r="E48" s="98"/>
      <c r="F48" s="98"/>
      <c r="G48" s="98"/>
    </row>
    <row r="49" spans="1:7" x14ac:dyDescent="0.25">
      <c r="A49" s="4">
        <v>2000</v>
      </c>
      <c r="B49" s="98"/>
      <c r="C49" s="98"/>
      <c r="D49" s="98"/>
      <c r="E49" s="98"/>
      <c r="F49" s="98"/>
      <c r="G49" s="98"/>
    </row>
    <row r="50" spans="1:7" x14ac:dyDescent="0.25">
      <c r="A50" s="4">
        <v>2001</v>
      </c>
      <c r="B50" s="98"/>
      <c r="C50" s="98"/>
      <c r="D50" s="98"/>
      <c r="E50" s="98"/>
      <c r="F50" s="98"/>
      <c r="G50" s="98"/>
    </row>
    <row r="51" spans="1:7" x14ac:dyDescent="0.25">
      <c r="A51" s="4">
        <v>2002</v>
      </c>
      <c r="B51" s="35"/>
      <c r="C51" s="35"/>
      <c r="D51" s="150"/>
      <c r="E51" s="35"/>
      <c r="F51" s="35"/>
      <c r="G51" s="35"/>
    </row>
    <row r="52" spans="1:7" x14ac:dyDescent="0.25">
      <c r="A52" s="4">
        <v>2003</v>
      </c>
      <c r="B52" s="36"/>
      <c r="C52" s="36"/>
      <c r="D52" s="36"/>
      <c r="E52" s="36"/>
      <c r="F52" s="36"/>
      <c r="G52" s="36"/>
    </row>
    <row r="53" spans="1:7" x14ac:dyDescent="0.25">
      <c r="A53" s="4">
        <v>2004</v>
      </c>
      <c r="B53" s="36"/>
      <c r="C53" s="36"/>
      <c r="D53" s="36"/>
      <c r="E53" s="36"/>
      <c r="F53" s="36"/>
      <c r="G53" s="36"/>
    </row>
    <row r="54" spans="1:7" x14ac:dyDescent="0.25">
      <c r="A54" s="4">
        <v>2005</v>
      </c>
      <c r="B54" s="36"/>
      <c r="C54" s="36"/>
      <c r="D54" s="36"/>
      <c r="E54" s="36"/>
      <c r="F54" s="36"/>
      <c r="G54" s="36"/>
    </row>
    <row r="55" spans="1:7" x14ac:dyDescent="0.25">
      <c r="A55" s="4">
        <v>2006</v>
      </c>
      <c r="B55" s="36"/>
      <c r="C55" s="36"/>
      <c r="D55" s="36"/>
      <c r="E55" s="36"/>
      <c r="F55" s="36"/>
      <c r="G55" s="36"/>
    </row>
    <row r="56" spans="1:7" x14ac:dyDescent="0.25">
      <c r="A56" s="4">
        <v>2007</v>
      </c>
      <c r="B56" s="36"/>
      <c r="C56" s="36"/>
      <c r="D56" s="36"/>
      <c r="E56" s="36"/>
      <c r="F56" s="36"/>
      <c r="G56" s="36"/>
    </row>
    <row r="57" spans="1:7" x14ac:dyDescent="0.25">
      <c r="A57" s="4">
        <v>2008</v>
      </c>
      <c r="B57" s="36"/>
      <c r="C57" s="36"/>
      <c r="D57" s="36"/>
      <c r="E57" s="36"/>
      <c r="F57" s="36"/>
      <c r="G57" s="36"/>
    </row>
    <row r="58" spans="1:7" x14ac:dyDescent="0.25">
      <c r="A58" s="4">
        <v>2009</v>
      </c>
      <c r="B58" s="36"/>
      <c r="C58" s="36"/>
      <c r="D58" s="36"/>
      <c r="E58" s="36"/>
      <c r="F58" s="36"/>
      <c r="G58" s="36"/>
    </row>
    <row r="59" spans="1:7" x14ac:dyDescent="0.25">
      <c r="A59" s="4">
        <v>2010</v>
      </c>
      <c r="B59" s="36"/>
      <c r="C59" s="36"/>
      <c r="D59" s="36"/>
      <c r="E59" s="36"/>
      <c r="F59" s="36"/>
      <c r="G59" s="36"/>
    </row>
    <row r="60" spans="1:7" x14ac:dyDescent="0.25">
      <c r="A60" s="4">
        <v>2011</v>
      </c>
      <c r="B60" s="64"/>
      <c r="C60" s="64"/>
      <c r="D60" s="64"/>
      <c r="E60" s="64"/>
      <c r="F60" s="64"/>
      <c r="G60" s="64"/>
    </row>
    <row r="61" spans="1:7" x14ac:dyDescent="0.25">
      <c r="A61" s="4">
        <v>2012</v>
      </c>
      <c r="B61" s="65"/>
      <c r="C61" s="65"/>
      <c r="D61" s="65"/>
      <c r="E61" s="65"/>
      <c r="F61" s="65"/>
      <c r="G61" s="65"/>
    </row>
    <row r="62" spans="1:7" x14ac:dyDescent="0.25">
      <c r="A62" s="4">
        <v>2013</v>
      </c>
      <c r="B62" s="63"/>
      <c r="C62" s="63"/>
      <c r="D62" s="63"/>
      <c r="E62" s="63"/>
      <c r="F62" s="63"/>
      <c r="G62" s="63"/>
    </row>
    <row r="63" spans="1:7" x14ac:dyDescent="0.25">
      <c r="A63" s="4">
        <v>2014</v>
      </c>
      <c r="B63" s="63"/>
      <c r="C63" s="63"/>
      <c r="D63" s="63"/>
      <c r="E63" s="63"/>
      <c r="F63" s="63"/>
      <c r="G63" s="63"/>
    </row>
    <row r="64" spans="1:7" x14ac:dyDescent="0.25">
      <c r="B64" s="24"/>
      <c r="C64" s="24"/>
      <c r="D64" s="24"/>
      <c r="E64" s="24"/>
      <c r="F64" s="24"/>
      <c r="G64" s="24"/>
    </row>
    <row r="65" spans="1:9" x14ac:dyDescent="0.25">
      <c r="B65" s="24"/>
      <c r="C65" s="24"/>
      <c r="D65" s="24"/>
      <c r="E65" s="24"/>
      <c r="F65" s="24"/>
      <c r="G65" s="24"/>
    </row>
    <row r="66" spans="1:9" x14ac:dyDescent="0.25">
      <c r="B66" s="24"/>
      <c r="C66" s="24"/>
      <c r="D66" s="24"/>
      <c r="E66" s="24"/>
      <c r="F66" s="24"/>
      <c r="G66" s="24"/>
    </row>
    <row r="67" spans="1:9" x14ac:dyDescent="0.25">
      <c r="B67" s="24"/>
      <c r="C67" s="24"/>
      <c r="D67" s="24"/>
      <c r="E67" s="24"/>
      <c r="F67" s="24"/>
      <c r="G67" s="24"/>
    </row>
    <row r="68" spans="1:9" x14ac:dyDescent="0.25">
      <c r="B68" s="24"/>
      <c r="C68" s="24"/>
      <c r="D68" s="24"/>
      <c r="E68" s="24"/>
      <c r="F68" s="24"/>
      <c r="G68" s="24"/>
    </row>
    <row r="69" spans="1:9" x14ac:dyDescent="0.25">
      <c r="B69" s="24"/>
      <c r="C69" s="24"/>
      <c r="D69" s="24"/>
      <c r="E69" s="24"/>
      <c r="F69" s="24"/>
      <c r="G69" s="24"/>
    </row>
    <row r="70" spans="1:9" x14ac:dyDescent="0.25">
      <c r="B70" s="24"/>
      <c r="C70" s="24"/>
      <c r="D70" s="24"/>
      <c r="E70" s="24"/>
      <c r="F70" s="24"/>
      <c r="G70" s="24"/>
    </row>
    <row r="71" spans="1:9" x14ac:dyDescent="0.25">
      <c r="B71" s="24"/>
      <c r="C71" s="24"/>
      <c r="D71" s="24"/>
      <c r="E71" s="24"/>
      <c r="F71" s="24"/>
      <c r="G71" s="24"/>
    </row>
    <row r="72" spans="1:9" x14ac:dyDescent="0.25">
      <c r="B72" s="24"/>
      <c r="C72" s="24"/>
      <c r="E72" s="24"/>
      <c r="F72" s="24"/>
      <c r="G72" s="24"/>
    </row>
    <row r="73" spans="1:9" x14ac:dyDescent="0.25">
      <c r="D73" s="6" t="e">
        <f>D6*Summary!#REF!</f>
        <v>#REF!</v>
      </c>
    </row>
    <row r="74" spans="1:9" x14ac:dyDescent="0.25">
      <c r="A74">
        <v>2008</v>
      </c>
      <c r="B74" s="6" t="e">
        <f>B6*Summary!#REF!</f>
        <v>#REF!</v>
      </c>
      <c r="C74" s="6" t="e">
        <f>C6*Summary!#REF!</f>
        <v>#REF!</v>
      </c>
      <c r="D74" s="6" t="e">
        <f>D7*Summary!#REF!</f>
        <v>#REF!</v>
      </c>
      <c r="E74" s="6" t="e">
        <f>E6*Summary!#REF!</f>
        <v>#REF!</v>
      </c>
      <c r="F74" s="6" t="e">
        <f>F6*Summary!#REF!</f>
        <v>#REF!</v>
      </c>
      <c r="H74" s="6" t="e">
        <f>SUM('Rate Class Energy Model'!#REF!)</f>
        <v>#REF!</v>
      </c>
      <c r="I74" s="6" t="e">
        <f>H74-#REF!</f>
        <v>#REF!</v>
      </c>
    </row>
    <row r="75" spans="1:9" x14ac:dyDescent="0.25">
      <c r="A75">
        <v>2009</v>
      </c>
      <c r="B75" s="6" t="e">
        <f>B7*Summary!#REF!</f>
        <v>#REF!</v>
      </c>
      <c r="C75" s="6" t="e">
        <f>C7*Summary!#REF!</f>
        <v>#REF!</v>
      </c>
      <c r="E75" s="6" t="e">
        <f>E7*Summary!#REF!</f>
        <v>#REF!</v>
      </c>
      <c r="F75" s="6" t="e">
        <f>F7*Summary!#REF!</f>
        <v>#REF!</v>
      </c>
      <c r="H75" s="6" t="e">
        <f>SUM('Rate Class Energy Model'!#REF!)</f>
        <v>#REF!</v>
      </c>
      <c r="I75" s="6" t="e">
        <f>H75-#REF!</f>
        <v>#REF!</v>
      </c>
    </row>
    <row r="77" spans="1:9" x14ac:dyDescent="0.25">
      <c r="A77" t="s">
        <v>18</v>
      </c>
    </row>
    <row r="78" spans="1:9" x14ac:dyDescent="0.25">
      <c r="D78" s="25">
        <v>0.65</v>
      </c>
    </row>
    <row r="79" spans="1:9" x14ac:dyDescent="0.25">
      <c r="A79">
        <v>2008</v>
      </c>
      <c r="B79" s="25">
        <v>1</v>
      </c>
      <c r="C79" s="25">
        <v>1</v>
      </c>
      <c r="D79" s="25">
        <v>0.65</v>
      </c>
      <c r="E79" s="25">
        <v>0</v>
      </c>
      <c r="F79" s="25">
        <v>0</v>
      </c>
      <c r="G79" s="25"/>
    </row>
    <row r="80" spans="1:9" x14ac:dyDescent="0.25">
      <c r="A80">
        <v>2009</v>
      </c>
      <c r="B80" s="25">
        <v>1</v>
      </c>
      <c r="C80" s="25">
        <v>1</v>
      </c>
      <c r="E80" s="25">
        <v>0</v>
      </c>
      <c r="F80" s="25">
        <v>0</v>
      </c>
      <c r="G80" s="25"/>
    </row>
    <row r="82" spans="1:8" x14ac:dyDescent="0.25">
      <c r="A82" t="s">
        <v>19</v>
      </c>
    </row>
    <row r="83" spans="1:8" x14ac:dyDescent="0.25">
      <c r="D83" s="6" t="e">
        <f t="shared" ref="C83:F84" si="14">D73*D78</f>
        <v>#REF!</v>
      </c>
    </row>
    <row r="84" spans="1:8" x14ac:dyDescent="0.25">
      <c r="A84">
        <v>2008</v>
      </c>
      <c r="B84" s="6" t="e">
        <f>B74*B79</f>
        <v>#REF!</v>
      </c>
      <c r="C84" s="6" t="e">
        <f t="shared" si="14"/>
        <v>#REF!</v>
      </c>
      <c r="D84" s="6" t="e">
        <f t="shared" ref="C84:F85" si="15">D74*D79</f>
        <v>#REF!</v>
      </c>
      <c r="E84" s="6" t="e">
        <f t="shared" si="14"/>
        <v>#REF!</v>
      </c>
      <c r="F84" s="6" t="e">
        <f t="shared" si="14"/>
        <v>#REF!</v>
      </c>
    </row>
    <row r="85" spans="1:8" x14ac:dyDescent="0.25">
      <c r="A85">
        <v>2009</v>
      </c>
      <c r="B85" s="6" t="e">
        <f>B75*B80</f>
        <v>#REF!</v>
      </c>
      <c r="C85" s="6" t="e">
        <f t="shared" si="15"/>
        <v>#REF!</v>
      </c>
      <c r="E85" s="6" t="e">
        <f t="shared" si="15"/>
        <v>#REF!</v>
      </c>
      <c r="F85" s="6" t="e">
        <f t="shared" si="15"/>
        <v>#REF!</v>
      </c>
    </row>
    <row r="87" spans="1:8" x14ac:dyDescent="0.25">
      <c r="A87" t="s">
        <v>20</v>
      </c>
    </row>
    <row r="88" spans="1:8" x14ac:dyDescent="0.25">
      <c r="D88" s="6" t="e">
        <f>D83/#REF!*$I$74</f>
        <v>#REF!</v>
      </c>
    </row>
    <row r="89" spans="1:8" x14ac:dyDescent="0.25">
      <c r="A89">
        <v>2008</v>
      </c>
      <c r="B89" s="6" t="e">
        <f>B84/#REF!*$I$74</f>
        <v>#REF!</v>
      </c>
      <c r="C89" s="6" t="e">
        <f>C84/#REF!*$I$74</f>
        <v>#REF!</v>
      </c>
      <c r="D89" s="6" t="e">
        <f>D84/#REF!*$I$75</f>
        <v>#REF!</v>
      </c>
      <c r="E89" s="6" t="e">
        <f>E84/#REF!*$I$74</f>
        <v>#REF!</v>
      </c>
      <c r="F89" s="6" t="e">
        <f>F84/#REF!*$I$74</f>
        <v>#REF!</v>
      </c>
    </row>
    <row r="90" spans="1:8" x14ac:dyDescent="0.25">
      <c r="A90">
        <v>2009</v>
      </c>
      <c r="B90" s="6" t="e">
        <f>B85/#REF!*$I$75</f>
        <v>#REF!</v>
      </c>
      <c r="C90" s="6" t="e">
        <f>C85/#REF!*$I$75</f>
        <v>#REF!</v>
      </c>
      <c r="E90" s="6" t="e">
        <f>E85/#REF!*$I$75</f>
        <v>#REF!</v>
      </c>
      <c r="F90" s="6" t="e">
        <f>F85/#REF!*$I$75</f>
        <v>#REF!</v>
      </c>
    </row>
    <row r="92" spans="1:8" x14ac:dyDescent="0.25">
      <c r="A92" t="s">
        <v>21</v>
      </c>
    </row>
    <row r="93" spans="1:8" x14ac:dyDescent="0.25">
      <c r="D93" s="6" t="e">
        <f t="shared" ref="C93:F94" si="16">D73+D88</f>
        <v>#REF!</v>
      </c>
      <c r="H93" s="6" t="s">
        <v>22</v>
      </c>
    </row>
    <row r="94" spans="1:8" x14ac:dyDescent="0.25">
      <c r="A94">
        <v>2008</v>
      </c>
      <c r="B94" s="6" t="e">
        <f>B74+B89</f>
        <v>#REF!</v>
      </c>
      <c r="C94" s="6" t="e">
        <f t="shared" si="16"/>
        <v>#REF!</v>
      </c>
      <c r="D94" s="6" t="e">
        <f t="shared" ref="C94:F95" si="17">D74+D89</f>
        <v>#REF!</v>
      </c>
      <c r="E94" s="6" t="e">
        <f t="shared" si="16"/>
        <v>#REF!</v>
      </c>
      <c r="F94" s="6" t="e">
        <f t="shared" si="16"/>
        <v>#REF!</v>
      </c>
      <c r="H94" s="6" t="e">
        <f>#REF!-H74</f>
        <v>#REF!</v>
      </c>
    </row>
    <row r="95" spans="1:8" x14ac:dyDescent="0.25">
      <c r="A95">
        <v>2009</v>
      </c>
      <c r="B95" s="6" t="e">
        <f>B75+B90</f>
        <v>#REF!</v>
      </c>
      <c r="C95" s="6" t="e">
        <f t="shared" si="17"/>
        <v>#REF!</v>
      </c>
      <c r="E95" s="6" t="e">
        <f t="shared" si="17"/>
        <v>#REF!</v>
      </c>
      <c r="F95" s="6" t="e">
        <f t="shared" si="17"/>
        <v>#REF!</v>
      </c>
      <c r="H95" s="6" t="e">
        <f>#REF!-H75</f>
        <v>#REF!</v>
      </c>
    </row>
    <row r="97" spans="1:7" x14ac:dyDescent="0.25">
      <c r="A97" t="s">
        <v>23</v>
      </c>
    </row>
    <row r="98" spans="1:7" x14ac:dyDescent="0.25">
      <c r="D98" s="15" t="e">
        <f t="shared" ref="C98:F99" si="18">(D73-D93)/D73</f>
        <v>#REF!</v>
      </c>
    </row>
    <row r="99" spans="1:7" x14ac:dyDescent="0.25">
      <c r="A99">
        <v>2008</v>
      </c>
      <c r="B99" s="15" t="e">
        <f>(B74-B94)/B74</f>
        <v>#REF!</v>
      </c>
      <c r="C99" s="15" t="e">
        <f t="shared" si="18"/>
        <v>#REF!</v>
      </c>
      <c r="D99" s="15" t="e">
        <f t="shared" ref="C99:F100" si="19">(D74-D94)/D74</f>
        <v>#REF!</v>
      </c>
      <c r="E99" s="15" t="e">
        <f t="shared" si="18"/>
        <v>#REF!</v>
      </c>
      <c r="F99" s="15" t="e">
        <f t="shared" si="18"/>
        <v>#REF!</v>
      </c>
      <c r="G99" s="15"/>
    </row>
    <row r="100" spans="1:7" x14ac:dyDescent="0.25">
      <c r="A100">
        <v>2009</v>
      </c>
      <c r="B100" s="15" t="e">
        <f>(B75-B95)/B75</f>
        <v>#REF!</v>
      </c>
      <c r="C100" s="15" t="e">
        <f t="shared" si="19"/>
        <v>#REF!</v>
      </c>
      <c r="E100" s="15" t="e">
        <f t="shared" si="19"/>
        <v>#REF!</v>
      </c>
      <c r="F100" s="15" t="e">
        <f t="shared" si="19"/>
        <v>#REF!</v>
      </c>
      <c r="G100" s="15"/>
    </row>
  </sheetData>
  <customSheetViews>
    <customSheetView guid="{7481AE0E-2D6B-416C-8D95-7DAA8CA7C9F5}" showPageBreaks="1" fitToPage="1" printArea="1">
      <pane xSplit="1" ySplit="2" topLeftCell="B45" activePane="bottomRight" state="frozen"/>
      <selection pane="bottomRight" activeCell="B37" sqref="B37"/>
      <pageMargins left="0.38" right="0.75" top="0.73" bottom="0.74" header="0.5" footer="0.5"/>
      <pageSetup scale="97" orientation="landscape" r:id="rId1"/>
      <headerFooter alignWithMargins="0">
        <oddFooter>&amp;L&amp;Z&amp;F</oddFooter>
      </headerFooter>
    </customSheetView>
    <customSheetView guid="{4115F855-0BCB-4789-890B-F67D0AF20543}" fitToPage="1">
      <pane xSplit="1" ySplit="2" topLeftCell="B12" activePane="bottomRight" state="frozen"/>
      <selection pane="bottomRight" activeCell="E16" sqref="E16"/>
      <pageMargins left="0.38" right="0.75" top="0.73" bottom="0.74" header="0.5" footer="0.5"/>
      <pageSetup scale="97" orientation="landscape" r:id="rId2"/>
      <headerFooter alignWithMargins="0">
        <oddFooter>&amp;L&amp;Z&amp;F</oddFooter>
      </headerFooter>
    </customSheetView>
    <customSheetView guid="{DE47F5DD-3736-469D-8704-852547698004}" showPageBreaks="1" fitToPage="1" printArea="1">
      <pane xSplit="1" ySplit="2" topLeftCell="B3" activePane="bottomRight" state="frozen"/>
      <selection pane="bottomRight" activeCell="E15" sqref="E11:E15"/>
      <pageMargins left="0.38" right="0.75" top="0.73" bottom="0.74" header="0.5" footer="0.5"/>
      <pageSetup scale="97" orientation="landscape" r:id="rId3"/>
      <headerFooter alignWithMargins="0">
        <oddFooter>&amp;L&amp;Z&amp;F</oddFooter>
      </headerFooter>
    </customSheetView>
  </customSheetViews>
  <phoneticPr fontId="0" type="noConversion"/>
  <pageMargins left="0.38" right="0.75" top="0.73" bottom="0.74" header="0.5" footer="0.5"/>
  <pageSetup scale="95" orientation="landscape" r:id="rId4"/>
  <headerFooter alignWithMargins="0">
    <oddFooter>&amp;L&amp;Z&amp;F</oddFooter>
  </headerFooter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Exhibit 3 Tables</vt:lpstr>
      <vt:lpstr>Sheet1</vt:lpstr>
      <vt:lpstr>Purchased Power Model</vt:lpstr>
      <vt:lpstr>Purchased Power Model WN</vt:lpstr>
      <vt:lpstr>Act vs Pred Chart</vt:lpstr>
      <vt:lpstr>Summary</vt:lpstr>
      <vt:lpstr>Rate Class Energy Model</vt:lpstr>
      <vt:lpstr>Street Light Adjustment</vt:lpstr>
      <vt:lpstr>Rate Class Customer Model</vt:lpstr>
      <vt:lpstr>Rate Class Load Model</vt:lpstr>
      <vt:lpstr>Weather Analysis </vt:lpstr>
      <vt:lpstr>2020 COP Forecast</vt:lpstr>
      <vt:lpstr>2021 COP forecast</vt:lpstr>
      <vt:lpstr>'Purchased Power Model'!Print_Area</vt:lpstr>
      <vt:lpstr>'Purchased Power Model WN'!Print_Area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  <vt:lpstr>'Purchased Power Model WN'!Print_Titles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Munshi, Rushda</cp:lastModifiedBy>
  <cp:lastPrinted>2020-12-29T20:53:15Z</cp:lastPrinted>
  <dcterms:created xsi:type="dcterms:W3CDTF">2008-02-06T18:24:44Z</dcterms:created>
  <dcterms:modified xsi:type="dcterms:W3CDTF">2020-12-29T20:53:16Z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